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6_All Filed Discovery\01_Staff Discovery\Q10\"/>
    </mc:Choice>
  </mc:AlternateContent>
  <xr:revisionPtr revIDLastSave="0" documentId="13_ncr:1_{9A711D89-006A-4C17-A59B-86AA95CF9B42}" xr6:coauthVersionLast="47" xr6:coauthVersionMax="47" xr10:uidLastSave="{00000000-0000-0000-0000-000000000000}"/>
  <bookViews>
    <workbookView xWindow="28680" yWindow="-120" windowWidth="24240" windowHeight="130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Req'!$A$2:$N$25</definedName>
    <definedName name="_xlnm.Print_Area" localSheetId="6">'Rate Base - coal'!$A$1:$W$70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coal'!$A$1:$M$69</definedName>
    <definedName name="Z_B2261136_1BD6_4EB8_80BC_AC5217B292C2_.wvu.PrintTitles" localSheetId="6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6" i="25" l="1"/>
  <c r="N53" i="25" s="1"/>
  <c r="N41" i="25"/>
  <c r="M29" i="52"/>
  <c r="N29" i="52" s="1"/>
  <c r="L29" i="52"/>
  <c r="K29" i="52"/>
  <c r="H29" i="52"/>
  <c r="E29" i="52"/>
  <c r="L28" i="52"/>
  <c r="M28" i="52" s="1"/>
  <c r="N28" i="52" s="1"/>
  <c r="K28" i="52"/>
  <c r="H28" i="52"/>
  <c r="E28" i="52"/>
  <c r="M27" i="52"/>
  <c r="N27" i="52" s="1"/>
  <c r="L27" i="52"/>
  <c r="K27" i="52"/>
  <c r="H27" i="52"/>
  <c r="E27" i="52"/>
  <c r="M26" i="52"/>
  <c r="N26" i="52" s="1"/>
  <c r="L26" i="52"/>
  <c r="K26" i="52"/>
  <c r="H26" i="52"/>
  <c r="E26" i="52"/>
  <c r="L25" i="52"/>
  <c r="M25" i="52" s="1"/>
  <c r="N25" i="52" s="1"/>
  <c r="K25" i="52"/>
  <c r="H25" i="52"/>
  <c r="E25" i="52"/>
  <c r="L24" i="52"/>
  <c r="M24" i="52" s="1"/>
  <c r="N24" i="52" s="1"/>
  <c r="K24" i="52"/>
  <c r="H24" i="52"/>
  <c r="E24" i="52"/>
  <c r="L23" i="52"/>
  <c r="M23" i="52" s="1"/>
  <c r="N23" i="52" s="1"/>
  <c r="K23" i="52"/>
  <c r="H23" i="52"/>
  <c r="E23" i="52"/>
  <c r="L22" i="52"/>
  <c r="M22" i="52" s="1"/>
  <c r="N22" i="52" s="1"/>
  <c r="K22" i="52"/>
  <c r="H22" i="52"/>
  <c r="E22" i="52"/>
  <c r="L21" i="52"/>
  <c r="M21" i="52" s="1"/>
  <c r="N21" i="52" s="1"/>
  <c r="K21" i="52"/>
  <c r="H21" i="52"/>
  <c r="E21" i="52"/>
  <c r="L20" i="52"/>
  <c r="M20" i="52" s="1"/>
  <c r="N20" i="52" s="1"/>
  <c r="K20" i="52"/>
  <c r="H20" i="52"/>
  <c r="E20" i="52"/>
  <c r="L19" i="52"/>
  <c r="M19" i="52" s="1"/>
  <c r="N19" i="52" s="1"/>
  <c r="K19" i="52"/>
  <c r="H19" i="52"/>
  <c r="E19" i="52"/>
  <c r="L18" i="52"/>
  <c r="M18" i="52" s="1"/>
  <c r="N18" i="52" s="1"/>
  <c r="K18" i="52"/>
  <c r="H18" i="52"/>
  <c r="E18" i="52"/>
  <c r="K17" i="52"/>
  <c r="H17" i="52"/>
  <c r="E17" i="52"/>
  <c r="E17" i="25"/>
  <c r="E16" i="25"/>
  <c r="E15" i="25"/>
  <c r="E14" i="25"/>
  <c r="E12" i="25"/>
  <c r="E33" i="43"/>
  <c r="E34" i="43" s="1"/>
  <c r="A33" i="43"/>
  <c r="A34" i="43" s="1"/>
  <c r="A35" i="43" s="1"/>
  <c r="A36" i="43" s="1"/>
  <c r="A37" i="43" s="1"/>
  <c r="A38" i="43" s="1"/>
  <c r="A39" i="43" s="1"/>
  <c r="A40" i="43" s="1"/>
  <c r="A41" i="43" s="1"/>
  <c r="E10" i="52"/>
  <c r="T26" i="52" l="1"/>
  <c r="E35" i="43"/>
  <c r="E36" i="43"/>
  <c r="E4" i="52"/>
  <c r="N6" i="9"/>
  <c r="N7" i="9"/>
  <c r="N9" i="9"/>
  <c r="N10" i="9"/>
  <c r="N11" i="9"/>
  <c r="N12" i="9"/>
  <c r="N13" i="9" l="1"/>
  <c r="E37" i="43"/>
  <c r="E38" i="43" s="1"/>
  <c r="E39" i="43" l="1"/>
  <c r="E40" i="43" s="1"/>
  <c r="E41" i="43" s="1"/>
  <c r="M7" i="9"/>
  <c r="M9" i="9"/>
  <c r="M10" i="9"/>
  <c r="M11" i="9"/>
  <c r="M12" i="9"/>
  <c r="B38" i="25"/>
  <c r="C38" i="25" s="1"/>
  <c r="D38" i="25" s="1"/>
  <c r="E38" i="25" s="1"/>
  <c r="F38" i="25" s="1"/>
  <c r="G38" i="25" s="1"/>
  <c r="H38" i="25" s="1"/>
  <c r="I38" i="25" s="1"/>
  <c r="J38" i="25" s="1"/>
  <c r="K38" i="25" s="1"/>
  <c r="L38" i="25" s="1"/>
  <c r="M38" i="25" s="1"/>
  <c r="N38" i="25" s="1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H4" i="52"/>
  <c r="N51" i="9" l="1"/>
  <c r="B10" i="25" l="1"/>
  <c r="C41" i="25" l="1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 s="1"/>
  <c r="M13" i="9" s="1"/>
  <c r="B31" i="9" l="1" a="1"/>
  <c r="B31" i="9" s="1"/>
  <c r="M51" i="9"/>
  <c r="C53" i="25"/>
  <c r="E53" i="25"/>
  <c r="D53" i="25"/>
  <c r="F53" i="25" l="1"/>
  <c r="G53" i="25" l="1"/>
  <c r="A10" i="9"/>
  <c r="H53" i="25" l="1"/>
  <c r="D16" i="26"/>
  <c r="D14" i="26"/>
  <c r="D12" i="26"/>
  <c r="I53" i="25" l="1"/>
  <c r="F16" i="26"/>
  <c r="H16" i="26" s="1"/>
  <c r="F14" i="26"/>
  <c r="H14" i="26" s="1"/>
  <c r="D18" i="26"/>
  <c r="J53" i="25" l="1"/>
  <c r="F12" i="26"/>
  <c r="K53" i="25" l="1"/>
  <c r="F18" i="26"/>
  <c r="H12" i="26"/>
  <c r="H18" i="26" s="1"/>
  <c r="M21" i="9" l="1"/>
  <c r="N21" i="9"/>
  <c r="M53" i="25"/>
  <c r="L53" i="25"/>
  <c r="E6" i="25" l="1"/>
  <c r="J25" i="48" l="1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 s="1"/>
  <c r="AK2" i="28"/>
  <c r="AK1" i="27" s="1"/>
  <c r="AL2" i="28"/>
  <c r="AL1" i="27" s="1"/>
  <c r="Y2" i="28"/>
  <c r="Y1" i="27" s="1"/>
  <c r="Z2" i="28"/>
  <c r="Z1" i="27" s="1"/>
  <c r="AA2" i="28"/>
  <c r="AA1" i="27" s="1"/>
  <c r="AB2" i="28"/>
  <c r="AB1" i="27" s="1"/>
  <c r="AC2" i="28"/>
  <c r="AC1" i="27" s="1"/>
  <c r="AD2" i="28"/>
  <c r="AD1" i="27" s="1"/>
  <c r="AE2" i="28"/>
  <c r="AE1" i="27" s="1"/>
  <c r="AF2" i="28"/>
  <c r="AF1" i="27" s="1"/>
  <c r="AG2" i="28"/>
  <c r="AG1" i="27" s="1"/>
  <c r="AH2" i="28"/>
  <c r="AH1" i="27" s="1"/>
  <c r="AI2" i="28"/>
  <c r="AI1" i="27" s="1"/>
  <c r="AL6" i="28" l="1"/>
  <c r="AK6" i="28"/>
  <c r="AJ6" i="27"/>
  <c r="AI6" i="27"/>
  <c r="AH6" i="28"/>
  <c r="AL6" i="27" l="1"/>
  <c r="AI6" i="28"/>
  <c r="AK6" i="27"/>
  <c r="AJ6" i="28"/>
  <c r="AH6" i="27"/>
  <c r="B34" i="25" l="1"/>
  <c r="E40" i="44"/>
  <c r="A36" i="44"/>
  <c r="D14" i="43"/>
  <c r="A11" i="43"/>
  <c r="A12" i="43" s="1"/>
  <c r="A14" i="43" s="1"/>
  <c r="A16" i="43" s="1"/>
  <c r="A19" i="43" s="1"/>
  <c r="A21" i="43" s="1"/>
  <c r="A23" i="43" s="1"/>
  <c r="A25" i="43" s="1"/>
  <c r="D7" i="43"/>
  <c r="AF18" i="28" l="1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E13" i="25"/>
  <c r="D16" i="43"/>
  <c r="D19" i="43" s="1"/>
  <c r="D21" i="43" l="1"/>
  <c r="D23" i="43" s="1"/>
  <c r="D25" i="43" s="1"/>
  <c r="M27" i="9" l="1"/>
  <c r="N27" i="9"/>
  <c r="L27" i="9"/>
  <c r="K27" i="9"/>
  <c r="G27" i="9"/>
  <c r="H27" i="9"/>
  <c r="I27" i="9"/>
  <c r="J27" i="9"/>
  <c r="K21" i="9" l="1"/>
  <c r="L21" i="9"/>
  <c r="G21" i="9"/>
  <c r="H21" i="9"/>
  <c r="I21" i="9"/>
  <c r="J21" i="9"/>
  <c r="B27" i="48" l="1"/>
  <c r="G23" i="49"/>
  <c r="F23" i="49"/>
  <c r="E23" i="49"/>
  <c r="D23" i="49"/>
  <c r="C23" i="49"/>
  <c r="B23" i="49"/>
  <c r="P27" i="48" l="1" a="1"/>
  <c r="P27" i="48" s="1"/>
  <c r="Q27" i="48" a="1"/>
  <c r="Q27" i="48" s="1"/>
  <c r="O27" i="48" a="1"/>
  <c r="O27" i="48" s="1"/>
  <c r="AA40" i="48" s="1"/>
  <c r="R27" i="48" a="1"/>
  <c r="R27" i="48" s="1"/>
  <c r="U27" i="48" a="1"/>
  <c r="U27" i="48" s="1"/>
  <c r="W27" i="48" a="1"/>
  <c r="W27" i="48" s="1"/>
  <c r="S27" i="48" a="1"/>
  <c r="S27" i="48" s="1"/>
  <c r="T27" i="48" a="1"/>
  <c r="T27" i="48" s="1"/>
  <c r="V27" i="48" a="1"/>
  <c r="V27" i="48" s="1"/>
  <c r="M27" i="48" a="1"/>
  <c r="M27" i="48" s="1"/>
  <c r="N27" i="48" a="1"/>
  <c r="N27" i="48" s="1"/>
  <c r="K27" i="48" a="1"/>
  <c r="K27" i="48" s="1"/>
  <c r="J27" i="48" a="1"/>
  <c r="J27" i="48" s="1"/>
  <c r="L27" i="48" a="1"/>
  <c r="L27" i="48" s="1"/>
  <c r="I27" i="48" a="1"/>
  <c r="I27" i="48" s="1"/>
  <c r="H27" i="48" a="1"/>
  <c r="H27" i="48" s="1"/>
  <c r="C27" i="48" a="1"/>
  <c r="C27" i="48" s="1"/>
  <c r="G27" i="48" a="1"/>
  <c r="G27" i="48" s="1"/>
  <c r="E27" i="48" a="1"/>
  <c r="E27" i="48" s="1"/>
  <c r="F27" i="48" a="1"/>
  <c r="F27" i="48" s="1"/>
  <c r="D27" i="48" a="1"/>
  <c r="D27" i="48" s="1"/>
  <c r="AA44" i="48" l="1"/>
  <c r="Z43" i="48"/>
  <c r="X41" i="48"/>
  <c r="W40" i="48"/>
  <c r="Y42" i="48"/>
  <c r="X48" i="48"/>
  <c r="W47" i="48"/>
  <c r="V46" i="48"/>
  <c r="T44" i="48"/>
  <c r="AA51" i="48"/>
  <c r="Z50" i="48"/>
  <c r="U45" i="48"/>
  <c r="Y49" i="48"/>
  <c r="Q41" i="48"/>
  <c r="S43" i="48"/>
  <c r="P40" i="48"/>
  <c r="R42" i="48"/>
  <c r="W46" i="48"/>
  <c r="T43" i="48"/>
  <c r="V45" i="48"/>
  <c r="S42" i="48"/>
  <c r="Y48" i="48"/>
  <c r="X47" i="48"/>
  <c r="AA50" i="48"/>
  <c r="U44" i="48"/>
  <c r="R41" i="48"/>
  <c r="Q40" i="48"/>
  <c r="Z49" i="48"/>
  <c r="U42" i="48"/>
  <c r="Z47" i="48"/>
  <c r="X45" i="48"/>
  <c r="T41" i="48"/>
  <c r="S40" i="48"/>
  <c r="Y46" i="48"/>
  <c r="V43" i="48"/>
  <c r="AA48" i="48"/>
  <c r="W44" i="48"/>
  <c r="U41" i="48"/>
  <c r="T40" i="48"/>
  <c r="V42" i="48"/>
  <c r="Y45" i="48"/>
  <c r="Z46" i="48"/>
  <c r="W43" i="48"/>
  <c r="X44" i="48"/>
  <c r="AA47" i="48"/>
  <c r="Z41" i="48"/>
  <c r="AA42" i="48"/>
  <c r="Y40" i="48"/>
  <c r="Q42" i="48"/>
  <c r="R43" i="48"/>
  <c r="T45" i="48"/>
  <c r="U46" i="48"/>
  <c r="AA52" i="48"/>
  <c r="Y50" i="48"/>
  <c r="V47" i="48"/>
  <c r="P41" i="48"/>
  <c r="O40" i="48"/>
  <c r="S44" i="48"/>
  <c r="Z51" i="48"/>
  <c r="W48" i="48"/>
  <c r="X49" i="48"/>
  <c r="V41" i="48"/>
  <c r="U40" i="48"/>
  <c r="Y44" i="48"/>
  <c r="Z45" i="48"/>
  <c r="W42" i="48"/>
  <c r="AA46" i="48"/>
  <c r="X43" i="48"/>
  <c r="Z42" i="48"/>
  <c r="Y41" i="48"/>
  <c r="X40" i="48"/>
  <c r="AA43" i="48"/>
  <c r="AA41" i="48"/>
  <c r="Z40" i="48"/>
  <c r="AA49" i="48"/>
  <c r="R40" i="48"/>
  <c r="X46" i="48"/>
  <c r="U43" i="48"/>
  <c r="W45" i="48"/>
  <c r="Z48" i="48"/>
  <c r="Y47" i="48"/>
  <c r="V44" i="48"/>
  <c r="S41" i="48"/>
  <c r="T42" i="48"/>
  <c r="AA45" i="48"/>
  <c r="W41" i="48"/>
  <c r="V40" i="48"/>
  <c r="Y43" i="48"/>
  <c r="X42" i="48"/>
  <c r="Z44" i="48"/>
  <c r="N19" i="27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 s="1"/>
  <c r="F2" i="28"/>
  <c r="F1" i="27" s="1"/>
  <c r="G2" i="28"/>
  <c r="G1" i="27" s="1"/>
  <c r="H2" i="28"/>
  <c r="H1" i="27" s="1"/>
  <c r="I2" i="28"/>
  <c r="I1" i="27" s="1"/>
  <c r="J2" i="28"/>
  <c r="J1" i="27" s="1"/>
  <c r="K2" i="28"/>
  <c r="K1" i="27" s="1"/>
  <c r="L2" i="28"/>
  <c r="L1" i="27" s="1"/>
  <c r="M2" i="28"/>
  <c r="M1" i="27" s="1"/>
  <c r="N2" i="28"/>
  <c r="N1" i="27" s="1"/>
  <c r="O2" i="28"/>
  <c r="O1" i="27" s="1"/>
  <c r="P2" i="28"/>
  <c r="P1" i="27" s="1"/>
  <c r="Q2" i="28"/>
  <c r="Q1" i="27" s="1"/>
  <c r="R2" i="28"/>
  <c r="R1" i="27" s="1"/>
  <c r="S2" i="28"/>
  <c r="S1" i="27" s="1"/>
  <c r="T2" i="28"/>
  <c r="T1" i="27" s="1"/>
  <c r="U2" i="28"/>
  <c r="U1" i="27" s="1"/>
  <c r="V2" i="28"/>
  <c r="V1" i="27" s="1"/>
  <c r="W2" i="28"/>
  <c r="W1" i="27" s="1"/>
  <c r="X2" i="28"/>
  <c r="X1" i="27" s="1"/>
  <c r="D2" i="28"/>
  <c r="D1" i="27" s="1"/>
  <c r="A14" i="45" l="1"/>
  <c r="A15" i="45"/>
  <c r="A16" i="45"/>
  <c r="A17" i="45"/>
  <c r="A18" i="45"/>
  <c r="A20" i="45"/>
  <c r="A21" i="45"/>
  <c r="A23" i="45"/>
  <c r="A24" i="45"/>
  <c r="A25" i="45"/>
  <c r="B29" i="25" l="1"/>
  <c r="B30" i="25" s="1"/>
  <c r="B22" i="25" s="1"/>
  <c r="B24" i="45" l="1"/>
  <c r="D24" i="45"/>
  <c r="E24" i="45"/>
  <c r="M24" i="45"/>
  <c r="C24" i="45"/>
  <c r="L24" i="45"/>
  <c r="F24" i="45"/>
  <c r="N24" i="45"/>
  <c r="H24" i="45"/>
  <c r="J24" i="45"/>
  <c r="K24" i="45"/>
  <c r="G24" i="45"/>
  <c r="I24" i="45"/>
  <c r="A1" i="9" l="1"/>
  <c r="A1" i="45"/>
  <c r="K18" i="28" l="1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 l="1"/>
  <c r="G13" i="9" s="1"/>
  <c r="G51" i="9" s="1"/>
  <c r="H6" i="9"/>
  <c r="H13" i="9" s="1"/>
  <c r="H51" i="9" s="1"/>
  <c r="I6" i="9"/>
  <c r="I13" i="9" s="1"/>
  <c r="I51" i="9" s="1"/>
  <c r="J6" i="9"/>
  <c r="J13" i="9" s="1"/>
  <c r="J51" i="9" s="1"/>
  <c r="K6" i="9"/>
  <c r="K13" i="9" s="1"/>
  <c r="K51" i="9" s="1"/>
  <c r="L6" i="9"/>
  <c r="L13" i="9" s="1"/>
  <c r="L51" i="9" s="1"/>
  <c r="B46" i="25"/>
  <c r="B53" i="25" s="1"/>
  <c r="J4" i="48" l="1"/>
  <c r="J24" i="48" s="1"/>
  <c r="K4" i="48"/>
  <c r="K24" i="48" s="1"/>
  <c r="L4" i="48"/>
  <c r="L24" i="48" s="1"/>
  <c r="M4" i="48"/>
  <c r="M24" i="48" s="1"/>
  <c r="N4" i="48"/>
  <c r="N24" i="48" s="1"/>
  <c r="B41" i="25"/>
  <c r="B5" i="9"/>
  <c r="B4" i="45" s="1"/>
  <c r="D3" i="28" s="1"/>
  <c r="D2" i="27" s="1"/>
  <c r="T39" i="48" l="1"/>
  <c r="O39" i="48"/>
  <c r="P39" i="48"/>
  <c r="U39" i="48"/>
  <c r="V39" i="48"/>
  <c r="AA39" i="48"/>
  <c r="R39" i="48"/>
  <c r="W39" i="48"/>
  <c r="Z39" i="48"/>
  <c r="N39" i="48"/>
  <c r="Q39" i="48"/>
  <c r="X39" i="48"/>
  <c r="Y39" i="48"/>
  <c r="S39" i="48"/>
  <c r="W37" i="48"/>
  <c r="X37" i="48"/>
  <c r="Q37" i="48"/>
  <c r="Y37" i="48"/>
  <c r="Z37" i="48"/>
  <c r="U37" i="48"/>
  <c r="O37" i="48"/>
  <c r="AA37" i="48"/>
  <c r="P37" i="48"/>
  <c r="R37" i="48"/>
  <c r="S37" i="48"/>
  <c r="T37" i="48"/>
  <c r="V37" i="48"/>
  <c r="X36" i="48"/>
  <c r="R36" i="48"/>
  <c r="T36" i="48"/>
  <c r="Y36" i="48"/>
  <c r="U36" i="48"/>
  <c r="Z36" i="48"/>
  <c r="Q36" i="48"/>
  <c r="S36" i="48"/>
  <c r="O36" i="48"/>
  <c r="AA36" i="48"/>
  <c r="P36" i="48"/>
  <c r="V36" i="48"/>
  <c r="W36" i="48"/>
  <c r="V38" i="48"/>
  <c r="O38" i="48"/>
  <c r="T38" i="48"/>
  <c r="W38" i="48"/>
  <c r="R38" i="48"/>
  <c r="X38" i="48"/>
  <c r="Y38" i="48"/>
  <c r="AA38" i="48"/>
  <c r="Q38" i="48"/>
  <c r="Z38" i="48"/>
  <c r="P38" i="48"/>
  <c r="S38" i="48"/>
  <c r="U38" i="48"/>
  <c r="Y35" i="48"/>
  <c r="V35" i="48"/>
  <c r="X35" i="48"/>
  <c r="Z35" i="48"/>
  <c r="R35" i="48"/>
  <c r="T35" i="48"/>
  <c r="W35" i="48"/>
  <c r="O35" i="48"/>
  <c r="AA35" i="48"/>
  <c r="S35" i="48"/>
  <c r="P35" i="48"/>
  <c r="U35" i="48"/>
  <c r="Q35" i="48"/>
  <c r="N38" i="48"/>
  <c r="M38" i="48"/>
  <c r="M37" i="48"/>
  <c r="N37" i="48"/>
  <c r="L37" i="48"/>
  <c r="L36" i="48"/>
  <c r="M36" i="48"/>
  <c r="N36" i="48"/>
  <c r="K36" i="48"/>
  <c r="N35" i="48"/>
  <c r="J35" i="48"/>
  <c r="K35" i="48"/>
  <c r="L35" i="48"/>
  <c r="M35" i="48"/>
  <c r="Y6" i="27" l="1"/>
  <c r="Y6" i="28"/>
  <c r="Z6" i="27" l="1"/>
  <c r="Z6" i="28"/>
  <c r="A6" i="45"/>
  <c r="A8" i="45"/>
  <c r="A9" i="45"/>
  <c r="A10" i="45"/>
  <c r="A11" i="45"/>
  <c r="A12" i="45"/>
  <c r="A13" i="45"/>
  <c r="A5" i="45"/>
  <c r="AA6" i="27" l="1"/>
  <c r="AA6" i="28"/>
  <c r="E8" i="25"/>
  <c r="E4" i="25"/>
  <c r="C9" i="9"/>
  <c r="C8" i="45" s="1" a="1"/>
  <c r="C8" i="45" s="1"/>
  <c r="D9" i="9"/>
  <c r="D8" i="45" s="1" a="1"/>
  <c r="D8" i="45" s="1"/>
  <c r="E9" i="9"/>
  <c r="E8" i="45" s="1" a="1"/>
  <c r="E8" i="45" s="1"/>
  <c r="F9" i="9"/>
  <c r="F8" i="45" s="1" a="1"/>
  <c r="F8" i="45" s="1"/>
  <c r="G8" i="45" a="1"/>
  <c r="G8" i="45" s="1"/>
  <c r="H8" i="45" a="1"/>
  <c r="H8" i="45" s="1"/>
  <c r="I8" i="45" a="1"/>
  <c r="I8" i="45" s="1"/>
  <c r="J8" i="45" a="1"/>
  <c r="J8" i="45" s="1"/>
  <c r="K8" i="45" a="1"/>
  <c r="K8" i="45" s="1"/>
  <c r="L8" i="45" a="1"/>
  <c r="L8" i="45" s="1"/>
  <c r="M8" i="45" a="1"/>
  <c r="M8" i="45" s="1"/>
  <c r="N8" i="45" a="1"/>
  <c r="N8" i="45" s="1"/>
  <c r="C10" i="9"/>
  <c r="C9" i="45" s="1" a="1"/>
  <c r="C9" i="45" s="1"/>
  <c r="D10" i="9"/>
  <c r="D9" i="45" s="1" a="1"/>
  <c r="D9" i="45" s="1"/>
  <c r="E10" i="9"/>
  <c r="E9" i="45" s="1" a="1"/>
  <c r="E9" i="45" s="1"/>
  <c r="F10" i="9"/>
  <c r="F9" i="45" s="1" a="1"/>
  <c r="F9" i="45" s="1"/>
  <c r="G9" i="45" a="1"/>
  <c r="G9" i="45" s="1"/>
  <c r="H9" i="45" a="1"/>
  <c r="H9" i="45" s="1"/>
  <c r="I9" i="45" a="1"/>
  <c r="I9" i="45" s="1"/>
  <c r="J9" i="45" a="1"/>
  <c r="J9" i="45" s="1"/>
  <c r="K9" i="45" a="1"/>
  <c r="K9" i="45" s="1"/>
  <c r="L9" i="45" a="1"/>
  <c r="L9" i="45" s="1"/>
  <c r="M9" i="45" a="1"/>
  <c r="M9" i="45" s="1"/>
  <c r="N9" i="45" a="1"/>
  <c r="N9" i="45" s="1"/>
  <c r="C11" i="9"/>
  <c r="C10" i="45" s="1" a="1"/>
  <c r="C10" i="45" s="1"/>
  <c r="D11" i="9"/>
  <c r="D10" i="45" s="1" a="1"/>
  <c r="D10" i="45" s="1"/>
  <c r="E11" i="9"/>
  <c r="E10" i="45" s="1" a="1"/>
  <c r="E10" i="45" s="1"/>
  <c r="F11" i="9"/>
  <c r="F10" i="45" s="1" a="1"/>
  <c r="F10" i="45" s="1"/>
  <c r="G10" i="45" a="1"/>
  <c r="G10" i="45" s="1"/>
  <c r="H10" i="45" a="1"/>
  <c r="H10" i="45" s="1"/>
  <c r="I10" i="45" a="1"/>
  <c r="I10" i="45" s="1"/>
  <c r="J10" i="45" a="1"/>
  <c r="J10" i="45" s="1"/>
  <c r="K10" i="45" a="1"/>
  <c r="K10" i="45" s="1"/>
  <c r="L10" i="45" a="1"/>
  <c r="L10" i="45" s="1"/>
  <c r="M10" i="45" a="1"/>
  <c r="M10" i="45" s="1"/>
  <c r="N10" i="45" a="1"/>
  <c r="N10" i="45" s="1"/>
  <c r="C12" i="9"/>
  <c r="C11" i="45" s="1" a="1"/>
  <c r="C11" i="45" s="1"/>
  <c r="D12" i="9"/>
  <c r="D11" i="45" s="1" a="1"/>
  <c r="D11" i="45" s="1"/>
  <c r="E12" i="9"/>
  <c r="E11" i="45" s="1" a="1"/>
  <c r="E11" i="45" s="1"/>
  <c r="F12" i="9"/>
  <c r="F11" i="45" s="1" a="1"/>
  <c r="F11" i="45" s="1"/>
  <c r="G11" i="45" a="1"/>
  <c r="G11" i="45" s="1"/>
  <c r="H11" i="45" a="1"/>
  <c r="H11" i="45" s="1"/>
  <c r="I11" i="45" a="1"/>
  <c r="I11" i="45" s="1"/>
  <c r="J11" i="45" a="1"/>
  <c r="J11" i="45" s="1"/>
  <c r="K11" i="45" a="1"/>
  <c r="K11" i="45" s="1"/>
  <c r="L11" i="45" a="1"/>
  <c r="L11" i="45" s="1"/>
  <c r="M11" i="45" a="1"/>
  <c r="M11" i="45" s="1"/>
  <c r="N11" i="45" a="1"/>
  <c r="N11" i="45" s="1"/>
  <c r="B10" i="9"/>
  <c r="B9" i="45" s="1" a="1"/>
  <c r="B9" i="45" s="1"/>
  <c r="B11" i="9"/>
  <c r="B10" i="45" s="1" a="1"/>
  <c r="B10" i="45" s="1"/>
  <c r="B12" i="9"/>
  <c r="B11" i="45" s="1" a="1"/>
  <c r="B11" i="45" s="1"/>
  <c r="B9" i="9"/>
  <c r="B8" i="45" s="1" a="1"/>
  <c r="B8" i="45" s="1"/>
  <c r="C7" i="9"/>
  <c r="C6" i="45" s="1" a="1"/>
  <c r="C6" i="45" s="1"/>
  <c r="D7" i="9"/>
  <c r="D6" i="45" s="1" a="1"/>
  <c r="D6" i="45" s="1"/>
  <c r="E7" i="9"/>
  <c r="E6" i="45" s="1" a="1"/>
  <c r="E6" i="45" s="1"/>
  <c r="F7" i="9"/>
  <c r="F6" i="45" s="1" a="1"/>
  <c r="F6" i="45" s="1"/>
  <c r="G6" i="45" a="1"/>
  <c r="G6" i="45" s="1"/>
  <c r="H6" i="45" a="1"/>
  <c r="H6" i="45" s="1"/>
  <c r="I6" i="45" a="1"/>
  <c r="I6" i="45" s="1"/>
  <c r="J6" i="45" a="1"/>
  <c r="J6" i="45" s="1"/>
  <c r="K6" i="45" a="1"/>
  <c r="K6" i="45" s="1"/>
  <c r="L6" i="45" a="1"/>
  <c r="L6" i="45" s="1"/>
  <c r="M6" i="45" a="1"/>
  <c r="M6" i="45" s="1"/>
  <c r="N6" i="45" a="1"/>
  <c r="N6" i="45" s="1"/>
  <c r="B7" i="9"/>
  <c r="B6" i="45" s="1" a="1"/>
  <c r="B6" i="45" s="1"/>
  <c r="C6" i="9"/>
  <c r="C5" i="45" s="1" a="1"/>
  <c r="C5" i="45" s="1"/>
  <c r="D6" i="9"/>
  <c r="D5" i="45" s="1" a="1"/>
  <c r="D5" i="45" s="1"/>
  <c r="E6" i="9"/>
  <c r="E5" i="45" s="1" a="1"/>
  <c r="E5" i="45" s="1"/>
  <c r="F6" i="9"/>
  <c r="F5" i="45" s="1" a="1"/>
  <c r="F5" i="45" s="1"/>
  <c r="G5" i="45" a="1"/>
  <c r="G5" i="45" s="1"/>
  <c r="H5" i="45" a="1"/>
  <c r="H5" i="45" s="1"/>
  <c r="I5" i="45" a="1"/>
  <c r="I5" i="45" s="1"/>
  <c r="J5" i="45" a="1"/>
  <c r="J5" i="45" s="1"/>
  <c r="K5" i="45" a="1"/>
  <c r="K5" i="45" s="1"/>
  <c r="L5" i="45" a="1"/>
  <c r="L5" i="45" s="1"/>
  <c r="M5" i="45" a="1"/>
  <c r="M5" i="45" s="1"/>
  <c r="N5" i="45" a="1"/>
  <c r="N5" i="45" s="1"/>
  <c r="B6" i="9"/>
  <c r="D4" i="48"/>
  <c r="D24" i="48" s="1"/>
  <c r="E4" i="48"/>
  <c r="F4" i="48"/>
  <c r="G4" i="48"/>
  <c r="H4" i="48"/>
  <c r="I4" i="48"/>
  <c r="C4" i="48"/>
  <c r="D29" i="48" l="1"/>
  <c r="Q29" i="48"/>
  <c r="X29" i="48"/>
  <c r="O29" i="48"/>
  <c r="P29" i="48"/>
  <c r="R29" i="48"/>
  <c r="S29" i="48"/>
  <c r="W29" i="48"/>
  <c r="Y29" i="48"/>
  <c r="Z29" i="48"/>
  <c r="AA29" i="48"/>
  <c r="T29" i="48"/>
  <c r="U29" i="48"/>
  <c r="V29" i="48"/>
  <c r="AB6" i="27"/>
  <c r="AB6" i="28"/>
  <c r="B5" i="45" a="1"/>
  <c r="B5" i="45" s="1"/>
  <c r="B13" i="9"/>
  <c r="B12" i="45" s="1"/>
  <c r="B17" i="25"/>
  <c r="E7" i="25" l="1"/>
  <c r="B18" i="25"/>
  <c r="E9" i="25" s="1"/>
  <c r="AC6" i="27"/>
  <c r="AC6" i="28"/>
  <c r="AD6" i="28" l="1"/>
  <c r="AD6" i="27"/>
  <c r="AE6" i="28" l="1"/>
  <c r="AE6" i="27"/>
  <c r="A38" i="25"/>
  <c r="AG6" i="28" l="1"/>
  <c r="AG6" i="27"/>
  <c r="AF6" i="28"/>
  <c r="AF6" i="27"/>
  <c r="F21" i="9"/>
  <c r="C21" i="9"/>
  <c r="E21" i="9"/>
  <c r="B21" i="9"/>
  <c r="D21" i="9"/>
  <c r="D19" i="27" l="1"/>
  <c r="C3" i="48" l="1"/>
  <c r="B19" i="48" l="1"/>
  <c r="B5" i="48"/>
  <c r="B6" i="48" s="1"/>
  <c r="D25" i="48"/>
  <c r="H24" i="48" l="1"/>
  <c r="I24" i="48"/>
  <c r="C24" i="48"/>
  <c r="E24" i="48"/>
  <c r="G24" i="48"/>
  <c r="F24" i="48"/>
  <c r="C5" i="9"/>
  <c r="C4" i="45" s="1"/>
  <c r="E3" i="28" s="1"/>
  <c r="E2" i="27" s="1"/>
  <c r="D3" i="48"/>
  <c r="E25" i="48"/>
  <c r="Q31" i="48" l="1"/>
  <c r="X31" i="48"/>
  <c r="O31" i="48"/>
  <c r="R31" i="48"/>
  <c r="V31" i="48"/>
  <c r="Y31" i="48"/>
  <c r="S31" i="48"/>
  <c r="T31" i="48"/>
  <c r="Z31" i="48"/>
  <c r="U31" i="48"/>
  <c r="W31" i="48"/>
  <c r="AA31" i="48"/>
  <c r="P31" i="48"/>
  <c r="P32" i="48"/>
  <c r="Z32" i="48"/>
  <c r="O32" i="48"/>
  <c r="Q32" i="48"/>
  <c r="AA32" i="48"/>
  <c r="R32" i="48"/>
  <c r="V32" i="48"/>
  <c r="S32" i="48"/>
  <c r="U32" i="48"/>
  <c r="W32" i="48"/>
  <c r="T32" i="48"/>
  <c r="X32" i="48"/>
  <c r="Y32" i="48"/>
  <c r="R30" i="48"/>
  <c r="Y30" i="48"/>
  <c r="Z30" i="48"/>
  <c r="AA30" i="48"/>
  <c r="P30" i="48"/>
  <c r="S30" i="48"/>
  <c r="W30" i="48"/>
  <c r="O30" i="48"/>
  <c r="Q30" i="48"/>
  <c r="T30" i="48"/>
  <c r="X30" i="48"/>
  <c r="U30" i="48"/>
  <c r="V30" i="48"/>
  <c r="J34" i="48"/>
  <c r="Z34" i="48"/>
  <c r="U34" i="48"/>
  <c r="X34" i="48"/>
  <c r="O34" i="48"/>
  <c r="AA34" i="48"/>
  <c r="T34" i="48"/>
  <c r="V34" i="48"/>
  <c r="Y34" i="48"/>
  <c r="P34" i="48"/>
  <c r="Q34" i="48"/>
  <c r="W34" i="48"/>
  <c r="R34" i="48"/>
  <c r="S34" i="48"/>
  <c r="O33" i="48"/>
  <c r="AA33" i="48"/>
  <c r="T33" i="48"/>
  <c r="P33" i="48"/>
  <c r="Q33" i="48"/>
  <c r="Y33" i="48"/>
  <c r="R33" i="48"/>
  <c r="U33" i="48"/>
  <c r="W33" i="48"/>
  <c r="S33" i="48"/>
  <c r="V33" i="48"/>
  <c r="X33" i="48"/>
  <c r="Z33" i="48"/>
  <c r="K34" i="48"/>
  <c r="L34" i="48"/>
  <c r="M34" i="48"/>
  <c r="N34" i="48"/>
  <c r="J32" i="48"/>
  <c r="L32" i="48"/>
  <c r="M32" i="48"/>
  <c r="K32" i="48"/>
  <c r="N32" i="48"/>
  <c r="M29" i="48"/>
  <c r="J29" i="48"/>
  <c r="K29" i="48"/>
  <c r="N29" i="48"/>
  <c r="L29" i="48"/>
  <c r="J33" i="48"/>
  <c r="K33" i="48"/>
  <c r="L33" i="48"/>
  <c r="M33" i="48"/>
  <c r="N33" i="48"/>
  <c r="L31" i="48"/>
  <c r="J31" i="48"/>
  <c r="M31" i="48"/>
  <c r="K31" i="48"/>
  <c r="N31" i="48"/>
  <c r="J30" i="48"/>
  <c r="K30" i="48"/>
  <c r="L30" i="48"/>
  <c r="N30" i="48"/>
  <c r="M30" i="48"/>
  <c r="E29" i="48"/>
  <c r="F29" i="48"/>
  <c r="G29" i="48"/>
  <c r="H29" i="48"/>
  <c r="I29" i="48"/>
  <c r="C25" i="48"/>
  <c r="G31" i="48"/>
  <c r="H31" i="48"/>
  <c r="I31" i="48"/>
  <c r="F30" i="48"/>
  <c r="H30" i="48"/>
  <c r="G30" i="48"/>
  <c r="I30" i="48"/>
  <c r="H32" i="48"/>
  <c r="I32" i="48"/>
  <c r="I33" i="48"/>
  <c r="F13" i="9"/>
  <c r="E13" i="9"/>
  <c r="D13" i="9"/>
  <c r="C13" i="9"/>
  <c r="C6" i="48"/>
  <c r="C19" i="48" s="1"/>
  <c r="D5" i="9"/>
  <c r="D4" i="45" s="1"/>
  <c r="F3" i="28" s="1"/>
  <c r="F2" i="27" s="1"/>
  <c r="E3" i="48"/>
  <c r="H33" i="48"/>
  <c r="G32" i="48"/>
  <c r="I34" i="48"/>
  <c r="F31" i="48"/>
  <c r="E30" i="48"/>
  <c r="R28" i="48" l="1"/>
  <c r="R59" i="48" s="1"/>
  <c r="T28" i="48"/>
  <c r="T59" i="48" s="1"/>
  <c r="O28" i="48"/>
  <c r="O59" i="48" s="1"/>
  <c r="S28" i="48"/>
  <c r="S59" i="48" s="1"/>
  <c r="U28" i="48"/>
  <c r="U59" i="48" s="1"/>
  <c r="V28" i="48"/>
  <c r="V59" i="48" s="1"/>
  <c r="W28" i="48"/>
  <c r="W59" i="48" s="1"/>
  <c r="X28" i="48"/>
  <c r="X59" i="48" s="1"/>
  <c r="Y28" i="48"/>
  <c r="Y59" i="48" s="1"/>
  <c r="Z28" i="48"/>
  <c r="Z59" i="48" s="1"/>
  <c r="AA28" i="48"/>
  <c r="AA59" i="48" s="1"/>
  <c r="P28" i="48"/>
  <c r="P59" i="48" s="1"/>
  <c r="Q28" i="48"/>
  <c r="Q59" i="48" s="1"/>
  <c r="J28" i="48"/>
  <c r="J59" i="48" s="1"/>
  <c r="L28" i="48"/>
  <c r="L59" i="48" s="1"/>
  <c r="N28" i="48"/>
  <c r="N59" i="48" s="1"/>
  <c r="M28" i="48"/>
  <c r="M59" i="48" s="1"/>
  <c r="K28" i="48"/>
  <c r="K59" i="48" s="1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1" i="9"/>
  <c r="E6" i="27"/>
  <c r="E6" i="28"/>
  <c r="L6" i="27"/>
  <c r="L6" i="28"/>
  <c r="D51" i="9"/>
  <c r="F6" i="27"/>
  <c r="F6" i="28"/>
  <c r="Q6" i="27"/>
  <c r="Q6" i="28"/>
  <c r="E51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1" i="9"/>
  <c r="H6" i="27"/>
  <c r="H6" i="28"/>
  <c r="M12" i="45" a="1"/>
  <c r="M12" i="45" s="1"/>
  <c r="M39" i="45" s="1"/>
  <c r="G12" i="45" a="1"/>
  <c r="G12" i="45" s="1"/>
  <c r="G39" i="45" s="1"/>
  <c r="L12" i="45" a="1"/>
  <c r="L12" i="45" s="1"/>
  <c r="L39" i="45" s="1"/>
  <c r="I12" i="45" a="1"/>
  <c r="I12" i="45" s="1"/>
  <c r="I39" i="45" s="1"/>
  <c r="N12" i="45" a="1"/>
  <c r="N12" i="45" s="1"/>
  <c r="N39" i="45" s="1"/>
  <c r="C12" i="45" a="1"/>
  <c r="C12" i="45" s="1"/>
  <c r="C39" i="45" s="1"/>
  <c r="J12" i="45" a="1"/>
  <c r="J12" i="45" s="1"/>
  <c r="J39" i="45" s="1"/>
  <c r="D12" i="45" a="1"/>
  <c r="D12" i="45" s="1"/>
  <c r="D39" i="45" s="1"/>
  <c r="E12" i="45" a="1"/>
  <c r="E12" i="45" s="1"/>
  <c r="E39" i="45" s="1"/>
  <c r="H12" i="45" a="1"/>
  <c r="H12" i="45" s="1"/>
  <c r="H39" i="45" s="1"/>
  <c r="K12" i="45" a="1"/>
  <c r="K12" i="45" s="1"/>
  <c r="K39" i="45" s="1"/>
  <c r="F12" i="45" a="1"/>
  <c r="F12" i="45" s="1"/>
  <c r="F39" i="45" s="1"/>
  <c r="C10" i="48"/>
  <c r="C28" i="48"/>
  <c r="C59" i="48" s="1"/>
  <c r="G28" i="48"/>
  <c r="H28" i="48"/>
  <c r="F28" i="48"/>
  <c r="I28" i="48"/>
  <c r="D28" i="48"/>
  <c r="D59" i="48" s="1"/>
  <c r="E28" i="48"/>
  <c r="E59" i="48" s="1"/>
  <c r="D6" i="48"/>
  <c r="B51" i="9"/>
  <c r="D6" i="27"/>
  <c r="E5" i="9"/>
  <c r="E4" i="45" s="1"/>
  <c r="G3" i="28" s="1"/>
  <c r="G2" i="27" s="1"/>
  <c r="F3" i="48"/>
  <c r="F25" i="48"/>
  <c r="C63" i="48" l="1"/>
  <c r="C20" i="48"/>
  <c r="C11" i="48" s="1"/>
  <c r="D14" i="28"/>
  <c r="D15" i="27" s="1"/>
  <c r="C65" i="48"/>
  <c r="D19" i="48"/>
  <c r="B14" i="9"/>
  <c r="D10" i="48"/>
  <c r="E6" i="48"/>
  <c r="E19" i="48" s="1"/>
  <c r="C60" i="48"/>
  <c r="D60" i="48" s="1"/>
  <c r="E60" i="48" s="1"/>
  <c r="F5" i="9"/>
  <c r="F4" i="45" s="1"/>
  <c r="H3" i="28" s="1"/>
  <c r="H2" i="27" s="1"/>
  <c r="G3" i="48"/>
  <c r="F59" i="48"/>
  <c r="G25" i="48"/>
  <c r="F6" i="48" l="1"/>
  <c r="F19" i="48" s="1"/>
  <c r="D7" i="28"/>
  <c r="B13" i="45"/>
  <c r="C14" i="9"/>
  <c r="C52" i="9" s="1"/>
  <c r="D65" i="48"/>
  <c r="E14" i="28"/>
  <c r="E15" i="27" s="1"/>
  <c r="D63" i="48"/>
  <c r="D20" i="48"/>
  <c r="D11" i="48" s="1"/>
  <c r="E10" i="48"/>
  <c r="G5" i="9"/>
  <c r="G4" i="45" s="1"/>
  <c r="I3" i="28" s="1"/>
  <c r="I2" i="27" s="1"/>
  <c r="H3" i="48"/>
  <c r="G59" i="48"/>
  <c r="F60" i="48"/>
  <c r="H25" i="48"/>
  <c r="E7" i="28" l="1"/>
  <c r="E7" i="27"/>
  <c r="F14" i="28"/>
  <c r="F15" i="27" s="1"/>
  <c r="E63" i="48"/>
  <c r="E65" i="48"/>
  <c r="E20" i="48"/>
  <c r="D14" i="9"/>
  <c r="C13" i="45" a="1"/>
  <c r="C13" i="45" s="1"/>
  <c r="C40" i="45" s="1"/>
  <c r="F10" i="48"/>
  <c r="G6" i="48"/>
  <c r="G19" i="48" s="1"/>
  <c r="H5" i="9"/>
  <c r="H4" i="45" s="1"/>
  <c r="J3" i="28" s="1"/>
  <c r="J2" i="27" s="1"/>
  <c r="I3" i="48"/>
  <c r="J3" i="48" s="1"/>
  <c r="K3" i="48" s="1"/>
  <c r="L3" i="48" s="1"/>
  <c r="M3" i="48" s="1"/>
  <c r="N3" i="48" s="1"/>
  <c r="O3" i="48" s="1"/>
  <c r="I59" i="48"/>
  <c r="H59" i="48"/>
  <c r="G60" i="48"/>
  <c r="I25" i="48"/>
  <c r="P3" i="48" l="1"/>
  <c r="E14" i="9"/>
  <c r="G7" i="27" s="1"/>
  <c r="G14" i="28"/>
  <c r="G15" i="27" s="1"/>
  <c r="F63" i="48"/>
  <c r="F65" i="48"/>
  <c r="F20" i="48"/>
  <c r="F11" i="48" s="1"/>
  <c r="F7" i="28"/>
  <c r="F7" i="27"/>
  <c r="D52" i="9"/>
  <c r="E11" i="48"/>
  <c r="D13" i="45" a="1"/>
  <c r="D13" i="45" s="1"/>
  <c r="D40" i="45" s="1"/>
  <c r="G10" i="48"/>
  <c r="H6" i="48"/>
  <c r="H19" i="48" s="1"/>
  <c r="I5" i="9"/>
  <c r="I4" i="45" s="1"/>
  <c r="K3" i="28" s="1"/>
  <c r="K2" i="27" s="1"/>
  <c r="H60" i="48"/>
  <c r="I60" i="48" s="1"/>
  <c r="J60" i="48" s="1"/>
  <c r="K60" i="48" s="1"/>
  <c r="L60" i="48" s="1"/>
  <c r="M60" i="48" s="1"/>
  <c r="N60" i="48" s="1"/>
  <c r="O60" i="48" s="1"/>
  <c r="P60" i="48" s="1"/>
  <c r="Q60" i="48" s="1"/>
  <c r="R60" i="48" s="1"/>
  <c r="S60" i="48" s="1"/>
  <c r="T60" i="48" s="1"/>
  <c r="U60" i="48" s="1"/>
  <c r="V60" i="48" s="1"/>
  <c r="W60" i="48" s="1"/>
  <c r="X60" i="48" s="1"/>
  <c r="Y60" i="48" s="1"/>
  <c r="Z60" i="48" s="1"/>
  <c r="AA60" i="48" s="1"/>
  <c r="Q3" i="48" l="1"/>
  <c r="G7" i="28"/>
  <c r="E52" i="9"/>
  <c r="H14" i="28"/>
  <c r="H15" i="27" s="1"/>
  <c r="G65" i="48"/>
  <c r="G63" i="48"/>
  <c r="F14" i="9"/>
  <c r="F52" i="9" s="1"/>
  <c r="G14" i="9"/>
  <c r="G20" i="48"/>
  <c r="G11" i="48" s="1"/>
  <c r="E13" i="45" a="1"/>
  <c r="E13" i="45" s="1"/>
  <c r="E40" i="45" s="1"/>
  <c r="H10" i="48"/>
  <c r="I6" i="48"/>
  <c r="I19" i="48" s="1"/>
  <c r="J5" i="9"/>
  <c r="J4" i="45" s="1"/>
  <c r="L3" i="28" s="1"/>
  <c r="L2" i="27" s="1"/>
  <c r="R3" i="48" l="1"/>
  <c r="J6" i="48"/>
  <c r="J19" i="48" s="1"/>
  <c r="H7" i="27"/>
  <c r="G52" i="9"/>
  <c r="G41" i="9"/>
  <c r="H7" i="28"/>
  <c r="H65" i="48"/>
  <c r="G16" i="9" s="1"/>
  <c r="I14" i="28"/>
  <c r="I15" i="27" s="1"/>
  <c r="H63" i="48"/>
  <c r="H14" i="9"/>
  <c r="H20" i="48"/>
  <c r="F13" i="45" a="1"/>
  <c r="F13" i="45" s="1"/>
  <c r="F40" i="45" s="1"/>
  <c r="I10" i="48"/>
  <c r="K5" i="9"/>
  <c r="K4" i="45" s="1"/>
  <c r="M3" i="28" s="1"/>
  <c r="M2" i="27" s="1"/>
  <c r="S3" i="48" l="1"/>
  <c r="J10" i="48"/>
  <c r="K6" i="48"/>
  <c r="K19" i="48" s="1"/>
  <c r="H52" i="9"/>
  <c r="H41" i="9"/>
  <c r="I14" i="9"/>
  <c r="J63" i="48"/>
  <c r="J65" i="48"/>
  <c r="I7" i="27"/>
  <c r="I7" i="28"/>
  <c r="I65" i="48"/>
  <c r="H16" i="9" s="1"/>
  <c r="J14" i="28"/>
  <c r="J15" i="27" s="1"/>
  <c r="I63" i="48"/>
  <c r="I20" i="48"/>
  <c r="H11" i="48"/>
  <c r="G13" i="45" a="1"/>
  <c r="G13" i="45" s="1"/>
  <c r="G40" i="45" s="1"/>
  <c r="L5" i="9"/>
  <c r="M5" i="9" s="1"/>
  <c r="N5" i="9" s="1"/>
  <c r="T3" i="48" l="1"/>
  <c r="L6" i="48"/>
  <c r="K10" i="48"/>
  <c r="I11" i="48"/>
  <c r="J20" i="48"/>
  <c r="J14" i="9"/>
  <c r="K63" i="48"/>
  <c r="K65" i="48"/>
  <c r="I52" i="9"/>
  <c r="I41" i="9"/>
  <c r="J67" i="48"/>
  <c r="I16" i="9"/>
  <c r="J7" i="27"/>
  <c r="J7" i="28"/>
  <c r="K7" i="27"/>
  <c r="K14" i="28"/>
  <c r="K15" i="27" s="1"/>
  <c r="H13" i="45" a="1"/>
  <c r="H13" i="45" s="1"/>
  <c r="H40" i="45" s="1"/>
  <c r="L4" i="45"/>
  <c r="N3" i="28" s="1"/>
  <c r="N2" i="27" s="1"/>
  <c r="U3" i="48" l="1"/>
  <c r="L10" i="48"/>
  <c r="L19" i="48"/>
  <c r="K14" i="9" s="1"/>
  <c r="M6" i="48"/>
  <c r="K20" i="48"/>
  <c r="J11" i="48"/>
  <c r="J16" i="9"/>
  <c r="K67" i="48"/>
  <c r="J18" i="9" s="1"/>
  <c r="J52" i="9"/>
  <c r="J41" i="9"/>
  <c r="I18" i="9"/>
  <c r="K7" i="28"/>
  <c r="L7" i="27"/>
  <c r="L14" i="28"/>
  <c r="L15" i="27" s="1"/>
  <c r="I13" i="45" a="1"/>
  <c r="I13" i="45" s="1"/>
  <c r="I40" i="45" s="1"/>
  <c r="M4" i="45"/>
  <c r="O3" i="28" s="1"/>
  <c r="O2" i="27" s="1"/>
  <c r="V3" i="48" l="1"/>
  <c r="N6" i="48"/>
  <c r="M19" i="48"/>
  <c r="M63" i="48" s="1"/>
  <c r="L65" i="48"/>
  <c r="L67" i="48" s="1"/>
  <c r="L63" i="48"/>
  <c r="M10" i="48"/>
  <c r="N10" i="48"/>
  <c r="K41" i="9"/>
  <c r="K52" i="9"/>
  <c r="L14" i="9"/>
  <c r="M65" i="48"/>
  <c r="L20" i="48"/>
  <c r="K11" i="48"/>
  <c r="L7" i="28"/>
  <c r="M7" i="28"/>
  <c r="M14" i="28"/>
  <c r="M15" i="27" s="1"/>
  <c r="J13" i="45" a="1"/>
  <c r="J13" i="45" s="1"/>
  <c r="J40" i="45" s="1"/>
  <c r="N4" i="45"/>
  <c r="P3" i="28" s="1"/>
  <c r="P2" i="27" s="1"/>
  <c r="W3" i="48" l="1"/>
  <c r="N19" i="48"/>
  <c r="M14" i="9" s="1"/>
  <c r="O6" i="48"/>
  <c r="K18" i="9"/>
  <c r="K16" i="9"/>
  <c r="L52" i="9"/>
  <c r="L41" i="9"/>
  <c r="M20" i="48"/>
  <c r="L11" i="48"/>
  <c r="L16" i="9"/>
  <c r="M67" i="48"/>
  <c r="L18" i="9" s="1"/>
  <c r="M7" i="27"/>
  <c r="N7" i="28"/>
  <c r="N14" i="28"/>
  <c r="N15" i="27" s="1"/>
  <c r="K13" i="45" a="1"/>
  <c r="K13" i="45" s="1"/>
  <c r="K40" i="45" s="1"/>
  <c r="Q3" i="28"/>
  <c r="Q2" i="27" s="1"/>
  <c r="N65" i="48" l="1"/>
  <c r="M16" i="9" s="1"/>
  <c r="N63" i="48"/>
  <c r="M52" i="9"/>
  <c r="M41" i="9"/>
  <c r="P6" i="48"/>
  <c r="O10" i="48"/>
  <c r="O19" i="48"/>
  <c r="N14" i="9" s="1"/>
  <c r="X3" i="48"/>
  <c r="M11" i="48"/>
  <c r="N20" i="48"/>
  <c r="N7" i="27"/>
  <c r="O7" i="27"/>
  <c r="O14" i="28"/>
  <c r="O15" i="27" s="1"/>
  <c r="L13" i="45" a="1"/>
  <c r="L13" i="45" s="1"/>
  <c r="L40" i="45" s="1"/>
  <c r="R3" i="28"/>
  <c r="R2" i="27" s="1"/>
  <c r="N67" i="48" l="1"/>
  <c r="M18" i="9" s="1"/>
  <c r="N52" i="9"/>
  <c r="N41" i="9"/>
  <c r="O20" i="48"/>
  <c r="O65" i="48"/>
  <c r="O63" i="48"/>
  <c r="Y3" i="48"/>
  <c r="Q6" i="48"/>
  <c r="P10" i="48"/>
  <c r="P19" i="48"/>
  <c r="N11" i="48"/>
  <c r="O7" i="28"/>
  <c r="P7" i="27"/>
  <c r="P14" i="28"/>
  <c r="P15" i="27" s="1"/>
  <c r="M13" i="45" a="1"/>
  <c r="M13" i="45" s="1"/>
  <c r="M40" i="45" s="1"/>
  <c r="S3" i="28"/>
  <c r="S2" i="27" s="1"/>
  <c r="O67" i="48" l="1"/>
  <c r="N18" i="9" s="1"/>
  <c r="N16" i="9"/>
  <c r="R6" i="48"/>
  <c r="Q10" i="48"/>
  <c r="Q19" i="48"/>
  <c r="Z3" i="48"/>
  <c r="P63" i="48"/>
  <c r="P65" i="48"/>
  <c r="O11" i="48"/>
  <c r="P20" i="48"/>
  <c r="P7" i="28"/>
  <c r="Q7" i="28"/>
  <c r="Q14" i="28"/>
  <c r="Q15" i="27" s="1"/>
  <c r="N13" i="45" a="1"/>
  <c r="N13" i="45" s="1"/>
  <c r="N40" i="45" s="1"/>
  <c r="T3" i="28"/>
  <c r="T2" i="27" s="1"/>
  <c r="P67" i="48" l="1"/>
  <c r="Q20" i="48"/>
  <c r="P11" i="48"/>
  <c r="Q65" i="48"/>
  <c r="Q63" i="48"/>
  <c r="AA3" i="48"/>
  <c r="S6" i="48"/>
  <c r="R10" i="48"/>
  <c r="R19" i="48"/>
  <c r="Q7" i="27"/>
  <c r="R7" i="28"/>
  <c r="R14" i="28"/>
  <c r="R15" i="27" s="1"/>
  <c r="U3" i="28"/>
  <c r="U2" i="27" s="1"/>
  <c r="Q67" i="48" l="1"/>
  <c r="R65" i="48"/>
  <c r="R63" i="48"/>
  <c r="T6" i="48"/>
  <c r="S10" i="48"/>
  <c r="S19" i="48"/>
  <c r="R20" i="48"/>
  <c r="Q11" i="48"/>
  <c r="R7" i="27"/>
  <c r="S7" i="28"/>
  <c r="S14" i="28"/>
  <c r="S15" i="27" s="1"/>
  <c r="V3" i="28"/>
  <c r="V2" i="27" s="1"/>
  <c r="R67" i="48" l="1"/>
  <c r="S63" i="48"/>
  <c r="S65" i="48"/>
  <c r="U6" i="48"/>
  <c r="T10" i="48"/>
  <c r="T19" i="48"/>
  <c r="S20" i="48"/>
  <c r="R11" i="48"/>
  <c r="S7" i="27"/>
  <c r="T7" i="27"/>
  <c r="T14" i="28"/>
  <c r="T15" i="27" s="1"/>
  <c r="W3" i="28"/>
  <c r="W2" i="27" s="1"/>
  <c r="S67" i="48" l="1"/>
  <c r="T65" i="48"/>
  <c r="T63" i="48"/>
  <c r="S11" i="48"/>
  <c r="T20" i="48"/>
  <c r="V6" i="48"/>
  <c r="U10" i="48"/>
  <c r="U19" i="48"/>
  <c r="X3" i="28"/>
  <c r="X2" i="27" s="1"/>
  <c r="T7" i="28"/>
  <c r="U14" i="28"/>
  <c r="U15" i="27" s="1"/>
  <c r="U7" i="27"/>
  <c r="T67" i="48" l="1"/>
  <c r="W6" i="48"/>
  <c r="V10" i="48"/>
  <c r="V19" i="48"/>
  <c r="T11" i="48"/>
  <c r="U20" i="48"/>
  <c r="U63" i="48"/>
  <c r="U65" i="48"/>
  <c r="Y3" i="28"/>
  <c r="Y2" i="27" s="1"/>
  <c r="V7" i="28"/>
  <c r="V14" i="28"/>
  <c r="V15" i="27" s="1"/>
  <c r="U7" i="28"/>
  <c r="U67" i="48" l="1"/>
  <c r="V20" i="48"/>
  <c r="U11" i="48"/>
  <c r="V65" i="48"/>
  <c r="V63" i="48"/>
  <c r="X6" i="48"/>
  <c r="W10" i="48"/>
  <c r="W19" i="48"/>
  <c r="Z3" i="28"/>
  <c r="Z2" i="27" s="1"/>
  <c r="V7" i="27"/>
  <c r="W7" i="28"/>
  <c r="W14" i="28"/>
  <c r="W15" i="27" s="1"/>
  <c r="V67" i="48" l="1"/>
  <c r="Y6" i="48"/>
  <c r="X10" i="48"/>
  <c r="X19" i="48"/>
  <c r="W65" i="48"/>
  <c r="W63" i="48"/>
  <c r="W20" i="48"/>
  <c r="V11" i="48"/>
  <c r="AA3" i="28"/>
  <c r="AA2" i="27" s="1"/>
  <c r="W7" i="27"/>
  <c r="X14" i="28"/>
  <c r="X15" i="27" s="1"/>
  <c r="W67" i="48" l="1"/>
  <c r="Y14" i="28"/>
  <c r="Y15" i="27" s="1"/>
  <c r="X20" i="48"/>
  <c r="W11" i="48"/>
  <c r="X65" i="48"/>
  <c r="X63" i="48"/>
  <c r="Z6" i="48"/>
  <c r="Y10" i="48"/>
  <c r="Y19" i="48"/>
  <c r="AB3" i="28"/>
  <c r="AB2" i="27" s="1"/>
  <c r="Y7" i="27"/>
  <c r="Y7" i="28"/>
  <c r="X7" i="27"/>
  <c r="X7" i="28"/>
  <c r="Z14" i="28" l="1"/>
  <c r="Z15" i="27" s="1"/>
  <c r="X67" i="48"/>
  <c r="Y65" i="48"/>
  <c r="Y63" i="48"/>
  <c r="AA6" i="48"/>
  <c r="Z10" i="48"/>
  <c r="Z19" i="48"/>
  <c r="Y20" i="48"/>
  <c r="X11" i="48"/>
  <c r="AC3" i="28"/>
  <c r="AC2" i="27" s="1"/>
  <c r="Z7" i="28"/>
  <c r="Z7" i="27"/>
  <c r="C41" i="9"/>
  <c r="D67" i="48"/>
  <c r="C16" i="9"/>
  <c r="C15" i="45" s="1" a="1"/>
  <c r="C15" i="45" s="1"/>
  <c r="AA14" i="28" l="1"/>
  <c r="AA15" i="27" s="1"/>
  <c r="Y67" i="48"/>
  <c r="Z63" i="48"/>
  <c r="Z65" i="48"/>
  <c r="Z20" i="48"/>
  <c r="Y11" i="48"/>
  <c r="AA10" i="48"/>
  <c r="AA19" i="48"/>
  <c r="AD3" i="28"/>
  <c r="AD2" i="27" s="1"/>
  <c r="AA7" i="28"/>
  <c r="AA7" i="27"/>
  <c r="C29" i="45"/>
  <c r="C18" i="9"/>
  <c r="C17" i="45" s="1" a="1"/>
  <c r="C17" i="45" s="1"/>
  <c r="B16" i="9"/>
  <c r="B15" i="45" s="1" a="1"/>
  <c r="B15" i="45" s="1"/>
  <c r="Z67" i="48" l="1"/>
  <c r="AB14" i="28"/>
  <c r="AB15" i="27" s="1"/>
  <c r="AA20" i="48"/>
  <c r="AA11" i="48" s="1"/>
  <c r="Z11" i="48"/>
  <c r="AA65" i="48"/>
  <c r="AA63" i="48"/>
  <c r="AE3" i="28"/>
  <c r="AE2" i="27" s="1"/>
  <c r="AC14" i="28"/>
  <c r="AC15" i="27" s="1"/>
  <c r="AB7" i="28"/>
  <c r="AB7" i="27"/>
  <c r="C66" i="48"/>
  <c r="C13" i="48" s="1"/>
  <c r="C67" i="48"/>
  <c r="C64" i="48"/>
  <c r="D64" i="48" s="1"/>
  <c r="AA67" i="48" l="1"/>
  <c r="AF3" i="28"/>
  <c r="AF2" i="27" s="1"/>
  <c r="AC7" i="27"/>
  <c r="AC7" i="28"/>
  <c r="AD14" i="28"/>
  <c r="AD15" i="27" s="1"/>
  <c r="E64" i="48"/>
  <c r="B52" i="9"/>
  <c r="B41" i="9"/>
  <c r="F67" i="48"/>
  <c r="E18" i="9" s="1"/>
  <c r="E17" i="45" s="1" a="1"/>
  <c r="E17" i="45" s="1"/>
  <c r="E16" i="9"/>
  <c r="E15" i="45" s="1" a="1"/>
  <c r="E15" i="45" s="1"/>
  <c r="E67" i="48"/>
  <c r="D16" i="9"/>
  <c r="D15" i="45" s="1" a="1"/>
  <c r="D15" i="45" s="1"/>
  <c r="C68" i="48"/>
  <c r="D68" i="48" s="1"/>
  <c r="D12" i="48" s="1"/>
  <c r="D66" i="48"/>
  <c r="D13" i="48" s="1"/>
  <c r="B18" i="9"/>
  <c r="B17" i="45" s="1" a="1"/>
  <c r="B17" i="45" s="1"/>
  <c r="D7" i="27"/>
  <c r="AG3" i="28" l="1"/>
  <c r="AG2" i="27" s="1"/>
  <c r="AE14" i="28"/>
  <c r="AE15" i="27" s="1"/>
  <c r="AD7" i="27"/>
  <c r="AD7" i="28"/>
  <c r="F64" i="48"/>
  <c r="C12" i="48"/>
  <c r="C16" i="48" s="1"/>
  <c r="E41" i="9"/>
  <c r="B40" i="45"/>
  <c r="B29" i="45"/>
  <c r="D41" i="9"/>
  <c r="E68" i="48"/>
  <c r="F68" i="48" s="1"/>
  <c r="G67" i="48"/>
  <c r="F16" i="9"/>
  <c r="F15" i="45" s="1" a="1"/>
  <c r="F15" i="45" s="1"/>
  <c r="D18" i="9"/>
  <c r="D17" i="45" s="1" a="1"/>
  <c r="D17" i="45" s="1"/>
  <c r="E66" i="48"/>
  <c r="G15" i="45" a="1"/>
  <c r="G15" i="45" s="1"/>
  <c r="AH3" i="28" l="1"/>
  <c r="AH2" i="27" s="1"/>
  <c r="AE7" i="27"/>
  <c r="AE7" i="28"/>
  <c r="AF14" i="28"/>
  <c r="AF15" i="27" s="1"/>
  <c r="E12" i="48"/>
  <c r="G64" i="48"/>
  <c r="H64" i="48" s="1"/>
  <c r="F12" i="48"/>
  <c r="D16" i="48"/>
  <c r="B23" i="9"/>
  <c r="B24" i="9" s="1"/>
  <c r="D29" i="45"/>
  <c r="F41" i="9"/>
  <c r="E29" i="45"/>
  <c r="G68" i="48"/>
  <c r="F18" i="9"/>
  <c r="F17" i="45" s="1" a="1"/>
  <c r="F17" i="45" s="1"/>
  <c r="E13" i="48"/>
  <c r="F66" i="48"/>
  <c r="H67" i="48"/>
  <c r="G18" i="9" s="1"/>
  <c r="H15" i="45" a="1"/>
  <c r="H15" i="45" s="1"/>
  <c r="AI3" i="28" l="1"/>
  <c r="AI2" i="27" s="1"/>
  <c r="AG14" i="28"/>
  <c r="AG15" i="27" s="1"/>
  <c r="AF7" i="27"/>
  <c r="AF7" i="28"/>
  <c r="G12" i="48"/>
  <c r="C23" i="9"/>
  <c r="C47" i="9" s="1"/>
  <c r="B20" i="45" a="1"/>
  <c r="B20" i="45" s="1"/>
  <c r="D9" i="28"/>
  <c r="E16" i="48"/>
  <c r="B45" i="9"/>
  <c r="B47" i="9"/>
  <c r="F29" i="45"/>
  <c r="F13" i="48"/>
  <c r="F16" i="48" s="1"/>
  <c r="G66" i="48"/>
  <c r="H68" i="48"/>
  <c r="G17" i="45" a="1"/>
  <c r="G17" i="45" s="1"/>
  <c r="I67" i="48"/>
  <c r="I15" i="45" a="1"/>
  <c r="I15" i="45" s="1"/>
  <c r="B21" i="45" a="1"/>
  <c r="B21" i="45" s="1"/>
  <c r="AJ3" i="28" l="1"/>
  <c r="AJ2" i="27" s="1"/>
  <c r="AH14" i="28"/>
  <c r="AH15" i="27" s="1"/>
  <c r="AG7" i="27"/>
  <c r="AG7" i="28"/>
  <c r="H18" i="9"/>
  <c r="H17" i="45" s="1" a="1"/>
  <c r="H17" i="45" s="1"/>
  <c r="C20" i="45" a="1"/>
  <c r="C20" i="45" s="1"/>
  <c r="C33" i="45" s="1"/>
  <c r="E9" i="28"/>
  <c r="E11" i="28" s="1"/>
  <c r="E16" i="28" s="1"/>
  <c r="E20" i="28" s="1"/>
  <c r="C45" i="9"/>
  <c r="I64" i="48"/>
  <c r="J64" i="48" s="1"/>
  <c r="H12" i="48"/>
  <c r="D23" i="9"/>
  <c r="F9" i="28" s="1"/>
  <c r="D11" i="28"/>
  <c r="D10" i="27"/>
  <c r="E23" i="9"/>
  <c r="B35" i="45"/>
  <c r="B33" i="45"/>
  <c r="G29" i="45"/>
  <c r="B54" i="9"/>
  <c r="G13" i="48"/>
  <c r="G16" i="48" s="1"/>
  <c r="H66" i="48"/>
  <c r="I68" i="48"/>
  <c r="J68" i="48" s="1"/>
  <c r="K68" i="48" s="1"/>
  <c r="L68" i="48" s="1"/>
  <c r="M68" i="48" s="1"/>
  <c r="N68" i="48" s="1"/>
  <c r="O68" i="48" s="1"/>
  <c r="P68" i="48" s="1"/>
  <c r="Q68" i="48" s="1"/>
  <c r="R68" i="48" s="1"/>
  <c r="S68" i="48" s="1"/>
  <c r="T68" i="48" s="1"/>
  <c r="U68" i="48" s="1"/>
  <c r="V68" i="48" s="1"/>
  <c r="W68" i="48" s="1"/>
  <c r="X68" i="48" s="1"/>
  <c r="Y68" i="48" s="1"/>
  <c r="Z68" i="48" s="1"/>
  <c r="AA68" i="48" s="1"/>
  <c r="J15" i="45" a="1"/>
  <c r="J15" i="45" s="1"/>
  <c r="C24" i="9"/>
  <c r="AK3" i="28" l="1"/>
  <c r="AK2" i="27" s="1"/>
  <c r="K64" i="48"/>
  <c r="J12" i="48"/>
  <c r="AI14" i="28"/>
  <c r="AI15" i="27" s="1"/>
  <c r="AH7" i="28"/>
  <c r="AH7" i="27"/>
  <c r="C35" i="45"/>
  <c r="E10" i="27"/>
  <c r="D47" i="9"/>
  <c r="D20" i="45" a="1"/>
  <c r="D20" i="45" s="1"/>
  <c r="D35" i="45" s="1"/>
  <c r="D45" i="9"/>
  <c r="I12" i="48"/>
  <c r="C15" i="9"/>
  <c r="E8" i="27"/>
  <c r="F11" i="28"/>
  <c r="F16" i="28" s="1"/>
  <c r="F20" i="28" s="1"/>
  <c r="F10" i="27"/>
  <c r="E20" i="45" a="1"/>
  <c r="E20" i="45" s="1"/>
  <c r="G9" i="28"/>
  <c r="C21" i="45" a="1"/>
  <c r="C21" i="45" s="1"/>
  <c r="C42" i="45" s="1"/>
  <c r="C54" i="9"/>
  <c r="F23" i="9"/>
  <c r="E47" i="9"/>
  <c r="E45" i="9"/>
  <c r="H29" i="45"/>
  <c r="B42" i="45"/>
  <c r="B32" i="45"/>
  <c r="H13" i="48"/>
  <c r="I66" i="48"/>
  <c r="J66" i="48" s="1"/>
  <c r="I17" i="45" a="1"/>
  <c r="I17" i="45" s="1"/>
  <c r="K15" i="45" a="1"/>
  <c r="K15" i="45" s="1"/>
  <c r="D24" i="9"/>
  <c r="H16" i="48" l="1"/>
  <c r="G23" i="9" s="1"/>
  <c r="AL3" i="28"/>
  <c r="AL2" i="27" s="1"/>
  <c r="AJ14" i="28"/>
  <c r="AJ15" i="27" s="1"/>
  <c r="J13" i="48"/>
  <c r="J16" i="48" s="1"/>
  <c r="I23" i="9" s="1"/>
  <c r="K66" i="48"/>
  <c r="AI7" i="27"/>
  <c r="AI7" i="28"/>
  <c r="L64" i="48"/>
  <c r="K12" i="48"/>
  <c r="E12" i="27"/>
  <c r="E17" i="27" s="1"/>
  <c r="E21" i="27" s="1"/>
  <c r="E25" i="27" s="1"/>
  <c r="C17" i="9" s="1"/>
  <c r="D33" i="45"/>
  <c r="D15" i="9"/>
  <c r="F8" i="27"/>
  <c r="F12" i="27" s="1"/>
  <c r="F17" i="27" s="1"/>
  <c r="F21" i="27" s="1"/>
  <c r="F25" i="27" s="1"/>
  <c r="D17" i="9" s="1"/>
  <c r="G11" i="28"/>
  <c r="G16" i="28" s="1"/>
  <c r="G20" i="28" s="1"/>
  <c r="G10" i="27"/>
  <c r="F20" i="45" a="1"/>
  <c r="F20" i="45" s="1"/>
  <c r="H9" i="28"/>
  <c r="C32" i="45"/>
  <c r="D21" i="45" a="1"/>
  <c r="D21" i="45" s="1"/>
  <c r="D42" i="45" s="1"/>
  <c r="D54" i="9"/>
  <c r="F47" i="9"/>
  <c r="F45" i="9"/>
  <c r="E35" i="45"/>
  <c r="E33" i="45"/>
  <c r="I29" i="45"/>
  <c r="J17" i="45" a="1"/>
  <c r="J17" i="45" s="1"/>
  <c r="I13" i="48"/>
  <c r="I16" i="48" s="1"/>
  <c r="H23" i="9" s="1"/>
  <c r="L15" i="45" a="1"/>
  <c r="L15" i="45" s="1"/>
  <c r="E24" i="9"/>
  <c r="G45" i="9" l="1"/>
  <c r="G24" i="9"/>
  <c r="G47" i="9"/>
  <c r="L12" i="48"/>
  <c r="M64" i="48"/>
  <c r="AK14" i="28"/>
  <c r="AK15" i="27" s="1"/>
  <c r="I47" i="9"/>
  <c r="I45" i="9"/>
  <c r="I24" i="9"/>
  <c r="H47" i="9"/>
  <c r="H45" i="9"/>
  <c r="H24" i="9"/>
  <c r="AJ7" i="27"/>
  <c r="AJ7" i="28"/>
  <c r="K13" i="48"/>
  <c r="K16" i="48" s="1"/>
  <c r="J23" i="9" s="1"/>
  <c r="L66" i="48"/>
  <c r="H11" i="28"/>
  <c r="H16" i="28" s="1"/>
  <c r="H20" i="28" s="1"/>
  <c r="H10" i="27"/>
  <c r="E15" i="9"/>
  <c r="G8" i="27"/>
  <c r="G12" i="27" s="1"/>
  <c r="G17" i="27" s="1"/>
  <c r="G21" i="27" s="1"/>
  <c r="G25" i="27" s="1"/>
  <c r="E17" i="9" s="1"/>
  <c r="G20" i="45" a="1"/>
  <c r="G20" i="45" s="1"/>
  <c r="I9" i="28"/>
  <c r="D32" i="45"/>
  <c r="E21" i="45" a="1"/>
  <c r="E21" i="45" s="1"/>
  <c r="E42" i="45" s="1"/>
  <c r="E54" i="9"/>
  <c r="F33" i="45"/>
  <c r="F35" i="45"/>
  <c r="J29" i="45"/>
  <c r="K17" i="45" a="1"/>
  <c r="K17" i="45" s="1"/>
  <c r="L17" i="45" a="1"/>
  <c r="L17" i="45" s="1"/>
  <c r="M15" i="45" a="1"/>
  <c r="M15" i="45" s="1"/>
  <c r="F24" i="9"/>
  <c r="G54" i="9" l="1"/>
  <c r="J47" i="9"/>
  <c r="J45" i="9"/>
  <c r="J24" i="9"/>
  <c r="I54" i="9"/>
  <c r="AL14" i="28"/>
  <c r="AL15" i="27" s="1"/>
  <c r="AK7" i="27"/>
  <c r="AK7" i="28"/>
  <c r="M66" i="48"/>
  <c r="L13" i="48"/>
  <c r="L16" i="48" s="1"/>
  <c r="K23" i="9" s="1"/>
  <c r="M12" i="48"/>
  <c r="N64" i="48"/>
  <c r="O64" i="48" s="1"/>
  <c r="H54" i="9"/>
  <c r="I11" i="28"/>
  <c r="I16" i="28" s="1"/>
  <c r="I20" i="28" s="1"/>
  <c r="G15" i="9" s="1"/>
  <c r="I10" i="27"/>
  <c r="F15" i="9"/>
  <c r="H8" i="27"/>
  <c r="H12" i="27" s="1"/>
  <c r="H17" i="27" s="1"/>
  <c r="H21" i="27" s="1"/>
  <c r="H25" i="27" s="1"/>
  <c r="F17" i="9" s="1"/>
  <c r="H20" i="45" a="1"/>
  <c r="H20" i="45" s="1"/>
  <c r="J9" i="28"/>
  <c r="E32" i="45"/>
  <c r="F21" i="45" a="1"/>
  <c r="F21" i="45" s="1"/>
  <c r="F42" i="45" s="1"/>
  <c r="F54" i="9"/>
  <c r="G33" i="45"/>
  <c r="G35" i="45"/>
  <c r="K29" i="45"/>
  <c r="N15" i="45" a="1"/>
  <c r="N15" i="45" s="1"/>
  <c r="P64" i="48" l="1"/>
  <c r="O12" i="48"/>
  <c r="K47" i="9"/>
  <c r="K45" i="9"/>
  <c r="K24" i="9"/>
  <c r="M13" i="48"/>
  <c r="M16" i="48" s="1"/>
  <c r="L23" i="9" s="1"/>
  <c r="N66" i="48"/>
  <c r="O66" i="48" s="1"/>
  <c r="N12" i="48"/>
  <c r="J54" i="9"/>
  <c r="AL7" i="28"/>
  <c r="AL7" i="27"/>
  <c r="I8" i="27"/>
  <c r="I12" i="27" s="1"/>
  <c r="I17" i="27" s="1"/>
  <c r="I21" i="27" s="1"/>
  <c r="I25" i="27" s="1"/>
  <c r="G17" i="9" s="1"/>
  <c r="G19" i="9" s="1"/>
  <c r="G26" i="9" s="1"/>
  <c r="G28" i="9" s="1"/>
  <c r="G33" i="9" s="1"/>
  <c r="J11" i="28"/>
  <c r="J16" i="28" s="1"/>
  <c r="J20" i="28" s="1"/>
  <c r="H15" i="9" s="1"/>
  <c r="J10" i="27"/>
  <c r="I20" i="45" a="1"/>
  <c r="I20" i="45" s="1"/>
  <c r="K9" i="28"/>
  <c r="F32" i="45"/>
  <c r="G21" i="45" a="1"/>
  <c r="G21" i="45" s="1"/>
  <c r="G42" i="45" s="1"/>
  <c r="H33" i="45"/>
  <c r="H35" i="45"/>
  <c r="L29" i="45"/>
  <c r="M17" i="45" a="1"/>
  <c r="M17" i="45" s="1"/>
  <c r="P66" i="48" l="1"/>
  <c r="O13" i="48"/>
  <c r="O16" i="48" s="1"/>
  <c r="N23" i="9" s="1"/>
  <c r="Q64" i="48"/>
  <c r="P12" i="48"/>
  <c r="L47" i="9"/>
  <c r="L45" i="9"/>
  <c r="L24" i="9"/>
  <c r="N13" i="48"/>
  <c r="N16" i="48" s="1"/>
  <c r="M23" i="9" s="1"/>
  <c r="K54" i="9"/>
  <c r="G53" i="9"/>
  <c r="G55" i="9" s="1"/>
  <c r="G42" i="9"/>
  <c r="G43" i="9" s="1"/>
  <c r="G40" i="9"/>
  <c r="K11" i="28"/>
  <c r="K16" i="28" s="1"/>
  <c r="K20" i="28" s="1"/>
  <c r="I15" i="9" s="1"/>
  <c r="K10" i="27"/>
  <c r="J8" i="27"/>
  <c r="J12" i="27" s="1"/>
  <c r="J17" i="27" s="1"/>
  <c r="J21" i="27" s="1"/>
  <c r="J25" i="27" s="1"/>
  <c r="H17" i="9" s="1"/>
  <c r="H19" i="9" s="1"/>
  <c r="H26" i="9" s="1"/>
  <c r="H28" i="9" s="1"/>
  <c r="H33" i="9" s="1"/>
  <c r="J20" i="45" a="1"/>
  <c r="J20" i="45" s="1"/>
  <c r="L9" i="28"/>
  <c r="G32" i="45"/>
  <c r="H21" i="45" a="1"/>
  <c r="H21" i="45" s="1"/>
  <c r="H42" i="45" s="1"/>
  <c r="I35" i="45"/>
  <c r="I33" i="45"/>
  <c r="M29" i="45"/>
  <c r="N17" i="45" a="1"/>
  <c r="N17" i="45" s="1"/>
  <c r="G44" i="9" l="1"/>
  <c r="G46" i="9" s="1"/>
  <c r="M45" i="9"/>
  <c r="M24" i="9"/>
  <c r="M47" i="9"/>
  <c r="N45" i="9"/>
  <c r="N24" i="9"/>
  <c r="N47" i="9"/>
  <c r="R64" i="48"/>
  <c r="Q12" i="48"/>
  <c r="Q66" i="48"/>
  <c r="P13" i="48"/>
  <c r="P16" i="48" s="1"/>
  <c r="L54" i="9"/>
  <c r="H53" i="9"/>
  <c r="H55" i="9" s="1"/>
  <c r="H42" i="9"/>
  <c r="H43" i="9" s="1"/>
  <c r="H40" i="9"/>
  <c r="L11" i="28"/>
  <c r="L16" i="28" s="1"/>
  <c r="L20" i="28" s="1"/>
  <c r="J15" i="9" s="1"/>
  <c r="L10" i="27"/>
  <c r="K8" i="27"/>
  <c r="K12" i="27" s="1"/>
  <c r="K17" i="27" s="1"/>
  <c r="K21" i="27" s="1"/>
  <c r="K25" i="27" s="1"/>
  <c r="I17" i="9" s="1"/>
  <c r="I19" i="9" s="1"/>
  <c r="I26" i="9" s="1"/>
  <c r="I28" i="9" s="1"/>
  <c r="I33" i="9" s="1"/>
  <c r="K20" i="45" a="1"/>
  <c r="K20" i="45" s="1"/>
  <c r="M9" i="28"/>
  <c r="H32" i="45"/>
  <c r="I21" i="45" a="1"/>
  <c r="I21" i="45" s="1"/>
  <c r="I42" i="45" s="1"/>
  <c r="J35" i="45"/>
  <c r="J33" i="45"/>
  <c r="N29" i="45"/>
  <c r="G48" i="9" l="1"/>
  <c r="G49" i="9" s="1"/>
  <c r="H44" i="9"/>
  <c r="H46" i="9" s="1"/>
  <c r="N54" i="9"/>
  <c r="M54" i="9"/>
  <c r="Q13" i="48"/>
  <c r="Q16" i="48" s="1"/>
  <c r="R66" i="48"/>
  <c r="R12" i="48"/>
  <c r="S64" i="48"/>
  <c r="I53" i="9"/>
  <c r="I55" i="9" s="1"/>
  <c r="I42" i="9"/>
  <c r="I43" i="9" s="1"/>
  <c r="I40" i="9"/>
  <c r="M11" i="28"/>
  <c r="M16" i="28" s="1"/>
  <c r="M20" i="28" s="1"/>
  <c r="K15" i="9" s="1"/>
  <c r="M10" i="27"/>
  <c r="L8" i="27"/>
  <c r="L12" i="27" s="1"/>
  <c r="L17" i="27" s="1"/>
  <c r="L21" i="27" s="1"/>
  <c r="L25" i="27" s="1"/>
  <c r="J17" i="9" s="1"/>
  <c r="J19" i="9" s="1"/>
  <c r="J26" i="9" s="1"/>
  <c r="J28" i="9" s="1"/>
  <c r="J33" i="9" s="1"/>
  <c r="L20" i="45" a="1"/>
  <c r="L20" i="45" s="1"/>
  <c r="N9" i="28"/>
  <c r="I32" i="45"/>
  <c r="J21" i="45" a="1"/>
  <c r="J21" i="45" s="1"/>
  <c r="J42" i="45" s="1"/>
  <c r="K35" i="45"/>
  <c r="K33" i="45"/>
  <c r="H48" i="9" l="1"/>
  <c r="H49" i="9" s="1"/>
  <c r="I44" i="9"/>
  <c r="I46" i="9" s="1"/>
  <c r="S12" i="48"/>
  <c r="T64" i="48"/>
  <c r="S66" i="48"/>
  <c r="R13" i="48"/>
  <c r="R16" i="48" s="1"/>
  <c r="J40" i="9"/>
  <c r="J53" i="9"/>
  <c r="J55" i="9" s="1"/>
  <c r="J42" i="9"/>
  <c r="J43" i="9" s="1"/>
  <c r="M8" i="27"/>
  <c r="M12" i="27" s="1"/>
  <c r="M17" i="27" s="1"/>
  <c r="M21" i="27" s="1"/>
  <c r="M25" i="27" s="1"/>
  <c r="K17" i="9" s="1"/>
  <c r="K19" i="9" s="1"/>
  <c r="K26" i="9" s="1"/>
  <c r="K28" i="9" s="1"/>
  <c r="K33" i="9" s="1"/>
  <c r="N11" i="28"/>
  <c r="N16" i="28" s="1"/>
  <c r="N20" i="28" s="1"/>
  <c r="L15" i="9" s="1"/>
  <c r="N10" i="27"/>
  <c r="M20" i="45" a="1"/>
  <c r="M20" i="45" s="1"/>
  <c r="O9" i="28"/>
  <c r="J32" i="45"/>
  <c r="K21" i="45" a="1"/>
  <c r="K21" i="45" s="1"/>
  <c r="K42" i="45" s="1"/>
  <c r="L35" i="45"/>
  <c r="L33" i="45"/>
  <c r="J16" i="45" a="1"/>
  <c r="J16" i="45" s="1"/>
  <c r="J14" i="45" a="1"/>
  <c r="J14" i="45" s="1"/>
  <c r="I48" i="9" l="1"/>
  <c r="I49" i="9" s="1"/>
  <c r="J44" i="9"/>
  <c r="J46" i="9" s="1"/>
  <c r="T66" i="48"/>
  <c r="S13" i="48"/>
  <c r="S16" i="48" s="1"/>
  <c r="T12" i="48"/>
  <c r="U64" i="48"/>
  <c r="K40" i="9"/>
  <c r="K53" i="9"/>
  <c r="K55" i="9" s="1"/>
  <c r="K42" i="9"/>
  <c r="K43" i="9" s="1"/>
  <c r="O11" i="28"/>
  <c r="O16" i="28" s="1"/>
  <c r="O20" i="28" s="1"/>
  <c r="M15" i="9" s="1"/>
  <c r="O10" i="27"/>
  <c r="N8" i="27"/>
  <c r="N12" i="27" s="1"/>
  <c r="N17" i="27" s="1"/>
  <c r="N21" i="27" s="1"/>
  <c r="N25" i="27" s="1"/>
  <c r="L17" i="9" s="1"/>
  <c r="L19" i="9" s="1"/>
  <c r="L26" i="9" s="1"/>
  <c r="L28" i="9" s="1"/>
  <c r="L33" i="9" s="1"/>
  <c r="N20" i="45" a="1"/>
  <c r="N20" i="45" s="1"/>
  <c r="P9" i="28"/>
  <c r="K32" i="45"/>
  <c r="L21" i="45" a="1"/>
  <c r="L21" i="45" s="1"/>
  <c r="L42" i="45" s="1"/>
  <c r="J18" i="45" a="1"/>
  <c r="J18" i="45" s="1"/>
  <c r="J23" i="45" s="1"/>
  <c r="J25" i="45" s="1"/>
  <c r="J41" i="45" s="1"/>
  <c r="J43" i="45" s="1"/>
  <c r="M35" i="45"/>
  <c r="M33" i="45"/>
  <c r="K14" i="45" a="1"/>
  <c r="K14" i="45" s="1"/>
  <c r="K16" i="45" a="1"/>
  <c r="K16" i="45" s="1"/>
  <c r="J48" i="9" l="1"/>
  <c r="J49" i="9" s="1"/>
  <c r="K44" i="9"/>
  <c r="K46" i="9" s="1"/>
  <c r="U12" i="48"/>
  <c r="V64" i="48"/>
  <c r="U66" i="48"/>
  <c r="T13" i="48"/>
  <c r="T16" i="48" s="1"/>
  <c r="L42" i="9"/>
  <c r="L43" i="9" s="1"/>
  <c r="L40" i="9"/>
  <c r="L53" i="9"/>
  <c r="L55" i="9" s="1"/>
  <c r="P11" i="28"/>
  <c r="P16" i="28" s="1"/>
  <c r="P20" i="28" s="1"/>
  <c r="N15" i="9" s="1"/>
  <c r="P10" i="27"/>
  <c r="L32" i="45"/>
  <c r="O8" i="27"/>
  <c r="O12" i="27" s="1"/>
  <c r="O17" i="27" s="1"/>
  <c r="O21" i="27" s="1"/>
  <c r="O25" i="27" s="1"/>
  <c r="M17" i="9" s="1"/>
  <c r="M19" i="9" s="1"/>
  <c r="M26" i="9" s="1"/>
  <c r="M28" i="9" s="1"/>
  <c r="M33" i="9" s="1"/>
  <c r="Q9" i="28"/>
  <c r="M21" i="45" a="1"/>
  <c r="M21" i="45" s="1"/>
  <c r="M42" i="45" s="1"/>
  <c r="K18" i="45" a="1"/>
  <c r="K18" i="45" s="1"/>
  <c r="K23" i="45" s="1"/>
  <c r="K25" i="45" s="1"/>
  <c r="K41" i="45" s="1"/>
  <c r="K43" i="45" s="1"/>
  <c r="N33" i="45"/>
  <c r="N35" i="45"/>
  <c r="L16" i="45" a="1"/>
  <c r="L16" i="45" s="1"/>
  <c r="L14" i="45" a="1"/>
  <c r="L14" i="45" s="1"/>
  <c r="K48" i="9" l="1"/>
  <c r="K49" i="9" s="1"/>
  <c r="L44" i="9"/>
  <c r="L46" i="9" s="1"/>
  <c r="L48" i="9" s="1"/>
  <c r="M42" i="9"/>
  <c r="M43" i="9" s="1"/>
  <c r="M53" i="9"/>
  <c r="M55" i="9" s="1"/>
  <c r="M40" i="9"/>
  <c r="U13" i="48"/>
  <c r="U16" i="48" s="1"/>
  <c r="V66" i="48"/>
  <c r="V12" i="48"/>
  <c r="W64" i="48"/>
  <c r="M32" i="45"/>
  <c r="Q11" i="28"/>
  <c r="Q16" i="28" s="1"/>
  <c r="Q20" i="28" s="1"/>
  <c r="Q10" i="27"/>
  <c r="P8" i="27"/>
  <c r="P12" i="27" s="1"/>
  <c r="P17" i="27" s="1"/>
  <c r="P21" i="27" s="1"/>
  <c r="P25" i="27" s="1"/>
  <c r="N17" i="9" s="1"/>
  <c r="N19" i="9" s="1"/>
  <c r="N26" i="9" s="1"/>
  <c r="N28" i="9" s="1"/>
  <c r="N33" i="9" s="1"/>
  <c r="R9" i="28"/>
  <c r="N21" i="45" a="1"/>
  <c r="N21" i="45" s="1"/>
  <c r="N42" i="45" s="1"/>
  <c r="L18" i="45" a="1"/>
  <c r="L18" i="45" s="1"/>
  <c r="L23" i="45" s="1"/>
  <c r="L25" i="45" s="1"/>
  <c r="L41" i="45" s="1"/>
  <c r="L43" i="45" s="1"/>
  <c r="K30" i="45"/>
  <c r="M16" i="45" a="1"/>
  <c r="M16" i="45" s="1"/>
  <c r="M14" i="45" a="1"/>
  <c r="M14" i="45" s="1"/>
  <c r="M44" i="9" l="1"/>
  <c r="M46" i="9" s="1"/>
  <c r="M48" i="9" s="1"/>
  <c r="M49" i="9" s="1"/>
  <c r="L49" i="9"/>
  <c r="N40" i="9"/>
  <c r="N53" i="9"/>
  <c r="N55" i="9" s="1"/>
  <c r="N42" i="9"/>
  <c r="N43" i="9" s="1"/>
  <c r="W66" i="48"/>
  <c r="V13" i="48"/>
  <c r="V16" i="48" s="1"/>
  <c r="W12" i="48"/>
  <c r="X64" i="48"/>
  <c r="R11" i="28"/>
  <c r="R16" i="28" s="1"/>
  <c r="R20" i="28" s="1"/>
  <c r="R10" i="27"/>
  <c r="Q8" i="27"/>
  <c r="Q12" i="27" s="1"/>
  <c r="Q17" i="27" s="1"/>
  <c r="Q21" i="27" s="1"/>
  <c r="Q25" i="27" s="1"/>
  <c r="S9" i="28"/>
  <c r="N32" i="45"/>
  <c r="M18" i="45" a="1"/>
  <c r="M18" i="45" s="1"/>
  <c r="M23" i="45" s="1"/>
  <c r="M25" i="45" s="1"/>
  <c r="M41" i="45" s="1"/>
  <c r="M43" i="45" s="1"/>
  <c r="K28" i="45"/>
  <c r="N16" i="45" a="1"/>
  <c r="N16" i="45" s="1"/>
  <c r="N14" i="45" a="1"/>
  <c r="N14" i="45" s="1"/>
  <c r="N44" i="9" l="1"/>
  <c r="N46" i="9" s="1"/>
  <c r="Y64" i="48"/>
  <c r="X12" i="48"/>
  <c r="W13" i="48"/>
  <c r="W16" i="48" s="1"/>
  <c r="X66" i="48"/>
  <c r="M22" i="28"/>
  <c r="M24" i="28" s="1"/>
  <c r="M27" i="27"/>
  <c r="M29" i="27" s="1"/>
  <c r="M31" i="27" s="1"/>
  <c r="S11" i="28"/>
  <c r="S16" i="28" s="1"/>
  <c r="S20" i="28" s="1"/>
  <c r="S10" i="27"/>
  <c r="R8" i="27"/>
  <c r="R12" i="27" s="1"/>
  <c r="R17" i="27" s="1"/>
  <c r="R21" i="27" s="1"/>
  <c r="R25" i="27" s="1"/>
  <c r="T9" i="28"/>
  <c r="N18" i="45" a="1"/>
  <c r="N18" i="45" s="1"/>
  <c r="N23" i="45" s="1"/>
  <c r="N25" i="45" s="1"/>
  <c r="N41" i="45" s="1"/>
  <c r="N43" i="45" s="1"/>
  <c r="M30" i="45"/>
  <c r="N48" i="9" l="1"/>
  <c r="N49" i="9" s="1"/>
  <c r="Y66" i="48"/>
  <c r="X13" i="48"/>
  <c r="X16" i="48" s="1"/>
  <c r="Z64" i="48"/>
  <c r="Y12" i="48"/>
  <c r="O22" i="28"/>
  <c r="O26" i="28" s="1"/>
  <c r="O28" i="28" s="1"/>
  <c r="O27" i="27"/>
  <c r="O29" i="27" s="1"/>
  <c r="O31" i="27" s="1"/>
  <c r="M26" i="28"/>
  <c r="M28" i="28" s="1"/>
  <c r="T11" i="28"/>
  <c r="T16" i="28" s="1"/>
  <c r="T20" i="28" s="1"/>
  <c r="T10" i="27"/>
  <c r="S8" i="27"/>
  <c r="S12" i="27" s="1"/>
  <c r="S17" i="27" s="1"/>
  <c r="S21" i="27" s="1"/>
  <c r="S25" i="27" s="1"/>
  <c r="U9" i="28"/>
  <c r="M28" i="45"/>
  <c r="K34" i="45"/>
  <c r="K36" i="45" s="1"/>
  <c r="N30" i="45"/>
  <c r="Z12" i="48" l="1"/>
  <c r="AA64" i="48"/>
  <c r="AA12" i="48" s="1"/>
  <c r="Z66" i="48"/>
  <c r="Y13" i="48"/>
  <c r="Y16" i="48" s="1"/>
  <c r="P22" i="28"/>
  <c r="P24" i="28" s="1"/>
  <c r="P27" i="27"/>
  <c r="P29" i="27" s="1"/>
  <c r="P31" i="27" s="1"/>
  <c r="O24" i="28"/>
  <c r="U11" i="28"/>
  <c r="U16" i="28" s="1"/>
  <c r="U20" i="28" s="1"/>
  <c r="U10" i="27"/>
  <c r="T8" i="27"/>
  <c r="T12" i="27" s="1"/>
  <c r="T17" i="27" s="1"/>
  <c r="T21" i="27" s="1"/>
  <c r="T25" i="27" s="1"/>
  <c r="V9" i="28"/>
  <c r="N28" i="45"/>
  <c r="K37" i="45"/>
  <c r="Z13" i="48" l="1"/>
  <c r="Z16" i="48" s="1"/>
  <c r="AA66" i="48"/>
  <c r="AA13" i="48" s="1"/>
  <c r="AA16" i="48" s="1"/>
  <c r="Y9" i="28"/>
  <c r="P26" i="28"/>
  <c r="P28" i="28" s="1"/>
  <c r="V11" i="28"/>
  <c r="V16" i="28" s="1"/>
  <c r="V20" i="28" s="1"/>
  <c r="V10" i="27"/>
  <c r="U8" i="27"/>
  <c r="U12" i="27" s="1"/>
  <c r="U17" i="27" s="1"/>
  <c r="U21" i="27" s="1"/>
  <c r="U25" i="27" s="1"/>
  <c r="W9" i="28"/>
  <c r="M34" i="45"/>
  <c r="M36" i="45" s="1"/>
  <c r="Z9" i="28" l="1"/>
  <c r="Y10" i="27"/>
  <c r="Y11" i="28"/>
  <c r="Y16" i="28" s="1"/>
  <c r="V8" i="27"/>
  <c r="V12" i="27" s="1"/>
  <c r="V17" i="27" s="1"/>
  <c r="V21" i="27" s="1"/>
  <c r="V25" i="27" s="1"/>
  <c r="W11" i="28"/>
  <c r="W16" i="28" s="1"/>
  <c r="W20" i="28" s="1"/>
  <c r="W10" i="27"/>
  <c r="X9" i="28"/>
  <c r="N34" i="45"/>
  <c r="N36" i="45" s="1"/>
  <c r="M37" i="45"/>
  <c r="Y20" i="28" l="1"/>
  <c r="AA9" i="28"/>
  <c r="Z10" i="27"/>
  <c r="Z11" i="28"/>
  <c r="Z16" i="28" s="1"/>
  <c r="X11" i="28"/>
  <c r="X16" i="28" s="1"/>
  <c r="X20" i="28" s="1"/>
  <c r="X10" i="27"/>
  <c r="W8" i="27"/>
  <c r="W12" i="27" s="1"/>
  <c r="W17" i="27" s="1"/>
  <c r="W21" i="27" s="1"/>
  <c r="W25" i="27" s="1"/>
  <c r="N37" i="45"/>
  <c r="AB9" i="28" l="1"/>
  <c r="Z20" i="28"/>
  <c r="AA10" i="27"/>
  <c r="AA11" i="28"/>
  <c r="AA16" i="28" s="1"/>
  <c r="Y8" i="27"/>
  <c r="Y12" i="27" s="1"/>
  <c r="Y17" i="27" s="1"/>
  <c r="Y21" i="27" s="1"/>
  <c r="Y25" i="27" s="1"/>
  <c r="S22" i="28"/>
  <c r="S24" i="28" s="1"/>
  <c r="S27" i="27"/>
  <c r="S29" i="27" s="1"/>
  <c r="S31" i="27" s="1"/>
  <c r="X8" i="27"/>
  <c r="X12" i="27" s="1"/>
  <c r="X17" i="27" s="1"/>
  <c r="X21" i="27" s="1"/>
  <c r="X25" i="27" s="1"/>
  <c r="Z8" i="27" l="1"/>
  <c r="Z12" i="27" s="1"/>
  <c r="Z17" i="27" s="1"/>
  <c r="Z21" i="27" s="1"/>
  <c r="Z25" i="27" s="1"/>
  <c r="AA20" i="28"/>
  <c r="AC9" i="28"/>
  <c r="AB10" i="27"/>
  <c r="AB11" i="28"/>
  <c r="AB16" i="28" s="1"/>
  <c r="S26" i="28"/>
  <c r="S28" i="28" s="1"/>
  <c r="AD9" i="28" l="1"/>
  <c r="AA8" i="27"/>
  <c r="AA12" i="27" s="1"/>
  <c r="AA17" i="27" s="1"/>
  <c r="AA21" i="27" s="1"/>
  <c r="AA25" i="27" s="1"/>
  <c r="AB20" i="28"/>
  <c r="AC10" i="27"/>
  <c r="AC11" i="28"/>
  <c r="AC16" i="28" s="1"/>
  <c r="AC20" i="28" l="1"/>
  <c r="AE9" i="28"/>
  <c r="AD10" i="27"/>
  <c r="AD11" i="28"/>
  <c r="AD16" i="28" s="1"/>
  <c r="AB8" i="27"/>
  <c r="AB12" i="27" s="1"/>
  <c r="AB17" i="27" s="1"/>
  <c r="AB21" i="27" s="1"/>
  <c r="AB25" i="27" s="1"/>
  <c r="Y27" i="27"/>
  <c r="Y29" i="27" s="1"/>
  <c r="Y31" i="27" s="1"/>
  <c r="Y22" i="28"/>
  <c r="D14" i="45" a="1"/>
  <c r="D14" i="45" s="1"/>
  <c r="C14" i="45" a="1"/>
  <c r="C14" i="45" s="1"/>
  <c r="H14" i="45" a="1"/>
  <c r="H14" i="45" s="1"/>
  <c r="E14" i="45" a="1"/>
  <c r="E14" i="45" s="1"/>
  <c r="F14" i="45" a="1"/>
  <c r="F14" i="45" s="1"/>
  <c r="G14" i="45" a="1"/>
  <c r="G14" i="45" s="1"/>
  <c r="AC8" i="27" l="1"/>
  <c r="AC12" i="27" s="1"/>
  <c r="AC17" i="27" s="1"/>
  <c r="AC21" i="27" s="1"/>
  <c r="AC25" i="27" s="1"/>
  <c r="Y24" i="28"/>
  <c r="Y26" i="28"/>
  <c r="Y28" i="28" s="1"/>
  <c r="Z22" i="28"/>
  <c r="Z27" i="27"/>
  <c r="Z29" i="27" s="1"/>
  <c r="Z31" i="27" s="1"/>
  <c r="AD20" i="28"/>
  <c r="AE10" i="27"/>
  <c r="AE11" i="28"/>
  <c r="AE16" i="28" s="1"/>
  <c r="AF9" i="28"/>
  <c r="I16" i="45" a="1"/>
  <c r="I16" i="45" s="1"/>
  <c r="H16" i="45" a="1"/>
  <c r="H16" i="45" s="1"/>
  <c r="F16" i="45" a="1"/>
  <c r="F16" i="45" s="1"/>
  <c r="E16" i="45" a="1"/>
  <c r="E16" i="45" s="1"/>
  <c r="G16" i="45" a="1"/>
  <c r="G16" i="45" s="1"/>
  <c r="D16" i="45" a="1"/>
  <c r="D16" i="45" s="1"/>
  <c r="C16" i="45" a="1"/>
  <c r="C16" i="45" s="1"/>
  <c r="AE20" i="28" l="1"/>
  <c r="Z24" i="28"/>
  <c r="Z26" i="28"/>
  <c r="Z28" i="28" s="1"/>
  <c r="AD8" i="27"/>
  <c r="AD12" i="27" s="1"/>
  <c r="AD17" i="27" s="1"/>
  <c r="AD21" i="27" s="1"/>
  <c r="AD25" i="27" s="1"/>
  <c r="AG9" i="28"/>
  <c r="AA27" i="27"/>
  <c r="AA29" i="27" s="1"/>
  <c r="AA31" i="27" s="1"/>
  <c r="AA22" i="28"/>
  <c r="AF10" i="27"/>
  <c r="AF11" i="28"/>
  <c r="AF16" i="28" s="1"/>
  <c r="D19" i="9"/>
  <c r="D18" i="45" s="1" a="1"/>
  <c r="D18" i="45" s="1"/>
  <c r="D23" i="45" s="1"/>
  <c r="D25" i="45" s="1"/>
  <c r="D41" i="45" s="1"/>
  <c r="D43" i="45" s="1"/>
  <c r="H18" i="45" a="1"/>
  <c r="H18" i="45" s="1"/>
  <c r="H23" i="45" s="1"/>
  <c r="H25" i="45" s="1"/>
  <c r="H41" i="45" s="1"/>
  <c r="H43" i="45" s="1"/>
  <c r="G18" i="45" a="1"/>
  <c r="G18" i="45" s="1"/>
  <c r="G23" i="45" s="1"/>
  <c r="E19" i="9"/>
  <c r="E18" i="45" s="1" a="1"/>
  <c r="E18" i="45" s="1"/>
  <c r="E23" i="45" s="1"/>
  <c r="E25" i="45" s="1"/>
  <c r="E41" i="45" s="1"/>
  <c r="E43" i="45" s="1"/>
  <c r="F19" i="9"/>
  <c r="F18" i="45" s="1" a="1"/>
  <c r="F18" i="45" s="1"/>
  <c r="F23" i="45" s="1"/>
  <c r="F25" i="45" s="1"/>
  <c r="F41" i="45" s="1"/>
  <c r="F43" i="45" s="1"/>
  <c r="C19" i="9"/>
  <c r="C18" i="45" s="1" a="1"/>
  <c r="C18" i="45" s="1"/>
  <c r="C23" i="45" s="1"/>
  <c r="C25" i="45" s="1"/>
  <c r="C41" i="45" s="1"/>
  <c r="C43" i="45" s="1"/>
  <c r="AH9" i="28" l="1"/>
  <c r="AF20" i="28"/>
  <c r="AG10" i="27"/>
  <c r="AG11" i="28"/>
  <c r="AG16" i="28" s="1"/>
  <c r="AB22" i="28"/>
  <c r="AB27" i="27"/>
  <c r="AB29" i="27" s="1"/>
  <c r="AB31" i="27" s="1"/>
  <c r="AE8" i="27"/>
  <c r="AE12" i="27" s="1"/>
  <c r="AE17" i="27" s="1"/>
  <c r="AE21" i="27" s="1"/>
  <c r="AE25" i="27" s="1"/>
  <c r="AA24" i="28"/>
  <c r="AA26" i="28"/>
  <c r="AA28" i="28" s="1"/>
  <c r="G25" i="45"/>
  <c r="G41" i="45" s="1"/>
  <c r="G43" i="45" s="1"/>
  <c r="E26" i="9"/>
  <c r="E28" i="9" s="1"/>
  <c r="E33" i="9" s="1"/>
  <c r="E30" i="45"/>
  <c r="H30" i="45"/>
  <c r="N31" i="45"/>
  <c r="M31" i="45"/>
  <c r="K31" i="45"/>
  <c r="AB24" i="28" l="1"/>
  <c r="AB26" i="28"/>
  <c r="AB28" i="28" s="1"/>
  <c r="AF8" i="27"/>
  <c r="AF12" i="27" s="1"/>
  <c r="AF17" i="27" s="1"/>
  <c r="AF21" i="27" s="1"/>
  <c r="AF25" i="27" s="1"/>
  <c r="AH10" i="27"/>
  <c r="AH11" i="28"/>
  <c r="AH16" i="28" s="1"/>
  <c r="AC27" i="27"/>
  <c r="AC29" i="27" s="1"/>
  <c r="AC31" i="27" s="1"/>
  <c r="AC22" i="28"/>
  <c r="AG20" i="28"/>
  <c r="AI9" i="28"/>
  <c r="J22" i="28"/>
  <c r="J26" i="28" s="1"/>
  <c r="J28" i="28" s="1"/>
  <c r="J27" i="27"/>
  <c r="J29" i="27" s="1"/>
  <c r="J31" i="27" s="1"/>
  <c r="G22" i="28"/>
  <c r="G24" i="28" s="1"/>
  <c r="G27" i="27"/>
  <c r="G29" i="27" s="1"/>
  <c r="G31" i="27" s="1"/>
  <c r="E53" i="9"/>
  <c r="E55" i="9" s="1"/>
  <c r="E42" i="9"/>
  <c r="E40" i="9"/>
  <c r="H28" i="45"/>
  <c r="E28" i="45"/>
  <c r="E31" i="45"/>
  <c r="H31" i="45"/>
  <c r="AJ9" i="28" l="1"/>
  <c r="AD27" i="27"/>
  <c r="AD29" i="27" s="1"/>
  <c r="AD31" i="27" s="1"/>
  <c r="AD22" i="28"/>
  <c r="AG8" i="27"/>
  <c r="AG12" i="27" s="1"/>
  <c r="AG17" i="27" s="1"/>
  <c r="AG21" i="27" s="1"/>
  <c r="AG25" i="27" s="1"/>
  <c r="AC24" i="28"/>
  <c r="AC26" i="28"/>
  <c r="AC28" i="28" s="1"/>
  <c r="AH20" i="28"/>
  <c r="AI10" i="27"/>
  <c r="AI11" i="28"/>
  <c r="AI16" i="28" s="1"/>
  <c r="J24" i="28"/>
  <c r="G26" i="28"/>
  <c r="G28" i="28" s="1"/>
  <c r="E43" i="9"/>
  <c r="E44" i="9" s="1"/>
  <c r="E46" i="9" s="1"/>
  <c r="E48" i="9" s="1"/>
  <c r="E49" i="9" l="1"/>
  <c r="AL9" i="28"/>
  <c r="AD24" i="28"/>
  <c r="AD26" i="28"/>
  <c r="AD28" i="28" s="1"/>
  <c r="AI20" i="28"/>
  <c r="AK9" i="28"/>
  <c r="AH8" i="27"/>
  <c r="AH12" i="27" s="1"/>
  <c r="AH17" i="27" s="1"/>
  <c r="AH21" i="27" s="1"/>
  <c r="AH25" i="27" s="1"/>
  <c r="AE27" i="27"/>
  <c r="AE29" i="27" s="1"/>
  <c r="AE31" i="27" s="1"/>
  <c r="AE22" i="28"/>
  <c r="AJ10" i="27"/>
  <c r="AJ11" i="28"/>
  <c r="AJ16" i="28" s="1"/>
  <c r="L30" i="45"/>
  <c r="H34" i="45"/>
  <c r="H36" i="45" s="1"/>
  <c r="E34" i="45"/>
  <c r="E36" i="45" s="1"/>
  <c r="AF22" i="28" l="1"/>
  <c r="AF27" i="27"/>
  <c r="AF29" i="27" s="1"/>
  <c r="AF31" i="27" s="1"/>
  <c r="AK10" i="27"/>
  <c r="AK11" i="28"/>
  <c r="AK16" i="28" s="1"/>
  <c r="AI8" i="27"/>
  <c r="AI12" i="27" s="1"/>
  <c r="AI17" i="27" s="1"/>
  <c r="AI21" i="27" s="1"/>
  <c r="AI25" i="27" s="1"/>
  <c r="AL10" i="27"/>
  <c r="AL11" i="28"/>
  <c r="AL16" i="28" s="1"/>
  <c r="AE24" i="28"/>
  <c r="AE26" i="28"/>
  <c r="AE28" i="28" s="1"/>
  <c r="AJ20" i="28"/>
  <c r="L28" i="45"/>
  <c r="E37" i="45"/>
  <c r="H37" i="45"/>
  <c r="AK20" i="28" l="1"/>
  <c r="AF24" i="28"/>
  <c r="AF26" i="28"/>
  <c r="AF28" i="28" s="1"/>
  <c r="AL20" i="28"/>
  <c r="AG27" i="27"/>
  <c r="AG29" i="27" s="1"/>
  <c r="AG31" i="27" s="1"/>
  <c r="AG22" i="28"/>
  <c r="AJ8" i="27"/>
  <c r="AJ12" i="27" s="1"/>
  <c r="AJ17" i="27" s="1"/>
  <c r="AJ21" i="27" s="1"/>
  <c r="AJ25" i="27" s="1"/>
  <c r="N22" i="28"/>
  <c r="N26" i="28" s="1"/>
  <c r="N28" i="28" s="1"/>
  <c r="N27" i="27"/>
  <c r="N29" i="27" s="1"/>
  <c r="N31" i="27" s="1"/>
  <c r="X22" i="28"/>
  <c r="X24" i="28" s="1"/>
  <c r="X27" i="27"/>
  <c r="X29" i="27" s="1"/>
  <c r="X31" i="27" s="1"/>
  <c r="W22" i="28"/>
  <c r="W24" i="28" s="1"/>
  <c r="W27" i="27"/>
  <c r="W29" i="27" s="1"/>
  <c r="W31" i="27" s="1"/>
  <c r="B34" i="45"/>
  <c r="B36" i="45" s="1"/>
  <c r="AK8" i="27" l="1"/>
  <c r="AK12" i="27" s="1"/>
  <c r="AK17" i="27" s="1"/>
  <c r="AK21" i="27" s="1"/>
  <c r="AK25" i="27" s="1"/>
  <c r="AH22" i="28"/>
  <c r="AH27" i="27"/>
  <c r="AH29" i="27" s="1"/>
  <c r="AH31" i="27" s="1"/>
  <c r="AG24" i="28"/>
  <c r="AG26" i="28"/>
  <c r="AG28" i="28" s="1"/>
  <c r="AL8" i="27"/>
  <c r="AL12" i="27" s="1"/>
  <c r="AL17" i="27" s="1"/>
  <c r="AL21" i="27" s="1"/>
  <c r="AL25" i="27" s="1"/>
  <c r="W26" i="28"/>
  <c r="W28" i="28" s="1"/>
  <c r="N24" i="28"/>
  <c r="X26" i="28"/>
  <c r="X28" i="28" s="1"/>
  <c r="B37" i="45"/>
  <c r="F26" i="9"/>
  <c r="F28" i="9" s="1"/>
  <c r="F33" i="9" s="1"/>
  <c r="F30" i="45"/>
  <c r="F31" i="45" s="1"/>
  <c r="L34" i="45"/>
  <c r="L36" i="45" s="1"/>
  <c r="H27" i="27" l="1"/>
  <c r="H29" i="27" s="1"/>
  <c r="H31" i="27" s="1"/>
  <c r="AH24" i="28"/>
  <c r="AH26" i="28"/>
  <c r="AH28" i="28" s="1"/>
  <c r="AI27" i="27"/>
  <c r="AI29" i="27" s="1"/>
  <c r="AI31" i="27" s="1"/>
  <c r="AI22" i="28"/>
  <c r="H22" i="28"/>
  <c r="F28" i="45"/>
  <c r="L37" i="45"/>
  <c r="AI24" i="28" l="1"/>
  <c r="AI26" i="28"/>
  <c r="AI28" i="28" s="1"/>
  <c r="AJ27" i="27"/>
  <c r="AJ29" i="27" s="1"/>
  <c r="AJ31" i="27" s="1"/>
  <c r="AJ22" i="28"/>
  <c r="H26" i="28"/>
  <c r="H28" i="28" s="1"/>
  <c r="H24" i="28"/>
  <c r="F53" i="9"/>
  <c r="F55" i="9" s="1"/>
  <c r="F42" i="9"/>
  <c r="F43" i="9" s="1"/>
  <c r="F40" i="9"/>
  <c r="F44" i="9" l="1"/>
  <c r="F46" i="9" s="1"/>
  <c r="AL27" i="27"/>
  <c r="AL29" i="27" s="1"/>
  <c r="AL31" i="27" s="1"/>
  <c r="AL22" i="28"/>
  <c r="AK27" i="27"/>
  <c r="AK29" i="27" s="1"/>
  <c r="AK31" i="27" s="1"/>
  <c r="AK22" i="28"/>
  <c r="AJ24" i="28"/>
  <c r="AJ26" i="28"/>
  <c r="AJ28" i="28" s="1"/>
  <c r="F34" i="45"/>
  <c r="F36" i="45" s="1"/>
  <c r="F48" i="9" l="1"/>
  <c r="F49" i="9" s="1"/>
  <c r="AL24" i="28"/>
  <c r="AL26" i="28"/>
  <c r="AL28" i="28" s="1"/>
  <c r="AK24" i="28"/>
  <c r="AK26" i="28"/>
  <c r="AK28" i="28" s="1"/>
  <c r="F37" i="45"/>
  <c r="R22" i="28" l="1"/>
  <c r="R24" i="28" s="1"/>
  <c r="R27" i="27"/>
  <c r="R29" i="27" s="1"/>
  <c r="R31" i="27" s="1"/>
  <c r="T22" i="28"/>
  <c r="T24" i="28" s="1"/>
  <c r="T27" i="27"/>
  <c r="T29" i="27" s="1"/>
  <c r="T31" i="27" s="1"/>
  <c r="R26" i="28" l="1"/>
  <c r="R28" i="28" s="1"/>
  <c r="T26" i="28"/>
  <c r="T28" i="28" s="1"/>
  <c r="Q22" i="28"/>
  <c r="Q24" i="28" s="1"/>
  <c r="Q27" i="27"/>
  <c r="Q29" i="27" s="1"/>
  <c r="Q31" i="27" s="1"/>
  <c r="Q26" i="28" l="1"/>
  <c r="Q28" i="28" s="1"/>
  <c r="G30" i="45"/>
  <c r="G31" i="45" s="1"/>
  <c r="G28" i="45" l="1"/>
  <c r="I22" i="28" l="1"/>
  <c r="I24" i="28" s="1"/>
  <c r="I27" i="27"/>
  <c r="I29" i="27" s="1"/>
  <c r="I31" i="27" s="1"/>
  <c r="I26" i="28" l="1"/>
  <c r="I28" i="28" s="1"/>
  <c r="G34" i="45"/>
  <c r="G36" i="45" s="1"/>
  <c r="G37" i="45" l="1"/>
  <c r="U22" i="28" l="1"/>
  <c r="U26" i="28" s="1"/>
  <c r="U28" i="28" s="1"/>
  <c r="U27" i="27"/>
  <c r="U29" i="27" s="1"/>
  <c r="U31" i="27" s="1"/>
  <c r="D26" i="9"/>
  <c r="D30" i="45"/>
  <c r="D31" i="45" s="1"/>
  <c r="U24" i="28" l="1"/>
  <c r="D28" i="9"/>
  <c r="D33" i="9" s="1"/>
  <c r="D28" i="45"/>
  <c r="F22" i="28" l="1"/>
  <c r="F24" i="28" s="1"/>
  <c r="F27" i="27"/>
  <c r="F29" i="27" s="1"/>
  <c r="F31" i="27" s="1"/>
  <c r="D53" i="9"/>
  <c r="D55" i="9" s="1"/>
  <c r="D40" i="9"/>
  <c r="D42" i="9"/>
  <c r="D43" i="9" s="1"/>
  <c r="D44" i="9" l="1"/>
  <c r="D46" i="9" s="1"/>
  <c r="D48" i="9" s="1"/>
  <c r="F26" i="28"/>
  <c r="F28" i="28" s="1"/>
  <c r="D34" i="45"/>
  <c r="D36" i="45" s="1"/>
  <c r="D49" i="9" l="1"/>
  <c r="D37" i="45"/>
  <c r="C26" i="9" l="1"/>
  <c r="C30" i="45"/>
  <c r="C31" i="45" s="1"/>
  <c r="C28" i="9" l="1"/>
  <c r="C33" i="9" s="1"/>
  <c r="C28" i="45"/>
  <c r="E22" i="28" l="1"/>
  <c r="E24" i="28" s="1"/>
  <c r="E27" i="27"/>
  <c r="E29" i="27" s="1"/>
  <c r="E31" i="27" s="1"/>
  <c r="C53" i="9"/>
  <c r="C55" i="9" s="1"/>
  <c r="C40" i="9"/>
  <c r="C42" i="9"/>
  <c r="C43" i="9" s="1"/>
  <c r="C44" i="9" l="1"/>
  <c r="C46" i="9" s="1"/>
  <c r="C48" i="9" s="1"/>
  <c r="E26" i="28"/>
  <c r="E28" i="28" s="1"/>
  <c r="V22" i="28"/>
  <c r="V24" i="28" s="1"/>
  <c r="V27" i="27"/>
  <c r="V29" i="27" s="1"/>
  <c r="V31" i="27" s="1"/>
  <c r="C34" i="45"/>
  <c r="C36" i="45" s="1"/>
  <c r="C49" i="9" l="1"/>
  <c r="V26" i="28"/>
  <c r="V28" i="28" s="1"/>
  <c r="C37" i="45"/>
  <c r="I14" i="45" l="1" a="1"/>
  <c r="I14" i="45" s="1"/>
  <c r="I18" i="45" l="1" a="1"/>
  <c r="I18" i="45" s="1"/>
  <c r="I23" i="45" s="1"/>
  <c r="I25" i="45" s="1"/>
  <c r="I41" i="45" s="1"/>
  <c r="I43" i="45" s="1"/>
  <c r="I30" i="45" l="1"/>
  <c r="I28" i="45" l="1"/>
  <c r="I31" i="45"/>
  <c r="K22" i="28" l="1"/>
  <c r="K24" i="28" s="1"/>
  <c r="K27" i="27"/>
  <c r="K29" i="27" s="1"/>
  <c r="K31" i="27" s="1"/>
  <c r="K26" i="28" l="1"/>
  <c r="K28" i="28" s="1"/>
  <c r="I34" i="45"/>
  <c r="I36" i="45" s="1"/>
  <c r="I37" i="45" l="1"/>
  <c r="J30" i="45" l="1"/>
  <c r="J28" i="45" l="1"/>
  <c r="J31" i="45"/>
  <c r="L22" i="28" l="1"/>
  <c r="L24" i="28" s="1"/>
  <c r="L27" i="27"/>
  <c r="L29" i="27" s="1"/>
  <c r="L31" i="27" s="1"/>
  <c r="L26" i="28" l="1"/>
  <c r="L28" i="28" s="1"/>
  <c r="J34" i="45"/>
  <c r="J36" i="45" s="1"/>
  <c r="J37" i="45" l="1"/>
  <c r="L31" i="45" l="1"/>
  <c r="D16" i="28" l="1"/>
  <c r="D20" i="28" l="1"/>
  <c r="B15" i="9" l="1"/>
  <c r="D8" i="27"/>
  <c r="D12" i="27" l="1"/>
  <c r="D17" i="27" s="1"/>
  <c r="D21" i="27" s="1"/>
  <c r="B14" i="45" a="1"/>
  <c r="B14" i="45" s="1"/>
  <c r="D25" i="27" l="1"/>
  <c r="B17" i="9" s="1"/>
  <c r="B16" i="45" l="1" a="1"/>
  <c r="B16" i="45" s="1"/>
  <c r="B19" i="9"/>
  <c r="B26" i="9" s="1"/>
  <c r="B18" i="45" l="1" a="1"/>
  <c r="B18" i="45" s="1"/>
  <c r="B23" i="45" s="1"/>
  <c r="B25" i="45" s="1"/>
  <c r="B28" i="9" l="1"/>
  <c r="B30" i="45"/>
  <c r="B31" i="45" s="1"/>
  <c r="B28" i="45"/>
  <c r="B41" i="45"/>
  <c r="B43" i="45" s="1"/>
  <c r="B33" i="9" l="1"/>
  <c r="B35" i="9" s="1"/>
  <c r="B36" i="9"/>
  <c r="B37" i="9"/>
  <c r="B53" i="9"/>
  <c r="B55" i="9" s="1"/>
  <c r="B42" i="9"/>
  <c r="B43" i="9" s="1"/>
  <c r="D22" i="28"/>
  <c r="D24" i="28" s="1"/>
  <c r="B40" i="9"/>
  <c r="D27" i="27"/>
  <c r="D29" i="27" s="1"/>
  <c r="D31" i="27" s="1"/>
  <c r="B44" i="9" l="1"/>
  <c r="B46" i="9" s="1"/>
  <c r="D26" i="28"/>
  <c r="D28" i="28" s="1"/>
  <c r="B48" i="9" l="1"/>
  <c r="B49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<sst xmlns="http://schemas.openxmlformats.org/spreadsheetml/2006/main" count="505" uniqueCount="356">
  <si>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</si>
  <si>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</si>
  <si>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</si>
  <si>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</si>
  <si>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</si>
  <si>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</si>
  <si>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</si>
  <si>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</si>
  <si>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</si>
  <si>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</si>
  <si>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</si>
  <si>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</si>
  <si>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</si>
  <si>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</si>
  <si>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</si>
  <si>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</si>
  <si>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</si>
  <si>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</si>
  <si>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</si>
  <si>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</si>
  <si>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</si>
  <si>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</si>
  <si>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</si>
  <si>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</si>
  <si>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</si>
  <si>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</si>
  <si>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</si>
  <si>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</si>
  <si>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</si>
  <si>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</si>
  <si>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</si>
  <si>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</si>
  <si>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</si>
  <si>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</si>
  <si>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</si>
  <si>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</si>
  <si>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</si>
  <si>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</si>
  <si>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</si>
  <si>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</si>
  <si>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</si>
  <si>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</si>
  <si>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</si>
  <si>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</si>
  <si>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</si>
  <si>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</si>
  <si>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</si>
  <si>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</si>
  <si>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</si>
  <si>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</si>
  <si>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</si>
  <si>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</si>
  <si>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</si>
  <si>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</si>
  <si>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</si>
  <si>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</si>
  <si>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</si>
  <si>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</si>
  <si>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</si>
  <si>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</si>
  <si>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</si>
  <si>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</si>
  <si>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</si>
  <si>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</si>
  <si>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</si>
  <si>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</si>
  <si>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</si>
  <si>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</si>
  <si>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</si>
  <si>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</si>
  <si>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</si>
  <si>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</si>
  <si>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</si>
  <si>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</si>
  <si>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</si>
  <si>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</si>
  <si>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</si>
  <si>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</si>
  <si>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</si>
  <si>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</si>
  <si>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</si>
  <si>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</si>
  <si>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</si>
  <si>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</si>
  <si>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</si>
  <si>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</si>
  <si>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</si>
  <si>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</si>
  <si>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</si>
  <si>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</si>
  <si>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</si>
  <si>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</si>
  <si>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</si>
  <si>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</si>
  <si>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</si>
  <si>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</si>
  <si>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</si>
  <si>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</si>
  <si>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</si>
  <si>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</si>
  <si>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</si>
  <si>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</si>
  <si>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</si>
  <si>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</si>
  <si>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</si>
  <si>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</si>
  <si>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</si>
  <si>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</si>
  <si>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</si>
  <si>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</si>
  <si>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</si>
  <si>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</si>
  <si>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</si>
  <si>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</si>
  <si>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</si>
  <si>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</si>
  <si>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</si>
  <si>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</si>
  <si>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</si>
  <si>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</si>
  <si>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</si>
  <si>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</si>
  <si>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</si>
  <si>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</si>
  <si>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</si>
  <si>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</si>
  <si>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</si>
  <si>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</si>
  <si>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</si>
  <si>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</si>
  <si>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</si>
  <si>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</si>
  <si>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</si>
  <si>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</si>
  <si>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</si>
  <si>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</si>
  <si>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</si>
  <si>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</si>
  <si>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</si>
  <si>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</si>
  <si>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</si>
  <si>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</si>
  <si>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</si>
  <si>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</si>
  <si>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</si>
  <si>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</si>
  <si>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</si>
  <si>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</si>
  <si>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</si>
  <si>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</si>
  <si>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</si>
  <si>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</si>
  <si>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</si>
  <si>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</si>
  <si>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</si>
  <si>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</si>
  <si>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</si>
  <si>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</si>
  <si>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</si>
  <si>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</si>
  <si>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</si>
  <si>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</si>
  <si>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</si>
  <si>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</si>
  <si>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</si>
  <si>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</si>
  <si>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</si>
  <si>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</si>
  <si>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</si>
  <si>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</si>
  <si>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</si>
  <si>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</si>
  <si>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</si>
  <si>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</si>
  <si>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</si>
  <si>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</si>
  <si>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</si>
  <si>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</si>
  <si>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</si>
  <si>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</si>
  <si>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</si>
  <si>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</si>
  <si>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</si>
  <si>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</si>
  <si>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</si>
  <si>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</si>
  <si>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</si>
  <si>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</si>
  <si>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</si>
  <si>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</si>
  <si>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</si>
  <si>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</si>
  <si>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</si>
  <si>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</si>
  <si>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</si>
  <si>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</si>
  <si>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</si>
  <si>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</si>
  <si>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</si>
  <si>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</si>
  <si>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</si>
  <si>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</si>
  <si>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</si>
  <si>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</si>
  <si>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</si>
  <si>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</si>
  <si>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</si>
  <si>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</si>
  <si>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</si>
  <si>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</si>
  <si>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</si>
  <si>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</si>
  <si>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</si>
  <si>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</si>
  <si>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</si>
  <si>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</si>
  <si>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</si>
  <si>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</si>
  <si>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</si>
  <si>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</si>
  <si>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</si>
  <si>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</si>
  <si>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</si>
  <si>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</si>
  <si>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</si>
  <si>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</si>
  <si>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</si>
  <si>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</si>
  <si>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</si>
  <si>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</si>
  <si>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</si>
  <si>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</si>
  <si>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</si>
  <si>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</si>
  <si>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</si>
  <si>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</si>
  <si>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</si>
  <si>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</si>
  <si>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</si>
  <si>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</si>
  <si>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</si>
  <si>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</si>
  <si>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</si>
  <si>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</si>
  <si>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</si>
  <si>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</si>
  <si>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</si>
  <si>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</si>
  <si>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</si>
  <si>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</si>
  <si>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</si>
  <si>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</si>
  <si>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</si>
  <si>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</si>
  <si>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</si>
  <si>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</si>
  <si>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</si>
  <si>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</si>
  <si>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</si>
  <si>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</si>
  <si>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</si>
  <si>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</si>
  <si>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</si>
  <si>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</si>
  <si>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</si>
  <si>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</si>
  <si>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</si>
  <si>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</si>
  <si>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</si>
  <si>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</si>
  <si>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</si>
  <si>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</si>
  <si>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</si>
  <si>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</si>
  <si>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</si>
  <si>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</si>
  <si>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</si>
  <si>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</si>
  <si>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</si>
  <si>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</si>
  <si>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</si>
  <si>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</si>
  <si>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</si>
  <si>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</si>
  <si>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</si>
  <si>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</si>
  <si>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</si>
  <si>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</si>
  <si>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</si>
  <si>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</si>
  <si>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</si>
  <si>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</si>
  <si>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</si>
  <si>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</si>
  <si>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</si>
  <si>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</si>
  <si>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</si>
  <si>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</si>
  <si>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</si>
  <si>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</si>
  <si>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</si>
  <si>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Net Revenue Requirement</t>
  </si>
  <si>
    <t>Regulated Generation Cost of Service</t>
  </si>
  <si>
    <t>WV B&amp;O Tax</t>
  </si>
  <si>
    <t>Mitchell 1</t>
  </si>
  <si>
    <t>Mitchell 2</t>
  </si>
  <si>
    <t>Coal</t>
  </si>
  <si>
    <t>Generation (GWh)</t>
  </si>
  <si>
    <t>Revenue ($000)</t>
  </si>
  <si>
    <t>Total Generation Cost ($000)</t>
  </si>
  <si>
    <t>Mitchell Rate Base Calucations</t>
  </si>
  <si>
    <t>Lost Energy Margin from downgrade</t>
  </si>
  <si>
    <t>Lost MWs</t>
  </si>
  <si>
    <t>3 year Rev Req</t>
  </si>
  <si>
    <t>Option</t>
  </si>
  <si>
    <t>Capital spend</t>
  </si>
  <si>
    <t>Interconnection Costs</t>
  </si>
  <si>
    <t>Total Present Value Rev Requirement 10 Yr</t>
  </si>
  <si>
    <t>Avg Revenue Rrequirement 10 Yr</t>
  </si>
  <si>
    <t>Outage Replacement Capacity</t>
  </si>
  <si>
    <t>&lt;&lt; 26/27 clearing price</t>
  </si>
  <si>
    <t xml:space="preserve">APCO WV 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</si>
  <si>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</si>
  <si>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</si>
  <si>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</si>
  <si>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</si>
  <si>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</si>
  <si>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</si>
  <si>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</si>
  <si>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</si>
  <si>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</si>
  <si>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</si>
  <si>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</si>
  <si>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>Appalachian Power Company and Wheeling Power Company</t>
  </si>
  <si>
    <t>Capital Structure and Cost of Capital - Summary</t>
  </si>
  <si>
    <t>Period Ending September 30, 2024</t>
  </si>
  <si>
    <t>Total Companies</t>
  </si>
  <si>
    <t>Percent of</t>
  </si>
  <si>
    <t xml:space="preserve">Cost </t>
  </si>
  <si>
    <t xml:space="preserve">Cost of </t>
  </si>
  <si>
    <t>Capitalization</t>
  </si>
  <si>
    <t>($000)</t>
  </si>
  <si>
    <t>%</t>
  </si>
  <si>
    <t>Long Term Debt¹</t>
  </si>
  <si>
    <t>Preferred Stock</t>
  </si>
  <si>
    <t>Common Equity²</t>
  </si>
  <si>
    <t xml:space="preserve"> </t>
  </si>
  <si>
    <t>1. Long Term Debt balance has been reduced by the balance of ACRRF bonds.</t>
  </si>
  <si>
    <t>2. Excludes $1,901,500 related to the ACRRF.</t>
  </si>
  <si>
    <t>Outage Lost Energy Revenues</t>
  </si>
  <si>
    <t>Month</t>
  </si>
  <si>
    <t>Half ML 2</t>
  </si>
  <si>
    <t>ML 2</t>
  </si>
  <si>
    <t>Dollars</t>
  </si>
  <si>
    <t>Option 4 Outage Lost Energy Margin</t>
  </si>
  <si>
    <t>Option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</si>
</sst>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sz val="10"/>
      <color theme="3" tint="0.39997558519241921"/>
      <name val="Arial"/>
      <family val="2"/>
    </font>
    <font>
      <b/>
      <sz val="13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1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1" fillId="0" borderId="0"/>
    <xf numFmtId="180" fontId="31" fillId="0" borderId="0" applyFont="0" applyFill="0" applyBorder="0" applyAlignment="0" applyProtection="0"/>
    <xf numFmtId="0" fontId="67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184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0" fontId="72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2" fillId="0" borderId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0" fontId="70" fillId="0" borderId="0"/>
    <xf numFmtId="0" fontId="71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69" fillId="0" borderId="0"/>
    <xf numFmtId="0" fontId="72" fillId="0" borderId="0"/>
    <xf numFmtId="0" fontId="69" fillId="0" borderId="0"/>
    <xf numFmtId="188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70" fillId="0" borderId="0"/>
    <xf numFmtId="0" fontId="45" fillId="0" borderId="0"/>
    <xf numFmtId="0" fontId="70" fillId="0" borderId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0" fontId="31" fillId="0" borderId="0"/>
    <xf numFmtId="181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0" fillId="0" borderId="0"/>
    <xf numFmtId="188" fontId="31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0" fontId="69" fillId="0" borderId="0"/>
    <xf numFmtId="8" fontId="68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0" fontId="70" fillId="0" borderId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2" fillId="0" borderId="0"/>
    <xf numFmtId="0" fontId="70" fillId="0" borderId="0"/>
    <xf numFmtId="0" fontId="68" fillId="0" borderId="0"/>
    <xf numFmtId="0" fontId="73" fillId="0" borderId="0"/>
    <xf numFmtId="0" fontId="74" fillId="0" borderId="0"/>
    <xf numFmtId="0" fontId="31" fillId="0" borderId="0"/>
    <xf numFmtId="0" fontId="71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185" fontId="31" fillId="0" borderId="0" applyFont="0" applyFill="0" applyBorder="0" applyAlignment="0" applyProtection="0"/>
    <xf numFmtId="0" fontId="71" fillId="0" borderId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71" fillId="0" borderId="0"/>
    <xf numFmtId="183" fontId="31" fillId="0" borderId="0" applyFont="0" applyFill="0" applyBorder="0" applyAlignment="0" applyProtection="0"/>
    <xf numFmtId="0" fontId="7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188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70" fillId="0" borderId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45" fillId="0" borderId="0"/>
    <xf numFmtId="185" fontId="31" fillId="0" borderId="0" applyFont="0" applyFill="0" applyBorder="0" applyAlignment="0" applyProtection="0"/>
    <xf numFmtId="0" fontId="31" fillId="0" borderId="0"/>
    <xf numFmtId="0" fontId="73" fillId="0" borderId="0"/>
    <xf numFmtId="0" fontId="71" fillId="0" borderId="0"/>
    <xf numFmtId="0" fontId="70" fillId="0" borderId="0"/>
    <xf numFmtId="191" fontId="31" fillId="0" borderId="0" applyFont="0" applyFill="0" applyBorder="0" applyAlignment="0" applyProtection="0"/>
    <xf numFmtId="0" fontId="70" fillId="0" borderId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177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93" fontId="31" fillId="0" borderId="0">
      <alignment horizontal="left" wrapText="1"/>
    </xf>
    <xf numFmtId="193" fontId="31" fillId="0" borderId="0">
      <alignment horizontal="left" wrapText="1"/>
    </xf>
    <xf numFmtId="169" fontId="31" fillId="0" borderId="0">
      <alignment horizontal="left" wrapText="1"/>
    </xf>
    <xf numFmtId="169" fontId="31" fillId="0" borderId="0">
      <alignment horizontal="left" wrapText="1"/>
    </xf>
    <xf numFmtId="194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197" fontId="31" fillId="0" borderId="0" applyFont="0" applyFill="0" applyBorder="0" applyAlignment="0" applyProtection="0"/>
    <xf numFmtId="0" fontId="31" fillId="0" borderId="0">
      <alignment horizontal="left" wrapText="1"/>
    </xf>
    <xf numFmtId="0" fontId="75" fillId="0" borderId="0" applyNumberFormat="0" applyFill="0" applyBorder="0" applyAlignment="0" applyProtection="0"/>
    <xf numFmtId="198" fontId="31" fillId="0" borderId="0" applyFont="0" applyFill="0" applyBorder="0" applyAlignment="0" applyProtection="0"/>
    <xf numFmtId="199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20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0" fontId="31" fillId="0" borderId="0"/>
    <xf numFmtId="0" fontId="31" fillId="0" borderId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5" fillId="2" borderId="0" applyNumberFormat="0" applyBorder="0" applyAlignment="0" applyProtection="0"/>
    <xf numFmtId="0" fontId="26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77" fillId="16" borderId="0" applyNumberFormat="0" applyBorder="0" applyAlignment="0" applyProtection="0"/>
    <xf numFmtId="0" fontId="26" fillId="11" borderId="0" applyNumberFormat="0" applyBorder="0" applyAlignment="0" applyProtection="0"/>
    <xf numFmtId="0" fontId="77" fillId="11" borderId="0" applyNumberFormat="0" applyBorder="0" applyAlignment="0" applyProtection="0"/>
    <xf numFmtId="0" fontId="26" fillId="12" borderId="0" applyNumberFormat="0" applyBorder="0" applyAlignment="0" applyProtection="0"/>
    <xf numFmtId="0" fontId="77" fillId="13" borderId="0" applyNumberFormat="0" applyBorder="0" applyAlignment="0" applyProtection="0"/>
    <xf numFmtId="0" fontId="26" fillId="17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4" borderId="0" applyNumberFormat="0" applyBorder="0" applyAlignment="0" applyProtection="0"/>
    <xf numFmtId="0" fontId="77" fillId="19" borderId="0" applyNumberFormat="0" applyBorder="0" applyAlignment="0" applyProtection="0"/>
    <xf numFmtId="0" fontId="28" fillId="0" borderId="0"/>
    <xf numFmtId="0" fontId="26" fillId="15" borderId="0" applyNumberFormat="0" applyBorder="0" applyAlignment="0" applyProtection="0"/>
    <xf numFmtId="0" fontId="77" fillId="20" borderId="0" applyNumberFormat="0" applyBorder="0" applyAlignment="0" applyProtection="0"/>
    <xf numFmtId="0" fontId="26" fillId="21" borderId="0" applyNumberFormat="0" applyBorder="0" applyAlignment="0" applyProtection="0"/>
    <xf numFmtId="0" fontId="77" fillId="22" borderId="0" applyNumberFormat="0" applyBorder="0" applyAlignment="0" applyProtection="0"/>
    <xf numFmtId="0" fontId="26" fillId="23" borderId="0" applyNumberFormat="0" applyBorder="0" applyAlignment="0" applyProtection="0"/>
    <xf numFmtId="0" fontId="77" fillId="23" borderId="0" applyNumberFormat="0" applyBorder="0" applyAlignment="0" applyProtection="0"/>
    <xf numFmtId="0" fontId="26" fillId="24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21" borderId="0" applyNumberFormat="0" applyBorder="0" applyAlignment="0" applyProtection="0"/>
    <xf numFmtId="0" fontId="77" fillId="21" borderId="0" applyNumberFormat="0" applyBorder="0" applyAlignment="0" applyProtection="0"/>
    <xf numFmtId="202" fontId="31" fillId="25" borderId="1">
      <alignment horizontal="center" vertical="center"/>
    </xf>
    <xf numFmtId="203" fontId="78" fillId="0" borderId="0" applyNumberFormat="0" applyFill="0" applyBorder="0" applyAlignment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37" fontId="50" fillId="0" borderId="0" applyFill="0" applyBorder="0" applyProtection="0"/>
    <xf numFmtId="0" fontId="79" fillId="0" borderId="0"/>
    <xf numFmtId="0" fontId="80" fillId="0" borderId="2" applyNumberFormat="0" applyFont="0" applyFill="0" applyAlignment="0" applyProtection="0"/>
    <xf numFmtId="0" fontId="80" fillId="0" borderId="3" applyNumberFormat="0" applyFont="0" applyFill="0" applyAlignment="0" applyProtection="0"/>
    <xf numFmtId="170" fontId="28" fillId="0" borderId="0" applyNumberFormat="0" applyFont="0" applyAlignment="0" applyProtection="0"/>
    <xf numFmtId="0" fontId="29" fillId="2" borderId="4" applyNumberFormat="0" applyAlignment="0" applyProtection="0"/>
    <xf numFmtId="0" fontId="29" fillId="26" borderId="4" applyNumberFormat="0" applyAlignment="0" applyProtection="0"/>
    <xf numFmtId="0" fontId="45" fillId="0" borderId="0">
      <alignment horizontal="centerContinuous"/>
    </xf>
    <xf numFmtId="0" fontId="30" fillId="27" borderId="5" applyNumberFormat="0" applyAlignment="0" applyProtection="0"/>
    <xf numFmtId="0" fontId="81" fillId="27" borderId="5" applyNumberFormat="0" applyAlignment="0" applyProtection="0"/>
    <xf numFmtId="43" fontId="19" fillId="0" borderId="0" applyFont="0" applyFill="0" applyBorder="0" applyAlignment="0" applyProtection="0"/>
    <xf numFmtId="204" fontId="42" fillId="0" borderId="0" applyFont="0" applyFill="0" applyBorder="0" applyAlignment="0" applyProtection="0">
      <alignment horizontal="right"/>
    </xf>
    <xf numFmtId="39" fontId="76" fillId="0" borderId="0"/>
    <xf numFmtId="37" fontId="76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3" fontId="32" fillId="0" borderId="0" applyFont="0" applyFill="0" applyBorder="0" applyAlignment="0" applyProtection="0"/>
    <xf numFmtId="0" fontId="33" fillId="0" borderId="0"/>
    <xf numFmtId="172" fontId="31" fillId="0" borderId="0" applyFont="0" applyFill="0" applyBorder="0" applyAlignment="0" applyProtection="0"/>
    <xf numFmtId="205" fontId="83" fillId="0" borderId="0">
      <alignment horizontal="center"/>
    </xf>
    <xf numFmtId="44" fontId="19" fillId="0" borderId="0" applyFont="0" applyFill="0" applyBorder="0" applyAlignment="0" applyProtection="0"/>
    <xf numFmtId="178" fontId="20" fillId="0" borderId="0" applyFont="0" applyFill="0" applyBorder="0" applyAlignment="0"/>
    <xf numFmtId="8" fontId="31" fillId="0" borderId="0" applyFont="0" applyFill="0" applyBorder="0" applyAlignment="0"/>
    <xf numFmtId="37" fontId="76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4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84" fillId="0" borderId="0" applyNumberFormat="0" applyFill="0" applyBorder="0"/>
    <xf numFmtId="0" fontId="32" fillId="0" borderId="0" applyFont="0" applyFill="0" applyBorder="0" applyAlignment="0" applyProtection="0"/>
    <xf numFmtId="207" fontId="86" fillId="28" borderId="6" applyFont="0" applyFill="0" applyBorder="0" applyAlignment="0" applyProtection="0"/>
    <xf numFmtId="208" fontId="20" fillId="28" borderId="0" applyFont="0" applyFill="0" applyBorder="0" applyAlignment="0" applyProtection="0"/>
    <xf numFmtId="209" fontId="59" fillId="0" borderId="7"/>
    <xf numFmtId="0" fontId="82" fillId="0" borderId="0" applyFont="0" applyFill="0" applyBorder="0" applyAlignment="0" applyProtection="0"/>
    <xf numFmtId="210" fontId="31" fillId="0" borderId="0" applyFont="0" applyFill="0" applyBorder="0" applyAlignment="0" applyProtection="0"/>
    <xf numFmtId="207" fontId="59" fillId="0" borderId="0" applyFill="0" applyBorder="0">
      <alignment horizontal="right"/>
    </xf>
    <xf numFmtId="211" fontId="31" fillId="0" borderId="0" applyFont="0" applyFill="0" applyBorder="0" applyAlignment="0" applyProtection="0">
      <alignment vertical="top"/>
    </xf>
    <xf numFmtId="212" fontId="51" fillId="0" borderId="0" applyFont="0" applyFill="0" applyBorder="0" applyAlignment="0" applyProtection="0"/>
    <xf numFmtId="213" fontId="31" fillId="0" borderId="0" applyFont="0" applyFill="0" applyBorder="0" applyAlignment="0" applyProtection="0">
      <alignment horizontal="right"/>
    </xf>
    <xf numFmtId="40" fontId="87" fillId="0" borderId="0"/>
    <xf numFmtId="214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0" fontId="88" fillId="0" borderId="0" applyNumberFormat="0"/>
    <xf numFmtId="0" fontId="89" fillId="0" borderId="0">
      <alignment horizontal="centerContinuous"/>
    </xf>
    <xf numFmtId="0" fontId="89" fillId="0" borderId="0" applyNumberFormat="0"/>
    <xf numFmtId="5" fontId="31" fillId="0" borderId="0"/>
    <xf numFmtId="0" fontId="90" fillId="0" borderId="7" applyFont="0" applyFill="0" applyBorder="0" applyAlignment="0" applyProtection="0"/>
    <xf numFmtId="0" fontId="82" fillId="0" borderId="8" applyNumberFormat="0" applyFont="0" applyFill="0" applyAlignment="0" applyProtection="0"/>
    <xf numFmtId="37" fontId="76" fillId="0" borderId="0"/>
    <xf numFmtId="216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17" fontId="57" fillId="0" borderId="0" applyFont="0" applyFill="0" applyBorder="0" applyAlignment="0" applyProtection="0">
      <alignment horizontal="right"/>
    </xf>
    <xf numFmtId="205" fontId="83" fillId="0" borderId="0">
      <alignment horizontal="center"/>
    </xf>
    <xf numFmtId="2" fontId="32" fillId="0" borderId="0" applyFont="0" applyFill="0" applyBorder="0" applyAlignment="0" applyProtection="0"/>
    <xf numFmtId="218" fontId="31" fillId="28" borderId="0" applyFont="0" applyFill="0" applyBorder="0" applyAlignment="0"/>
    <xf numFmtId="2" fontId="31" fillId="0" borderId="0" applyFont="0" applyFill="0" applyBorder="0" applyAlignment="0" applyProtection="0"/>
    <xf numFmtId="0" fontId="33" fillId="0" borderId="0"/>
    <xf numFmtId="0" fontId="80" fillId="0" borderId="0" applyFill="0" applyBorder="0" applyProtection="0">
      <alignment horizontal="left"/>
    </xf>
    <xf numFmtId="219" fontId="31" fillId="0" borderId="0"/>
    <xf numFmtId="219" fontId="78" fillId="0" borderId="9"/>
    <xf numFmtId="0" fontId="91" fillId="0" borderId="0">
      <alignment horizontal="right"/>
    </xf>
    <xf numFmtId="0" fontId="91" fillId="0" borderId="0"/>
    <xf numFmtId="37" fontId="20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0" fillId="29" borderId="0" applyNumberFormat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92" fillId="0" borderId="0" applyNumberFormat="0" applyFill="0" applyBorder="0" applyAlignment="0" applyProtection="0"/>
    <xf numFmtId="0" fontId="24" fillId="0" borderId="10" applyNumberFormat="0" applyAlignment="0" applyProtection="0">
      <alignment horizontal="left" vertical="center"/>
    </xf>
    <xf numFmtId="0" fontId="24" fillId="0" borderId="11">
      <alignment horizontal="left" vertical="center"/>
    </xf>
    <xf numFmtId="0" fontId="36" fillId="0" borderId="0" applyNumberFormat="0" applyFill="0" applyBorder="0" applyAlignment="0" applyProtection="0"/>
    <xf numFmtId="0" fontId="64" fillId="0" borderId="0" applyNumberFormat="0" applyFont="0" applyFill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38" fillId="0" borderId="12" applyNumberFormat="0" applyFill="0" applyAlignment="0" applyProtection="0"/>
    <xf numFmtId="0" fontId="93" fillId="0" borderId="0" applyProtection="0">
      <alignment horizontal="left"/>
    </xf>
    <xf numFmtId="0" fontId="3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6" fontId="95" fillId="0" borderId="0">
      <protection locked="0"/>
    </xf>
    <xf numFmtId="206" fontId="95" fillId="0" borderId="0">
      <protection locked="0"/>
    </xf>
    <xf numFmtId="220" fontId="31" fillId="0" borderId="0">
      <alignment horizontal="left"/>
    </xf>
    <xf numFmtId="37" fontId="76" fillId="0" borderId="0"/>
    <xf numFmtId="0" fontId="78" fillId="0" borderId="13" applyNumberFormat="0" applyFill="0" applyAlignment="0" applyProtection="0"/>
    <xf numFmtId="0" fontId="39" fillId="4" borderId="4" applyNumberFormat="0" applyAlignment="0" applyProtection="0"/>
    <xf numFmtId="10" fontId="20" fillId="28" borderId="9" applyNumberFormat="0" applyBorder="0" applyAlignment="0" applyProtection="0"/>
    <xf numFmtId="0" fontId="39" fillId="4" borderId="4" applyNumberFormat="0" applyAlignment="0" applyProtection="0"/>
    <xf numFmtId="41" fontId="52" fillId="0" borderId="0">
      <alignment horizontal="left"/>
    </xf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168" fontId="31" fillId="0" borderId="0"/>
    <xf numFmtId="14" fontId="76" fillId="0" borderId="0">
      <alignment horizontal="center"/>
    </xf>
    <xf numFmtId="37" fontId="31" fillId="0" borderId="0" applyFont="0" applyFill="0" applyBorder="0" applyAlignment="0" applyProtection="0"/>
    <xf numFmtId="221" fontId="31" fillId="0" borderId="0" applyFont="0" applyFill="0" applyBorder="0" applyAlignment="0" applyProtection="0">
      <alignment horizontal="left" wrapText="1"/>
    </xf>
    <xf numFmtId="37" fontId="76" fillId="0" borderId="9">
      <alignment horizontal="right"/>
    </xf>
    <xf numFmtId="37" fontId="76" fillId="0" borderId="0">
      <alignment horizontal="center"/>
    </xf>
    <xf numFmtId="37" fontId="76" fillId="0" borderId="0">
      <alignment horizontal="center"/>
    </xf>
    <xf numFmtId="17" fontId="76" fillId="0" borderId="0">
      <alignment horizontal="center"/>
    </xf>
    <xf numFmtId="222" fontId="8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23" fontId="20" fillId="29" borderId="0" applyFont="0" applyBorder="0" applyAlignment="0" applyProtection="0">
      <alignment horizontal="right"/>
      <protection hidden="1"/>
    </xf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37" fontId="96" fillId="0" borderId="0"/>
    <xf numFmtId="224" fontId="97" fillId="0" borderId="0"/>
    <xf numFmtId="0" fontId="43" fillId="0" borderId="0"/>
    <xf numFmtId="0" fontId="43" fillId="0" borderId="0"/>
    <xf numFmtId="38" fontId="20" fillId="0" borderId="0" applyFont="0" applyFill="0" applyBorder="0" applyAlignment="0"/>
    <xf numFmtId="208" fontId="31" fillId="0" borderId="0" applyFont="0" applyFill="0" applyBorder="0" applyAlignment="0"/>
    <xf numFmtId="40" fontId="20" fillId="0" borderId="0" applyFont="0" applyFill="0" applyBorder="0" applyAlignment="0"/>
    <xf numFmtId="225" fontId="20" fillId="0" borderId="0" applyFont="0" applyFill="0" applyBorder="0" applyAlignment="0"/>
    <xf numFmtId="0" fontId="31" fillId="0" borderId="0"/>
    <xf numFmtId="0" fontId="31" fillId="0" borderId="0"/>
    <xf numFmtId="0" fontId="19" fillId="0" borderId="0"/>
    <xf numFmtId="208" fontId="59" fillId="0" borderId="0" applyNumberFormat="0" applyFill="0" applyBorder="0" applyAlignment="0" applyProtection="0"/>
    <xf numFmtId="226" fontId="20" fillId="0" borderId="0" applyFont="0" applyFill="0" applyBorder="0" applyAlignment="0" applyProtection="0"/>
    <xf numFmtId="0" fontId="31" fillId="0" borderId="0"/>
    <xf numFmtId="2" fontId="23" fillId="0" borderId="0" applyFont="0" applyFill="0" applyBorder="0">
      <alignment horizontal="center" vertical="top" wrapText="1" shrinkToFit="1"/>
    </xf>
    <xf numFmtId="0" fontId="98" fillId="0" borderId="0"/>
    <xf numFmtId="0" fontId="19" fillId="6" borderId="15" applyNumberFormat="0" applyFont="0" applyAlignment="0" applyProtection="0"/>
    <xf numFmtId="0" fontId="31" fillId="6" borderId="16" applyNumberFormat="0" applyFont="0" applyAlignment="0" applyProtection="0"/>
    <xf numFmtId="43" fontId="53" fillId="0" borderId="0"/>
    <xf numFmtId="227" fontId="20" fillId="0" borderId="0" applyFont="0" applyFill="0" applyBorder="0" applyAlignment="0" applyProtection="0"/>
    <xf numFmtId="170" fontId="43" fillId="0" borderId="0" applyProtection="0"/>
    <xf numFmtId="173" fontId="54" fillId="0" borderId="0"/>
    <xf numFmtId="228" fontId="20" fillId="0" borderId="0" applyFont="0" applyFill="0" applyBorder="0" applyAlignment="0" applyProtection="0"/>
    <xf numFmtId="37" fontId="33" fillId="30" borderId="9" applyNumberFormat="0" applyFont="0" applyFill="0" applyAlignment="0" applyProtection="0"/>
    <xf numFmtId="0" fontId="44" fillId="2" borderId="17" applyNumberFormat="0" applyAlignment="0" applyProtection="0"/>
    <xf numFmtId="0" fontId="44" fillId="26" borderId="17" applyNumberFormat="0" applyAlignment="0" applyProtection="0"/>
    <xf numFmtId="0" fontId="99" fillId="0" borderId="0" applyFill="0" applyBorder="0" applyProtection="0">
      <alignment horizontal="left"/>
    </xf>
    <xf numFmtId="0" fontId="100" fillId="0" borderId="0" applyFill="0" applyBorder="0" applyProtection="0">
      <alignment horizontal="left"/>
    </xf>
    <xf numFmtId="1" fontId="101" fillId="0" borderId="0" applyProtection="0">
      <alignment horizontal="right" vertical="center"/>
    </xf>
    <xf numFmtId="0" fontId="102" fillId="0" borderId="0">
      <alignment horizontal="centerContinuous"/>
    </xf>
    <xf numFmtId="205" fontId="103" fillId="0" borderId="0">
      <alignment horizontal="right"/>
    </xf>
    <xf numFmtId="205" fontId="103" fillId="0" borderId="0">
      <alignment horizontal="right"/>
    </xf>
    <xf numFmtId="0" fontId="33" fillId="0" borderId="0"/>
    <xf numFmtId="9" fontId="19" fillId="0" borderId="0" applyFont="0" applyFill="0" applyBorder="0" applyAlignment="0" applyProtection="0"/>
    <xf numFmtId="10" fontId="20" fillId="0" borderId="0"/>
    <xf numFmtId="229" fontId="31" fillId="0" borderId="0" applyFont="0" applyFill="0" applyBorder="0" applyAlignment="0"/>
    <xf numFmtId="230" fontId="20" fillId="0" borderId="0" applyFont="0" applyFill="0" applyBorder="0" applyAlignment="0"/>
    <xf numFmtId="231" fontId="31" fillId="0" borderId="0" applyFont="0" applyFill="0" applyBorder="0" applyAlignment="0"/>
    <xf numFmtId="9" fontId="31" fillId="0" borderId="0" applyFont="0" applyFill="0" applyBorder="0" applyAlignment="0" applyProtection="0"/>
    <xf numFmtId="232" fontId="80" fillId="0" borderId="0" applyFont="0" applyFill="0" applyBorder="0" applyProtection="0">
      <alignment horizontal="right"/>
    </xf>
    <xf numFmtId="233" fontId="20" fillId="0" borderId="0" applyFont="0" applyFill="0" applyBorder="0" applyAlignment="0" applyProtection="0"/>
    <xf numFmtId="37" fontId="76" fillId="0" borderId="0"/>
    <xf numFmtId="37" fontId="76" fillId="0" borderId="0"/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208" fontId="104" fillId="0" borderId="0" applyNumberFormat="0" applyFill="0" applyBorder="0" applyAlignment="0" applyProtection="0">
      <alignment horizontal="left"/>
    </xf>
    <xf numFmtId="0" fontId="105" fillId="0" borderId="18">
      <alignment vertical="center"/>
    </xf>
    <xf numFmtId="0" fontId="106" fillId="0" borderId="0"/>
    <xf numFmtId="0" fontId="107" fillId="0" borderId="0"/>
    <xf numFmtId="0" fontId="108" fillId="32" borderId="0" applyNumberFormat="0" applyFont="0" applyBorder="0" applyAlignment="0" applyProtection="0"/>
    <xf numFmtId="169" fontId="31" fillId="0" borderId="0">
      <alignment horizontal="left" wrapText="1"/>
    </xf>
    <xf numFmtId="0" fontId="31" fillId="0" borderId="0"/>
    <xf numFmtId="0" fontId="31" fillId="0" borderId="0"/>
    <xf numFmtId="193" fontId="31" fillId="0" borderId="0">
      <alignment horizontal="left" wrapText="1"/>
    </xf>
    <xf numFmtId="0" fontId="109" fillId="0" borderId="19" applyNumberFormat="0"/>
    <xf numFmtId="177" fontId="110" fillId="0" borderId="0"/>
    <xf numFmtId="0" fontId="49" fillId="0" borderId="0" applyFill="0" applyBorder="0" applyProtection="0">
      <alignment horizontal="center" vertical="center"/>
    </xf>
    <xf numFmtId="0" fontId="111" fillId="0" borderId="0" applyBorder="0" applyProtection="0">
      <alignment vertical="center"/>
    </xf>
    <xf numFmtId="0" fontId="111" fillId="0" borderId="7" applyBorder="0" applyProtection="0">
      <alignment horizontal="right" vertical="center"/>
    </xf>
    <xf numFmtId="0" fontId="112" fillId="33" borderId="0" applyBorder="0" applyProtection="0">
      <alignment horizontal="centerContinuous" vertical="center"/>
    </xf>
    <xf numFmtId="0" fontId="112" fillId="34" borderId="7" applyBorder="0" applyProtection="0">
      <alignment horizontal="centerContinuous" vertical="center"/>
    </xf>
    <xf numFmtId="0" fontId="59" fillId="0" borderId="0" applyBorder="0" applyProtection="0">
      <alignment horizontal="left"/>
    </xf>
    <xf numFmtId="0" fontId="49" fillId="0" borderId="0" applyFill="0" applyBorder="0" applyProtection="0"/>
    <xf numFmtId="0" fontId="98" fillId="0" borderId="0"/>
    <xf numFmtId="0" fontId="23" fillId="0" borderId="0" applyFill="0" applyBorder="0" applyProtection="0">
      <alignment horizontal="left"/>
    </xf>
    <xf numFmtId="0" fontId="114" fillId="0" borderId="0" applyFill="0" applyBorder="0" applyProtection="0">
      <alignment horizontal="left" vertical="top"/>
    </xf>
    <xf numFmtId="0" fontId="115" fillId="0" borderId="0">
      <alignment horizontal="centerContinuous"/>
    </xf>
    <xf numFmtId="0" fontId="116" fillId="0" borderId="0"/>
    <xf numFmtId="0" fontId="117" fillId="0" borderId="0"/>
    <xf numFmtId="234" fontId="118" fillId="0" borderId="0" applyFill="0" applyBorder="0" applyAlignment="0" applyProtection="0">
      <alignment horizontal="right"/>
    </xf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2" fillId="0" borderId="20" applyNumberFormat="0" applyFont="0" applyFill="0" applyAlignment="0" applyProtection="0"/>
    <xf numFmtId="206" fontId="85" fillId="0" borderId="21">
      <protection locked="0"/>
    </xf>
    <xf numFmtId="235" fontId="31" fillId="0" borderId="0"/>
    <xf numFmtId="38" fontId="20" fillId="35" borderId="0" applyNumberFormat="0" applyBorder="0" applyAlignment="0" applyProtection="0"/>
    <xf numFmtId="0" fontId="120" fillId="0" borderId="0">
      <alignment horizontal="fill"/>
    </xf>
    <xf numFmtId="37" fontId="20" fillId="35" borderId="0" applyNumberFormat="0" applyBorder="0" applyAlignment="0" applyProtection="0"/>
    <xf numFmtId="37" fontId="20" fillId="0" borderId="0"/>
    <xf numFmtId="37" fontId="20" fillId="29" borderId="0" applyNumberFormat="0" applyBorder="0" applyAlignment="0" applyProtection="0"/>
    <xf numFmtId="3" fontId="86" fillId="0" borderId="13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0" fontId="80" fillId="0" borderId="0" applyFont="0" applyFill="0" applyBorder="0" applyProtection="0">
      <alignment horizontal="right"/>
    </xf>
    <xf numFmtId="0" fontId="84" fillId="34" borderId="22">
      <alignment horizontal="center" vertical="top"/>
    </xf>
    <xf numFmtId="201" fontId="83" fillId="0" borderId="0">
      <alignment horizontal="center"/>
    </xf>
    <xf numFmtId="205" fontId="31" fillId="0" borderId="0">
      <alignment horizontal="left"/>
    </xf>
    <xf numFmtId="183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0" fontId="31" fillId="0" borderId="0"/>
    <xf numFmtId="43" fontId="122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6" borderId="15" applyNumberFormat="0" applyFont="0" applyAlignment="0" applyProtection="0"/>
    <xf numFmtId="9" fontId="31" fillId="0" borderId="0" applyFont="0" applyFill="0" applyBorder="0" applyAlignment="0" applyProtection="0"/>
    <xf numFmtId="0" fontId="18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185" fontId="19" fillId="0" borderId="0" applyFont="0" applyFill="0" applyBorder="0" applyAlignment="0" applyProtection="0"/>
    <xf numFmtId="0" fontId="19" fillId="0" borderId="0"/>
    <xf numFmtId="236" fontId="126" fillId="0" borderId="0">
      <alignment horizontal="right"/>
    </xf>
    <xf numFmtId="10" fontId="127" fillId="0" borderId="0"/>
    <xf numFmtId="9" fontId="128" fillId="0" borderId="0"/>
    <xf numFmtId="9" fontId="128" fillId="0" borderId="0"/>
    <xf numFmtId="174" fontId="128" fillId="0" borderId="0"/>
    <xf numFmtId="174" fontId="128" fillId="0" borderId="0"/>
    <xf numFmtId="10" fontId="128" fillId="0" borderId="0"/>
    <xf numFmtId="10" fontId="12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9" fillId="0" borderId="0">
      <alignment horizontal="left" wrapText="1"/>
    </xf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237" fillId="0" borderId="59" applyNumberFormat="0" applyFill="0" applyProtection="0">
      <alignment horizontal="center"/>
    </xf>
    <xf numFmtId="42" fontId="10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42" fontId="128" fillId="0" borderId="0" applyFont="0" applyFill="0" applyBorder="0" applyAlignment="0" applyProtection="0"/>
    <xf numFmtId="242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37" fontId="22" fillId="0" borderId="0"/>
    <xf numFmtId="0" fontId="108" fillId="0" borderId="0"/>
    <xf numFmtId="0" fontId="108" fillId="0" borderId="0"/>
    <xf numFmtId="237" fontId="45" fillId="0" borderId="0"/>
    <xf numFmtId="9" fontId="19" fillId="0" borderId="0"/>
    <xf numFmtId="9" fontId="19" fillId="0" borderId="0"/>
    <xf numFmtId="9" fontId="19" fillId="0" borderId="0"/>
    <xf numFmtId="9" fontId="19" fillId="0" borderId="0"/>
    <xf numFmtId="238" fontId="45" fillId="0" borderId="0"/>
    <xf numFmtId="174" fontId="45" fillId="0" borderId="0"/>
    <xf numFmtId="2" fontId="45" fillId="0" borderId="0"/>
    <xf numFmtId="10" fontId="45" fillId="0" borderId="0"/>
    <xf numFmtId="0" fontId="129" fillId="0" borderId="31" applyFont="0" applyFill="0" applyBorder="0" applyAlignment="0" applyProtection="0"/>
    <xf numFmtId="237" fontId="45" fillId="0" borderId="0"/>
    <xf numFmtId="0" fontId="130" fillId="0" borderId="0"/>
    <xf numFmtId="244" fontId="128" fillId="0" borderId="0"/>
    <xf numFmtId="244" fontId="128" fillId="0" borderId="0"/>
    <xf numFmtId="43" fontId="19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3" borderId="0" applyNumberFormat="0" applyBorder="0" applyAlignment="0" applyProtection="0"/>
    <xf numFmtId="0" fontId="125" fillId="1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37" fontId="42" fillId="0" borderId="0">
      <alignment horizontal="center"/>
    </xf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43" fontId="131" fillId="0" borderId="7" applyNumberFormat="0" applyBorder="0"/>
    <xf numFmtId="37" fontId="132" fillId="36" borderId="27" applyBorder="0" applyProtection="0">
      <alignment vertical="center"/>
    </xf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3" fillId="0" borderId="32" applyNumberFormat="0" applyFill="0" applyAlignment="0" applyProtection="0"/>
    <xf numFmtId="0" fontId="134" fillId="0" borderId="7" applyFont="0">
      <alignment horizontal="centerContinuous"/>
    </xf>
    <xf numFmtId="0" fontId="134" fillId="0" borderId="7" applyFont="0">
      <alignment horizontal="centerContinuous"/>
    </xf>
    <xf numFmtId="0" fontId="126" fillId="0" borderId="0"/>
    <xf numFmtId="0" fontId="126" fillId="0" borderId="0"/>
    <xf numFmtId="9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128" fillId="0" borderId="0"/>
    <xf numFmtId="0" fontId="19" fillId="29" borderId="0"/>
    <xf numFmtId="0" fontId="19" fillId="29" borderId="0"/>
    <xf numFmtId="0" fontId="19" fillId="29" borderId="0"/>
    <xf numFmtId="0" fontId="19" fillId="29" borderId="0"/>
    <xf numFmtId="0" fontId="227" fillId="5" borderId="0" applyNumberFormat="0" applyBorder="0" applyAlignment="0" applyProtection="0"/>
    <xf numFmtId="38" fontId="135" fillId="0" borderId="0" applyNumberFormat="0" applyFill="0" applyBorder="0" applyAlignment="0" applyProtection="0"/>
    <xf numFmtId="245" fontId="108" fillId="0" borderId="0" applyFont="0" applyFill="0" applyBorder="0" applyAlignment="0" applyProtection="0"/>
    <xf numFmtId="0" fontId="115" fillId="37" borderId="28" applyFill="0" applyBorder="0" applyProtection="0">
      <alignment horizontal="left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8" fillId="0" borderId="0"/>
    <xf numFmtId="0" fontId="128" fillId="0" borderId="0"/>
    <xf numFmtId="0" fontId="138" fillId="38" borderId="0" applyBorder="0">
      <alignment horizontal="left" vertical="center" indent="1"/>
    </xf>
    <xf numFmtId="0" fontId="134" fillId="0" borderId="7" applyNumberFormat="0" applyFill="0" applyAlignment="0" applyProtection="0"/>
    <xf numFmtId="0" fontId="135" fillId="0" borderId="7" applyNumberFormat="0" applyFont="0" applyFill="0" applyAlignment="0" applyProtection="0"/>
    <xf numFmtId="0" fontId="126" fillId="0" borderId="19"/>
    <xf numFmtId="0" fontId="126" fillId="0" borderId="19"/>
    <xf numFmtId="0" fontId="139" fillId="0" borderId="0" applyFill="0" applyBorder="0">
      <alignment vertical="top"/>
    </xf>
    <xf numFmtId="246" fontId="49" fillId="29" borderId="0" applyBorder="0">
      <alignment vertical="top"/>
    </xf>
    <xf numFmtId="246" fontId="50" fillId="29" borderId="0" applyBorder="0">
      <alignment vertical="top"/>
    </xf>
    <xf numFmtId="1" fontId="62" fillId="0" borderId="0" applyFont="0" applyFill="0" applyBorder="0" applyAlignment="0" applyProtection="0"/>
    <xf numFmtId="0" fontId="128" fillId="0" borderId="7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247" fontId="128" fillId="0" borderId="0" applyFont="0" applyFill="0" applyBorder="0" applyAlignment="0" applyProtection="0"/>
    <xf numFmtId="247" fontId="128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7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43" fontId="126" fillId="0" borderId="0">
      <alignment horizontal="right"/>
    </xf>
    <xf numFmtId="43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37" fontId="128" fillId="0" borderId="0">
      <alignment horizontal="center"/>
    </xf>
    <xf numFmtId="0" fontId="128" fillId="0" borderId="0"/>
    <xf numFmtId="0" fontId="134" fillId="0" borderId="0"/>
    <xf numFmtId="0" fontId="134" fillId="0" borderId="0"/>
    <xf numFmtId="0" fontId="228" fillId="26" borderId="4" applyNumberFormat="0" applyAlignment="0" applyProtection="0"/>
    <xf numFmtId="0" fontId="141" fillId="29" borderId="0" applyNumberFormat="0" applyBorder="0">
      <alignment vertical="center"/>
    </xf>
    <xf numFmtId="0" fontId="49" fillId="0" borderId="0"/>
    <xf numFmtId="0" fontId="49" fillId="0" borderId="0"/>
    <xf numFmtId="0" fontId="142" fillId="0" borderId="0"/>
    <xf numFmtId="1" fontId="143" fillId="0" borderId="0"/>
    <xf numFmtId="0" fontId="229" fillId="27" borderId="5" applyNumberFormat="0" applyAlignment="0" applyProtection="0"/>
    <xf numFmtId="0" fontId="128" fillId="0" borderId="0"/>
    <xf numFmtId="248" fontId="50" fillId="0" borderId="0" applyFill="0" applyBorder="0" applyAlignment="0"/>
    <xf numFmtId="249" fontId="50" fillId="0" borderId="0" applyFill="0" applyBorder="0" applyAlignment="0"/>
    <xf numFmtId="0" fontId="115" fillId="39" borderId="9" applyNumberFormat="0" applyBorder="0" applyProtection="0">
      <alignment horizontal="center" vertical="center" wrapText="1"/>
    </xf>
    <xf numFmtId="43" fontId="19" fillId="0" borderId="0" applyFont="0" applyFill="0" applyBorder="0" applyAlignment="0" applyProtection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0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43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ill="0" applyBorder="0" applyAlignment="0" applyProtection="0"/>
    <xf numFmtId="170" fontId="146" fillId="0" borderId="0" applyFill="0" applyBorder="0">
      <alignment horizontal="left"/>
    </xf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0" fontId="147" fillId="0" borderId="0">
      <alignment horizontal="left"/>
    </xf>
    <xf numFmtId="0" fontId="148" fillId="0" borderId="0"/>
    <xf numFmtId="0" fontId="149" fillId="0" borderId="0">
      <alignment horizontal="left"/>
    </xf>
    <xf numFmtId="44" fontId="19" fillId="0" borderId="0" applyFont="0" applyFill="0" applyBorder="0" applyAlignment="0" applyProtection="0"/>
    <xf numFmtId="252" fontId="80" fillId="0" borderId="0"/>
    <xf numFmtId="252" fontId="80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36" fontId="127" fillId="0" borderId="0">
      <alignment horizontal="right"/>
    </xf>
    <xf numFmtId="253" fontId="128" fillId="0" borderId="0" applyFont="0" applyFill="0" applyBorder="0" applyAlignment="0" applyProtection="0"/>
    <xf numFmtId="253" fontId="128" fillId="0" borderId="0" applyFont="0" applyFill="0" applyBorder="0" applyAlignment="0" applyProtection="0"/>
    <xf numFmtId="254" fontId="19" fillId="0" borderId="0" applyFont="0" applyFill="0" applyBorder="0" applyAlignment="0" applyProtection="0"/>
    <xf numFmtId="14" fontId="115" fillId="0" borderId="0"/>
    <xf numFmtId="14" fontId="115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5" fontId="19" fillId="0" borderId="0"/>
    <xf numFmtId="255" fontId="19" fillId="0" borderId="0"/>
    <xf numFmtId="255" fontId="19" fillId="0" borderId="0"/>
    <xf numFmtId="255" fontId="19" fillId="0" borderId="0"/>
    <xf numFmtId="14" fontId="19" fillId="0" borderId="0"/>
    <xf numFmtId="164" fontId="127" fillId="0" borderId="0"/>
    <xf numFmtId="175" fontId="127" fillId="0" borderId="0"/>
    <xf numFmtId="252" fontId="19" fillId="0" borderId="0"/>
    <xf numFmtId="252" fontId="19" fillId="0" borderId="0"/>
    <xf numFmtId="252" fontId="19" fillId="0" borderId="0"/>
    <xf numFmtId="252" fontId="19" fillId="0" borderId="0"/>
    <xf numFmtId="41" fontId="19" fillId="0" borderId="0" applyFont="0" applyFill="0" applyBorder="0" applyAlignment="0" applyProtection="0"/>
    <xf numFmtId="1" fontId="151" fillId="0" borderId="0" applyFill="0" applyBorder="0" applyAlignment="0" applyProtection="0"/>
    <xf numFmtId="174" fontId="152" fillId="0" borderId="0">
      <alignment horizontal="right"/>
    </xf>
    <xf numFmtId="236" fontId="127" fillId="0" borderId="19">
      <alignment horizontal="right"/>
    </xf>
    <xf numFmtId="176" fontId="19" fillId="0" borderId="0" applyFont="0" applyFill="0" applyBorder="0" applyAlignment="0" applyProtection="0"/>
    <xf numFmtId="170" fontId="28" fillId="0" borderId="0"/>
    <xf numFmtId="2" fontId="153" fillId="0" borderId="0"/>
    <xf numFmtId="256" fontId="19" fillId="0" borderId="0" applyFont="0" applyFill="0" applyBorder="0" applyAlignment="0" applyProtection="0"/>
    <xf numFmtId="216" fontId="19" fillId="0" borderId="0" applyFont="0" applyFill="0" applyBorder="0" applyAlignment="0" applyProtection="0">
      <alignment horizontal="left" wrapText="1"/>
    </xf>
    <xf numFmtId="216" fontId="19" fillId="0" borderId="0" applyFont="0" applyFill="0" applyBorder="0" applyAlignment="0" applyProtection="0">
      <alignment horizontal="left" wrapText="1"/>
    </xf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224" fontId="22" fillId="0" borderId="0" applyNumberFormat="0" applyBorder="0" applyAlignment="0">
      <alignment horizontal="left"/>
    </xf>
    <xf numFmtId="224" fontId="22" fillId="0" borderId="0" applyNumberFormat="0" applyBorder="0" applyAlignment="0">
      <alignment horizontal="left"/>
    </xf>
    <xf numFmtId="236" fontId="126" fillId="0" borderId="0">
      <alignment horizontal="right"/>
    </xf>
    <xf numFmtId="164" fontId="126" fillId="0" borderId="0">
      <alignment horizontal="right"/>
    </xf>
    <xf numFmtId="175" fontId="126" fillId="0" borderId="0">
      <alignment horizontal="right"/>
    </xf>
    <xf numFmtId="1" fontId="50" fillId="0" borderId="0" applyFill="0"/>
    <xf numFmtId="257" fontId="19" fillId="0" borderId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57" fontId="19" fillId="0" borderId="0"/>
    <xf numFmtId="257" fontId="19" fillId="0" borderId="0"/>
    <xf numFmtId="257" fontId="19" fillId="0" borderId="0"/>
    <xf numFmtId="257" fontId="19" fillId="0" borderId="0"/>
    <xf numFmtId="0" fontId="43" fillId="0" borderId="0"/>
    <xf numFmtId="258" fontId="126" fillId="0" borderId="0" applyProtection="0">
      <alignment horizontal="left"/>
    </xf>
    <xf numFmtId="258" fontId="126" fillId="0" borderId="0" applyProtection="0">
      <alignment horizontal="left"/>
    </xf>
    <xf numFmtId="0" fontId="154" fillId="0" borderId="0">
      <alignment horizontal="left"/>
    </xf>
    <xf numFmtId="0" fontId="105" fillId="0" borderId="0">
      <alignment horizontal="left"/>
    </xf>
    <xf numFmtId="0" fontId="155" fillId="0" borderId="0">
      <alignment horizontal="left"/>
    </xf>
    <xf numFmtId="0" fontId="80" fillId="0" borderId="0" applyFill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155" fillId="0" borderId="0">
      <alignment horizontal="left"/>
    </xf>
    <xf numFmtId="259" fontId="156" fillId="0" borderId="0"/>
    <xf numFmtId="260" fontId="156" fillId="0" borderId="0"/>
    <xf numFmtId="261" fontId="156" fillId="0" borderId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38" fontId="20" fillId="29" borderId="0" applyNumberFormat="0" applyBorder="0" applyAlignment="0" applyProtection="0"/>
    <xf numFmtId="0" fontId="23" fillId="38" borderId="11" applyAlignment="0" applyProtection="0"/>
    <xf numFmtId="0" fontId="108" fillId="0" borderId="24" applyFill="0" applyBorder="0" applyProtection="0">
      <alignment horizontal="left"/>
    </xf>
    <xf numFmtId="0" fontId="158" fillId="0" borderId="0" applyNumberFormat="0" applyFill="0" applyProtection="0">
      <alignment horizontal="left"/>
    </xf>
    <xf numFmtId="0" fontId="159" fillId="0" borderId="33">
      <alignment horizontal="centerContinuous"/>
    </xf>
    <xf numFmtId="0" fontId="160" fillId="0" borderId="0">
      <alignment horizontal="centerContinuous"/>
    </xf>
    <xf numFmtId="183" fontId="19" fillId="0" borderId="0" applyFont="0" applyFill="0" applyBorder="0" applyAlignment="0" applyProtection="0"/>
    <xf numFmtId="0" fontId="161" fillId="0" borderId="0">
      <alignment horizontal="left"/>
    </xf>
    <xf numFmtId="0" fontId="162" fillId="0" borderId="0" applyProtection="0">
      <alignment horizontal="right"/>
    </xf>
    <xf numFmtId="0" fontId="161" fillId="0" borderId="0">
      <alignment horizontal="left"/>
    </xf>
    <xf numFmtId="37" fontId="163" fillId="29" borderId="10" applyFill="0">
      <alignment vertical="center"/>
    </xf>
    <xf numFmtId="0" fontId="161" fillId="0" borderId="0">
      <alignment horizontal="left"/>
    </xf>
    <xf numFmtId="0" fontId="163" fillId="0" borderId="2" applyNumberFormat="0" applyFill="0">
      <alignment horizontal="centerContinuous" vertical="top"/>
    </xf>
    <xf numFmtId="0" fontId="164" fillId="36" borderId="34" applyNumberFormat="0" applyBorder="0">
      <alignment horizontal="left" vertical="center" indent="1"/>
    </xf>
    <xf numFmtId="0" fontId="231" fillId="0" borderId="35" applyNumberFormat="0" applyFill="0" applyAlignment="0" applyProtection="0"/>
    <xf numFmtId="0" fontId="165" fillId="0" borderId="0">
      <alignment horizontal="left"/>
    </xf>
    <xf numFmtId="0" fontId="166" fillId="0" borderId="24">
      <alignment horizontal="left" vertical="top"/>
    </xf>
    <xf numFmtId="0" fontId="232" fillId="0" borderId="36" applyNumberFormat="0" applyFill="0" applyAlignment="0" applyProtection="0"/>
    <xf numFmtId="0" fontId="98" fillId="0" borderId="0">
      <alignment horizontal="left"/>
    </xf>
    <xf numFmtId="0" fontId="167" fillId="0" borderId="24">
      <alignment horizontal="left" vertical="top"/>
    </xf>
    <xf numFmtId="0" fontId="233" fillId="0" borderId="37" applyNumberFormat="0" applyFill="0" applyAlignment="0" applyProtection="0"/>
    <xf numFmtId="0" fontId="93" fillId="0" borderId="0">
      <alignment horizontal="left"/>
    </xf>
    <xf numFmtId="0" fontId="233" fillId="0" borderId="0" applyNumberFormat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Fill="0" applyBorder="0" applyProtection="0">
      <alignment horizontal="right"/>
    </xf>
    <xf numFmtId="0" fontId="168" fillId="0" borderId="2">
      <alignment horizontal="centerContinuous"/>
    </xf>
    <xf numFmtId="0" fontId="133" fillId="0" borderId="0" applyNumberFormat="0" applyFill="0" applyBorder="0" applyAlignment="0" applyProtection="0"/>
    <xf numFmtId="263" fontId="169" fillId="0" borderId="0" applyNumberFormat="0" applyFill="0" applyBorder="0" applyAlignment="0">
      <protection locked="0"/>
    </xf>
    <xf numFmtId="0" fontId="134" fillId="0" borderId="0" applyFont="0" applyAlignment="0">
      <alignment horizontal="centerContinuous"/>
    </xf>
    <xf numFmtId="0" fontId="134" fillId="0" borderId="0" applyFont="0" applyAlignment="0">
      <alignment horizontal="centerContinuous"/>
    </xf>
    <xf numFmtId="0" fontId="127" fillId="0" borderId="9">
      <alignment horizontal="centerContinuous"/>
    </xf>
    <xf numFmtId="49" fontId="170" fillId="0" borderId="38"/>
    <xf numFmtId="49" fontId="100" fillId="0" borderId="0"/>
    <xf numFmtId="49" fontId="171" fillId="0" borderId="0"/>
    <xf numFmtId="0" fontId="128" fillId="0" borderId="0"/>
    <xf numFmtId="0" fontId="172" fillId="0" borderId="0"/>
    <xf numFmtId="0" fontId="172" fillId="0" borderId="0"/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63" fontId="173" fillId="0" borderId="0" applyNumberFormat="0" applyFill="0" applyBorder="0" applyAlignment="0"/>
    <xf numFmtId="9" fontId="153" fillId="0" borderId="0" applyAlignment="0">
      <alignment horizontal="center"/>
    </xf>
    <xf numFmtId="10" fontId="20" fillId="28" borderId="9" applyNumberFormat="0" applyBorder="0" applyAlignment="0" applyProtection="0"/>
    <xf numFmtId="0" fontId="53" fillId="4" borderId="4" applyNumberFormat="0" applyAlignment="0" applyProtection="0"/>
    <xf numFmtId="264" fontId="174" fillId="0" borderId="0" applyNumberFormat="0" applyBorder="0" applyProtection="0"/>
    <xf numFmtId="264" fontId="175" fillId="0" borderId="0"/>
    <xf numFmtId="0" fontId="175" fillId="40" borderId="0" applyNumberFormat="0" applyBorder="0" applyProtection="0">
      <alignment horizontal="center" vertical="center"/>
    </xf>
    <xf numFmtId="249" fontId="176" fillId="0" borderId="0" applyBorder="0">
      <alignment horizontal="right" vertical="top"/>
      <protection locked="0"/>
    </xf>
    <xf numFmtId="0" fontId="127" fillId="0" borderId="0" applyNumberFormat="0" applyFill="0" applyBorder="0" applyAlignment="0">
      <protection locked="0"/>
    </xf>
    <xf numFmtId="0" fontId="78" fillId="0" borderId="0" applyNumberFormat="0" applyFill="0" applyBorder="0" applyAlignment="0"/>
    <xf numFmtId="0" fontId="78" fillId="0" borderId="0" applyNumberFormat="0" applyFill="0" applyBorder="0" applyAlignment="0"/>
    <xf numFmtId="265" fontId="176" fillId="0" borderId="0" applyBorder="0">
      <alignment horizontal="right" vertical="top"/>
      <protection locked="0"/>
    </xf>
    <xf numFmtId="237" fontId="157" fillId="29" borderId="0" applyFill="0" applyBorder="0">
      <protection locked="0"/>
    </xf>
    <xf numFmtId="237" fontId="157" fillId="29" borderId="0" applyFill="0" applyBorder="0">
      <protection locked="0"/>
    </xf>
    <xf numFmtId="249" fontId="176" fillId="0" borderId="0" applyBorder="0" applyProtection="0"/>
    <xf numFmtId="249" fontId="176" fillId="0" borderId="0" applyBorder="0" applyProtection="0"/>
    <xf numFmtId="266" fontId="176" fillId="0" borderId="0" applyBorder="0">
      <alignment horizontal="right" vertical="top"/>
      <protection locked="0"/>
    </xf>
    <xf numFmtId="266" fontId="176" fillId="0" borderId="0" applyBorder="0">
      <alignment horizontal="right" vertical="top"/>
      <protection locked="0"/>
    </xf>
    <xf numFmtId="267" fontId="19" fillId="0" borderId="0"/>
    <xf numFmtId="267" fontId="19" fillId="0" borderId="0"/>
    <xf numFmtId="267" fontId="19" fillId="0" borderId="0"/>
    <xf numFmtId="267" fontId="19" fillId="0" borderId="0"/>
    <xf numFmtId="268" fontId="177" fillId="0" borderId="24" applyFill="0" applyBorder="0" applyProtection="0"/>
    <xf numFmtId="0" fontId="178" fillId="0" borderId="0"/>
    <xf numFmtId="269" fontId="179" fillId="0" borderId="0" applyFont="0" applyFill="0" applyBorder="0" applyAlignment="0" applyProtection="0"/>
    <xf numFmtId="270" fontId="179" fillId="0" borderId="0" applyFont="0" applyFill="0" applyBorder="0" applyAlignment="0" applyProtection="0"/>
    <xf numFmtId="1" fontId="180" fillId="1" borderId="39">
      <protection locked="0"/>
    </xf>
    <xf numFmtId="271" fontId="181" fillId="0" borderId="40" applyFont="0" applyFill="0" applyBorder="0" applyAlignment="0" applyProtection="0"/>
    <xf numFmtId="0" fontId="50" fillId="29" borderId="0" applyNumberFormat="0" applyFill="0" applyBorder="0"/>
    <xf numFmtId="249" fontId="182" fillId="0" borderId="0" applyNumberFormat="0" applyFill="0" applyBorder="0" applyProtection="0">
      <alignment horizontal="left" vertical="top"/>
    </xf>
    <xf numFmtId="0" fontId="183" fillId="0" borderId="0">
      <alignment horizontal="left"/>
    </xf>
    <xf numFmtId="0" fontId="184" fillId="0" borderId="0">
      <alignment horizontal="left"/>
    </xf>
    <xf numFmtId="0" fontId="158" fillId="0" borderId="0">
      <alignment horizontal="left"/>
    </xf>
    <xf numFmtId="0" fontId="158" fillId="0" borderId="0">
      <alignment horizontal="left"/>
    </xf>
    <xf numFmtId="0" fontId="124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37" fontId="185" fillId="0" borderId="0" applyNumberFormat="0" applyFill="0" applyBorder="0" applyAlignment="0" applyProtection="0">
      <alignment horizontal="right"/>
    </xf>
    <xf numFmtId="0" fontId="234" fillId="0" borderId="14" applyNumberFormat="0" applyFill="0" applyAlignment="0" applyProtection="0"/>
    <xf numFmtId="272" fontId="126" fillId="0" borderId="0">
      <alignment horizontal="right"/>
    </xf>
    <xf numFmtId="273" fontId="126" fillId="0" borderId="0">
      <alignment horizontal="right"/>
    </xf>
    <xf numFmtId="0" fontId="100" fillId="0" borderId="0" applyNumberFormat="0" applyFill="0" applyBorder="0" applyProtection="0">
      <alignment horizontal="left" vertical="center"/>
    </xf>
    <xf numFmtId="0" fontId="100" fillId="0" borderId="0" applyNumberFormat="0" applyFill="0" applyBorder="0" applyProtection="0">
      <alignment horizontal="left" vertical="center"/>
    </xf>
    <xf numFmtId="0" fontId="139" fillId="0" borderId="0">
      <alignment vertical="top"/>
    </xf>
    <xf numFmtId="0" fontId="186" fillId="0" borderId="0" applyNumberFormat="0" applyFill="0" applyBorder="0" applyAlignment="0" applyProtection="0"/>
    <xf numFmtId="0" fontId="20" fillId="0" borderId="0" applyNumberFormat="0" applyFill="0" applyBorder="0"/>
    <xf numFmtId="0" fontId="20" fillId="0" borderId="0" applyNumberFormat="0" applyFill="0" applyBorder="0"/>
    <xf numFmtId="265" fontId="20" fillId="0" borderId="0" applyFill="0" applyBorder="0">
      <alignment vertical="top"/>
    </xf>
    <xf numFmtId="265" fontId="20" fillId="0" borderId="0" applyFill="0" applyBorder="0" applyAlignment="0"/>
    <xf numFmtId="265" fontId="20" fillId="0" borderId="0" applyFill="0" applyBorder="0" applyAlignment="0"/>
    <xf numFmtId="249" fontId="186" fillId="0" borderId="0" applyNumberFormat="0" applyFill="0" applyBorder="0" applyAlignment="0"/>
    <xf numFmtId="249" fontId="187" fillId="0" borderId="0" applyNumberFormat="0" applyFill="0" applyBorder="0">
      <alignment vertical="center"/>
    </xf>
    <xf numFmtId="249" fontId="20" fillId="0" borderId="0" applyFill="0" applyBorder="0">
      <alignment horizontal="right"/>
    </xf>
    <xf numFmtId="249" fontId="20" fillId="0" borderId="0" applyFill="0" applyBorder="0">
      <alignment horizontal="right"/>
    </xf>
    <xf numFmtId="0" fontId="20" fillId="0" borderId="0" applyFill="0" applyBorder="0" applyProtection="0">
      <alignment vertical="top"/>
    </xf>
    <xf numFmtId="0" fontId="20" fillId="0" borderId="0" applyFill="0" applyBorder="0" applyProtection="0">
      <alignment vertical="top"/>
    </xf>
    <xf numFmtId="249" fontId="20" fillId="0" borderId="0" applyFill="0" applyBorder="0">
      <alignment horizontal="right" vertical="top"/>
    </xf>
    <xf numFmtId="249" fontId="20" fillId="0" borderId="0" applyFill="0" applyBorder="0">
      <alignment horizontal="right" vertical="top"/>
    </xf>
    <xf numFmtId="41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274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76" fontId="181" fillId="0" borderId="40" applyFont="0" applyFill="0" applyBorder="0" applyAlignment="0" applyProtection="0"/>
    <xf numFmtId="0" fontId="188" fillId="0" borderId="0">
      <alignment horizontal="centerContinuous"/>
    </xf>
    <xf numFmtId="277" fontId="189" fillId="0" borderId="0" applyFont="0" applyFill="0" applyBorder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3" fontId="128" fillId="0" borderId="0"/>
    <xf numFmtId="43" fontId="128" fillId="0" borderId="0"/>
    <xf numFmtId="0" fontId="190" fillId="0" borderId="0" applyNumberFormat="0" applyFill="0" applyBorder="0" applyProtection="0">
      <alignment horizontal="left"/>
    </xf>
    <xf numFmtId="0" fontId="235" fillId="12" borderId="0" applyNumberFormat="0" applyBorder="0" applyAlignment="0" applyProtection="0"/>
    <xf numFmtId="0" fontId="126" fillId="0" borderId="0">
      <alignment horizontal="left"/>
    </xf>
    <xf numFmtId="170" fontId="45" fillId="0" borderId="0"/>
    <xf numFmtId="0" fontId="191" fillId="29" borderId="0">
      <alignment horizontal="left" indent="1"/>
    </xf>
    <xf numFmtId="0" fontId="192" fillId="0" borderId="0"/>
    <xf numFmtId="0" fontId="192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0" fontId="19" fillId="0" borderId="0"/>
    <xf numFmtId="0" fontId="192" fillId="0" borderId="0"/>
    <xf numFmtId="0" fontId="19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92" fillId="0" borderId="0"/>
    <xf numFmtId="0" fontId="192" fillId="0" borderId="0"/>
    <xf numFmtId="0" fontId="193" fillId="0" borderId="0"/>
    <xf numFmtId="37" fontId="194" fillId="0" borderId="0" applyNumberFormat="0" applyFont="0" applyFill="0" applyBorder="0" applyAlignment="0" applyProtection="0"/>
    <xf numFmtId="0" fontId="57" fillId="6" borderId="16" applyNumberFormat="0" applyFont="0" applyAlignment="0" applyProtection="0"/>
    <xf numFmtId="0" fontId="57" fillId="6" borderId="16" applyNumberFormat="0" applyFont="0" applyAlignment="0" applyProtection="0"/>
    <xf numFmtId="0" fontId="195" fillId="0" borderId="30"/>
    <xf numFmtId="38" fontId="108" fillId="0" borderId="25" applyFont="0" applyFill="0" applyBorder="0" applyAlignment="0" applyProtection="0"/>
    <xf numFmtId="37" fontId="19" fillId="0" borderId="0"/>
    <xf numFmtId="215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236" fillId="26" borderId="17" applyNumberFormat="0" applyAlignment="0" applyProtection="0"/>
    <xf numFmtId="10" fontId="128" fillId="0" borderId="25"/>
    <xf numFmtId="174" fontId="196" fillId="0" borderId="0" applyProtection="0">
      <alignment horizontal="right"/>
    </xf>
    <xf numFmtId="174" fontId="126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65" fillId="0" borderId="0" applyNumberFormat="0" applyFill="0" applyBorder="0" applyProtection="0">
      <alignment horizontal="left"/>
    </xf>
    <xf numFmtId="1" fontId="101" fillId="0" borderId="0" applyProtection="0">
      <alignment horizontal="right" vertical="center"/>
    </xf>
    <xf numFmtId="246" fontId="50" fillId="0" borderId="0" applyFont="0" applyFill="0" applyBorder="0">
      <alignment horizontal="right" vertical="top"/>
    </xf>
    <xf numFmtId="278" fontId="50" fillId="29" borderId="0" applyFill="0" applyBorder="0">
      <alignment horizontal="right" vertical="top"/>
    </xf>
    <xf numFmtId="174" fontId="152" fillId="0" borderId="0">
      <alignment horizontal="right"/>
    </xf>
    <xf numFmtId="0" fontId="126" fillId="0" borderId="0"/>
    <xf numFmtId="0" fontId="126" fillId="0" borderId="0"/>
    <xf numFmtId="0" fontId="197" fillId="0" borderId="0"/>
    <xf numFmtId="0" fontId="43" fillId="0" borderId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98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45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79" fontId="189" fillId="0" borderId="0" applyFont="0" applyFill="0" applyBorder="0" applyProtection="0">
      <alignment horizontal="right"/>
    </xf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174" fontId="196" fillId="0" borderId="0">
      <alignment horizontal="right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10" fontId="127" fillId="0" borderId="0"/>
    <xf numFmtId="9" fontId="127" fillId="0" borderId="0"/>
    <xf numFmtId="281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0" fontId="200" fillId="38" borderId="0">
      <alignment horizontal="left" indent="1"/>
    </xf>
    <xf numFmtId="0" fontId="201" fillId="0" borderId="0">
      <alignment horizontal="centerContinuous"/>
    </xf>
    <xf numFmtId="0" fontId="202" fillId="0" borderId="7"/>
    <xf numFmtId="236" fontId="203" fillId="0" borderId="0">
      <alignment horizontal="right"/>
    </xf>
    <xf numFmtId="10" fontId="126" fillId="0" borderId="9"/>
    <xf numFmtId="10" fontId="126" fillId="0" borderId="9"/>
    <xf numFmtId="10" fontId="19" fillId="0" borderId="0"/>
    <xf numFmtId="10" fontId="19" fillId="0" borderId="0"/>
    <xf numFmtId="10" fontId="19" fillId="0" borderId="0"/>
    <xf numFmtId="10" fontId="19" fillId="0" borderId="0"/>
    <xf numFmtId="248" fontId="130" fillId="0" borderId="0" applyFont="0" applyFill="0" applyBorder="0" applyAlignment="0" applyProtection="0">
      <alignment horizontal="right"/>
    </xf>
    <xf numFmtId="283" fontId="49" fillId="41" borderId="9" applyNumberFormat="0" applyProtection="0">
      <alignment horizontal="center" vertical="center" wrapText="1"/>
    </xf>
    <xf numFmtId="166" fontId="19" fillId="0" borderId="0" applyFont="0" applyFill="0" applyBorder="0" applyAlignment="0" applyProtection="0"/>
    <xf numFmtId="0" fontId="19" fillId="0" borderId="41" applyNumberFormat="0" applyFont="0" applyFill="0" applyAlignment="0" applyProtection="0"/>
    <xf numFmtId="0" fontId="19" fillId="0" borderId="42" applyNumberFormat="0" applyFont="0" applyFill="0" applyAlignment="0" applyProtection="0"/>
    <xf numFmtId="0" fontId="19" fillId="0" borderId="31" applyNumberFormat="0" applyFont="0" applyFill="0" applyAlignment="0" applyProtection="0"/>
    <xf numFmtId="0" fontId="19" fillId="0" borderId="43" applyNumberFormat="0" applyFont="0" applyFill="0" applyAlignment="0" applyProtection="0"/>
    <xf numFmtId="0" fontId="19" fillId="0" borderId="44" applyNumberFormat="0" applyFont="0" applyFill="0" applyAlignment="0" applyProtection="0"/>
    <xf numFmtId="0" fontId="19" fillId="17" borderId="0" applyNumberFormat="0" applyFont="0" applyBorder="0" applyAlignment="0" applyProtection="0"/>
    <xf numFmtId="0" fontId="19" fillId="0" borderId="45" applyNumberFormat="0" applyFont="0" applyFill="0" applyAlignment="0" applyProtection="0"/>
    <xf numFmtId="0" fontId="19" fillId="0" borderId="46" applyNumberFormat="0" applyFont="0" applyFill="0" applyAlignment="0" applyProtection="0"/>
    <xf numFmtId="46" fontId="1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47" applyNumberFormat="0" applyFont="0" applyFill="0" applyAlignment="0" applyProtection="0"/>
    <xf numFmtId="0" fontId="19" fillId="0" borderId="48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49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0" applyNumberFormat="0" applyFont="0" applyFill="0" applyBorder="0" applyProtection="0">
      <alignment horizontal="center"/>
    </xf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49" fillId="0" borderId="0" applyNumberFormat="0" applyFill="0" applyBorder="0" applyProtection="0">
      <alignment horizontal="left"/>
    </xf>
    <xf numFmtId="0" fontId="19" fillId="17" borderId="0" applyNumberFormat="0" applyFont="0" applyBorder="0" applyAlignment="0" applyProtection="0"/>
    <xf numFmtId="0" fontId="20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50" applyNumberFormat="0" applyFont="0" applyFill="0" applyAlignment="0" applyProtection="0"/>
    <xf numFmtId="0" fontId="19" fillId="0" borderId="51" applyNumberFormat="0" applyFont="0" applyFill="0" applyAlignment="0" applyProtection="0"/>
    <xf numFmtId="284" fontId="19" fillId="0" borderId="0" applyFont="0" applyFill="0" applyBorder="0" applyAlignment="0" applyProtection="0"/>
    <xf numFmtId="0" fontId="19" fillId="0" borderId="52" applyNumberFormat="0" applyFont="0" applyFill="0" applyAlignment="0" applyProtection="0"/>
    <xf numFmtId="0" fontId="19" fillId="0" borderId="53" applyNumberFormat="0" applyFont="0" applyFill="0" applyAlignment="0" applyProtection="0"/>
    <xf numFmtId="0" fontId="19" fillId="0" borderId="40" applyNumberFormat="0" applyFont="0" applyFill="0" applyAlignment="0" applyProtection="0"/>
    <xf numFmtId="0" fontId="19" fillId="0" borderId="54" applyNumberFormat="0" applyFont="0" applyFill="0" applyAlignment="0" applyProtection="0"/>
    <xf numFmtId="0" fontId="19" fillId="0" borderId="55" applyNumberFormat="0" applyFont="0" applyFill="0" applyAlignment="0" applyProtection="0"/>
    <xf numFmtId="0" fontId="115" fillId="39" borderId="6" applyNumberFormat="0" applyBorder="0" applyProtection="0">
      <alignment horizontal="left" wrapText="1"/>
    </xf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0"/>
    <xf numFmtId="0" fontId="207" fillId="0" borderId="31">
      <protection locked="0"/>
    </xf>
    <xf numFmtId="0" fontId="28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0" fontId="108" fillId="0" borderId="0">
      <alignment horizontal="center"/>
    </xf>
    <xf numFmtId="0" fontId="108" fillId="0" borderId="0">
      <alignment horizontal="center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236" fontId="126" fillId="0" borderId="19">
      <alignment horizontal="right"/>
    </xf>
    <xf numFmtId="236" fontId="126" fillId="0" borderId="19">
      <alignment horizontal="right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208" fillId="35" borderId="17" applyNumberFormat="0" applyProtection="0">
      <alignment vertical="center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209" fillId="52" borderId="17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210" fillId="54" borderId="0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53" borderId="17" applyNumberFormat="0" applyProtection="0">
      <alignment horizontal="left" vertical="center" indent="1"/>
    </xf>
    <xf numFmtId="4" fontId="57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208" fillId="28" borderId="17" applyNumberFormat="0" applyProtection="0">
      <alignment vertical="center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208" fillId="53" borderId="17" applyNumberFormat="0" applyProtection="0">
      <alignment horizontal="right" vertical="center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211" fillId="0" borderId="0"/>
    <xf numFmtId="4" fontId="51" fillId="53" borderId="17" applyNumberFormat="0" applyProtection="0">
      <alignment horizontal="right" vertical="center"/>
    </xf>
    <xf numFmtId="177" fontId="212" fillId="0" borderId="0">
      <protection locked="0"/>
    </xf>
    <xf numFmtId="285" fontId="65" fillId="0" borderId="0" applyNumberFormat="0" applyFill="0" applyBorder="0"/>
    <xf numFmtId="0" fontId="213" fillId="0" borderId="9">
      <alignment horizontal="center" vertical="center"/>
    </xf>
    <xf numFmtId="0" fontId="214" fillId="0" borderId="0" applyNumberFormat="0" applyFill="0" applyBorder="0" applyProtection="0">
      <alignment horizontal="left" vertical="center"/>
    </xf>
    <xf numFmtId="0" fontId="60" fillId="29" borderId="0" applyNumberFormat="0" applyBorder="0">
      <alignment vertical="center"/>
    </xf>
    <xf numFmtId="177" fontId="215" fillId="0" borderId="0"/>
    <xf numFmtId="37" fontId="215" fillId="0" borderId="0"/>
    <xf numFmtId="0" fontId="108" fillId="32" borderId="0" applyNumberFormat="0" applyFont="0" applyBorder="0" applyAlignment="0" applyProtection="0"/>
    <xf numFmtId="0" fontId="175" fillId="37" borderId="0" applyNumberFormat="0" applyFont="0" applyBorder="0" applyAlignment="0" applyProtection="0"/>
    <xf numFmtId="0" fontId="175" fillId="37" borderId="0" applyNumberFormat="0" applyFont="0" applyBorder="0" applyAlignment="0" applyProtection="0"/>
    <xf numFmtId="1" fontId="62" fillId="0" borderId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40" fontId="10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202" fillId="0" borderId="20">
      <alignment horizontal="right"/>
    </xf>
    <xf numFmtId="0" fontId="216" fillId="0" borderId="31"/>
    <xf numFmtId="0" fontId="134" fillId="0" borderId="0">
      <alignment horizontal="centerContinuous"/>
    </xf>
    <xf numFmtId="0" fontId="134" fillId="0" borderId="0">
      <alignment horizontal="centerContinuous"/>
    </xf>
    <xf numFmtId="0" fontId="179" fillId="0" borderId="0"/>
    <xf numFmtId="0" fontId="193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57" fillId="0" borderId="0" applyNumberFormat="0" applyBorder="0" applyAlignment="0"/>
    <xf numFmtId="0" fontId="217" fillId="0" borderId="0" applyNumberFormat="0" applyBorder="0" applyAlignment="0"/>
    <xf numFmtId="0" fontId="140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57" fillId="0" borderId="0" applyNumberFormat="0" applyBorder="0" applyAlignment="0"/>
    <xf numFmtId="0" fontId="140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210" fillId="0" borderId="0" applyNumberFormat="0" applyBorder="0" applyAlignment="0"/>
    <xf numFmtId="0" fontId="66" fillId="0" borderId="0" applyNumberFormat="0" applyBorder="0" applyAlignment="0"/>
    <xf numFmtId="0" fontId="220" fillId="0" borderId="0" applyNumberFormat="0" applyBorder="0" applyAlignment="0"/>
    <xf numFmtId="0" fontId="63" fillId="0" borderId="0" applyNumberFormat="0" applyBorder="0" applyAlignment="0"/>
    <xf numFmtId="287" fontId="49" fillId="0" borderId="0" applyFill="0" applyBorder="0" applyProtection="0"/>
    <xf numFmtId="287" fontId="49" fillId="0" borderId="0" applyFill="0" applyBorder="0" applyProtection="0"/>
    <xf numFmtId="0" fontId="134" fillId="0" borderId="7">
      <alignment horizontal="center"/>
    </xf>
    <xf numFmtId="0" fontId="134" fillId="0" borderId="7">
      <alignment horizontal="center"/>
    </xf>
    <xf numFmtId="0" fontId="126" fillId="0" borderId="0"/>
    <xf numFmtId="0" fontId="134" fillId="0" borderId="7">
      <alignment horizontal="centerContinuous"/>
    </xf>
    <xf numFmtId="0" fontId="134" fillId="0" borderId="7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9" fontId="134" fillId="0" borderId="0">
      <alignment horizontal="centerContinuous"/>
    </xf>
    <xf numFmtId="9" fontId="134" fillId="0" borderId="0">
      <alignment horizontal="centerContinuous"/>
    </xf>
    <xf numFmtId="0" fontId="113" fillId="0" borderId="0" applyNumberFormat="0" applyFill="0" applyBorder="0" applyProtection="0">
      <alignment horizontal="left"/>
    </xf>
    <xf numFmtId="0" fontId="111" fillId="0" borderId="0" applyBorder="0" applyProtection="0">
      <alignment vertical="center"/>
    </xf>
    <xf numFmtId="0" fontId="113" fillId="0" borderId="0" applyNumberFormat="0" applyFill="0" applyBorder="0" applyProtection="0">
      <alignment horizontal="left"/>
    </xf>
    <xf numFmtId="187" fontId="19" fillId="0" borderId="0" applyFont="0" applyFill="0" applyBorder="0" applyAlignment="0" applyProtection="0"/>
    <xf numFmtId="0" fontId="59" fillId="0" borderId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221" fillId="0" borderId="0" applyFill="0" applyBorder="0" applyProtection="0"/>
    <xf numFmtId="0" fontId="98" fillId="0" borderId="0" applyNumberFormat="0" applyFill="0" applyBorder="0" applyProtection="0"/>
    <xf numFmtId="0" fontId="165" fillId="0" borderId="0" applyNumberFormat="0" applyFill="0" applyBorder="0" applyProtection="0"/>
    <xf numFmtId="0" fontId="49" fillId="0" borderId="0" applyFill="0" applyBorder="0" applyProtection="0">
      <alignment horizontal="left"/>
    </xf>
    <xf numFmtId="0" fontId="155" fillId="0" borderId="0" applyNumberFormat="0" applyFill="0" applyBorder="0" applyProtection="0"/>
    <xf numFmtId="0" fontId="20" fillId="0" borderId="24" applyFill="0" applyBorder="0" applyProtection="0">
      <alignment horizontal="left" vertical="top"/>
    </xf>
    <xf numFmtId="0" fontId="222" fillId="38" borderId="0" applyBorder="0">
      <alignment horizontal="left" vertical="center" indent="1"/>
    </xf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/>
    <xf numFmtId="288" fontId="50" fillId="56" borderId="0" applyFill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15" fillId="39" borderId="57" applyNumberFormat="0" applyBorder="0" applyProtection="0">
      <alignment horizontal="left" vertical="center"/>
    </xf>
    <xf numFmtId="289" fontId="51" fillId="0" borderId="0" applyNumberFormat="0" applyFill="0" applyBorder="0" applyAlignment="0" applyProtection="0"/>
    <xf numFmtId="0" fontId="224" fillId="0" borderId="0"/>
    <xf numFmtId="0" fontId="223" fillId="0" borderId="0"/>
    <xf numFmtId="0" fontId="135" fillId="0" borderId="21" applyNumberFormat="0" applyFont="0" applyFill="0" applyAlignment="0" applyProtection="0"/>
    <xf numFmtId="0" fontId="209" fillId="0" borderId="58" applyNumberFormat="0" applyFill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164" fontId="127" fillId="0" borderId="0" applyFont="0" applyFill="0" applyBorder="0">
      <alignment horizontal="right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262" fontId="19" fillId="0" borderId="0" applyNumberFormat="0"/>
    <xf numFmtId="262" fontId="19" fillId="0" borderId="0" applyNumberFormat="0"/>
    <xf numFmtId="262" fontId="19" fillId="0" borderId="0" applyNumberFormat="0"/>
    <xf numFmtId="262" fontId="19" fillId="0" borderId="0" applyNumberFormat="0"/>
    <xf numFmtId="290" fontId="19" fillId="0" borderId="0" applyFont="0" applyFill="0" applyBorder="0" applyAlignment="0" applyProtection="0"/>
    <xf numFmtId="291" fontId="179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96" fillId="0" borderId="0" applyFill="0" applyBorder="0" applyProtection="0">
      <alignment horizontal="right"/>
    </xf>
    <xf numFmtId="0" fontId="196" fillId="0" borderId="0" applyFill="0" applyBorder="0" applyProtection="0">
      <alignment horizontal="right"/>
    </xf>
    <xf numFmtId="0" fontId="203" fillId="0" borderId="9"/>
    <xf numFmtId="236" fontId="203" fillId="0" borderId="0">
      <alignment horizontal="right"/>
    </xf>
    <xf numFmtId="0" fontId="51" fillId="0" borderId="0" applyNumberFormat="0" applyFill="0" applyBorder="0" applyAlignment="0" applyProtection="0"/>
    <xf numFmtId="288" fontId="225" fillId="0" borderId="9">
      <alignment horizontal="right" vertical="top"/>
      <protection locked="0"/>
    </xf>
    <xf numFmtId="249" fontId="50" fillId="29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0" fontId="108" fillId="39" borderId="0" applyNumberFormat="0" applyBorder="0" applyProtection="0">
      <alignment horizontal="left"/>
    </xf>
    <xf numFmtId="14" fontId="108" fillId="0" borderId="0" applyFont="0" applyFill="0" applyBorder="0" applyProtection="0"/>
    <xf numFmtId="1" fontId="61" fillId="0" borderId="0">
      <alignment horizontal="right"/>
    </xf>
    <xf numFmtId="1" fontId="108" fillId="0" borderId="0" applyFill="0" applyBorder="0" applyProtection="0">
      <alignment horizontal="center"/>
    </xf>
    <xf numFmtId="1" fontId="62" fillId="0" borderId="0" applyFont="0" applyFill="0" applyBorder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292" fontId="19" fillId="0" borderId="0" applyFont="0" applyFill="0" applyBorder="0" applyAlignment="0" applyProtection="0"/>
    <xf numFmtId="9" fontId="126" fillId="0" borderId="0">
      <alignment horizontal="left"/>
    </xf>
    <xf numFmtId="0" fontId="126" fillId="0" borderId="0">
      <alignment horizontal="left"/>
    </xf>
    <xf numFmtId="0" fontId="126" fillId="0" borderId="0">
      <alignment horizontal="left"/>
    </xf>
    <xf numFmtId="0" fontId="19" fillId="0" borderId="0"/>
    <xf numFmtId="293" fontId="226" fillId="0" borderId="0"/>
    <xf numFmtId="0" fontId="19" fillId="0" borderId="0">
      <alignment horizontal="left" wrapText="1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0" fontId="19" fillId="0" borderId="0"/>
    <xf numFmtId="181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18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19" fillId="0" borderId="0"/>
    <xf numFmtId="191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3" fontId="19" fillId="0" borderId="0">
      <alignment horizontal="left" wrapText="1"/>
    </xf>
    <xf numFmtId="193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5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>
      <alignment horizontal="left" wrapText="1"/>
    </xf>
    <xf numFmtId="199" fontId="19" fillId="0" borderId="0" applyFont="0" applyFill="0" applyBorder="0" applyAlignment="0" applyProtection="0"/>
    <xf numFmtId="257" fontId="19" fillId="0" borderId="0"/>
    <xf numFmtId="20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/>
    <xf numFmtId="0" fontId="19" fillId="0" borderId="0"/>
    <xf numFmtId="202" fontId="19" fillId="25" borderId="1">
      <alignment horizontal="center" vertical="center"/>
    </xf>
    <xf numFmtId="8" fontId="19" fillId="0" borderId="0" applyFont="0" applyFill="0" applyBorder="0" applyAlignment="0"/>
    <xf numFmtId="211" fontId="19" fillId="0" borderId="0" applyFont="0" applyFill="0" applyBorder="0" applyAlignment="0" applyProtection="0">
      <alignment vertical="top"/>
    </xf>
    <xf numFmtId="213" fontId="19" fillId="0" borderId="0" applyFont="0" applyFill="0" applyBorder="0" applyAlignment="0" applyProtection="0">
      <alignment horizontal="right"/>
    </xf>
    <xf numFmtId="216" fontId="19" fillId="0" borderId="0" applyFont="0" applyFill="0" applyBorder="0" applyAlignment="0" applyProtection="0"/>
    <xf numFmtId="218" fontId="19" fillId="28" borderId="0" applyFont="0" applyFill="0" applyBorder="0" applyAlignment="0"/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37" fontId="19" fillId="0" borderId="0" applyFont="0" applyFill="0" applyBorder="0" applyAlignment="0" applyProtection="0"/>
    <xf numFmtId="221" fontId="19" fillId="0" borderId="0" applyFont="0" applyFill="0" applyBorder="0" applyAlignment="0" applyProtection="0">
      <alignment horizontal="left" wrapText="1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0" fontId="19" fillId="6" borderId="16" applyNumberFormat="0" applyFont="0" applyAlignment="0" applyProtection="0"/>
    <xf numFmtId="229" fontId="19" fillId="0" borderId="0" applyFont="0" applyFill="0" applyBorder="0" applyAlignment="0"/>
    <xf numFmtId="231" fontId="19" fillId="0" borderId="0" applyFont="0" applyFill="0" applyBorder="0" applyAlignment="0"/>
    <xf numFmtId="169" fontId="19" fillId="0" borderId="0">
      <alignment horizontal="left" wrapText="1"/>
    </xf>
    <xf numFmtId="0" fontId="19" fillId="0" borderId="0"/>
    <xf numFmtId="0" fontId="19" fillId="0" borderId="0"/>
    <xf numFmtId="193" fontId="19" fillId="0" borderId="0">
      <alignment horizontal="left" wrapText="1"/>
    </xf>
    <xf numFmtId="235" fontId="19" fillId="0" borderId="0"/>
    <xf numFmtId="205" fontId="19" fillId="0" borderId="0">
      <alignment horizontal="left"/>
    </xf>
    <xf numFmtId="257" fontId="19" fillId="0" borderId="0"/>
    <xf numFmtId="257" fontId="19" fillId="0" borderId="0"/>
    <xf numFmtId="257" fontId="19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68" fontId="19" fillId="0" borderId="0"/>
    <xf numFmtId="0" fontId="19" fillId="0" borderId="0"/>
    <xf numFmtId="19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208" fontId="19" fillId="0" borderId="0" applyFont="0" applyFill="0" applyBorder="0" applyAlignment="0"/>
    <xf numFmtId="220" fontId="19" fillId="0" borderId="0">
      <alignment horizontal="left"/>
    </xf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0" fontId="240" fillId="0" borderId="0"/>
    <xf numFmtId="44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5" fillId="0" borderId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3" borderId="0" applyNumberFormat="0" applyBorder="0" applyAlignment="0" applyProtection="0"/>
    <xf numFmtId="0" fontId="57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244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244" fillId="7" borderId="0" applyNumberFormat="0" applyBorder="0" applyAlignment="0" applyProtection="0"/>
    <xf numFmtId="0" fontId="57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4" fillId="9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4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10" borderId="0" applyNumberFormat="0" applyBorder="0" applyAlignment="0" applyProtection="0"/>
    <xf numFmtId="0" fontId="5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244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244" fillId="13" borderId="0" applyNumberFormat="0" applyBorder="0" applyAlignment="0" applyProtection="0"/>
    <xf numFmtId="0" fontId="57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244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14" borderId="0" applyNumberFormat="0" applyBorder="0" applyAlignment="0" applyProtection="0"/>
    <xf numFmtId="0" fontId="57" fillId="14" borderId="0" applyNumberFormat="0" applyBorder="0" applyAlignment="0" applyProtection="0"/>
    <xf numFmtId="0" fontId="26" fillId="14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6" borderId="0" applyNumberFormat="0" applyBorder="0" applyAlignment="0" applyProtection="0"/>
    <xf numFmtId="0" fontId="125" fillId="16" borderId="0" applyNumberFormat="0" applyBorder="0" applyAlignment="0" applyProtection="0"/>
    <xf numFmtId="0" fontId="77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1" borderId="0" applyNumberFormat="0" applyBorder="0" applyAlignment="0" applyProtection="0"/>
    <xf numFmtId="0" fontId="77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245" fillId="13" borderId="0" applyNumberFormat="0" applyBorder="0" applyAlignment="0" applyProtection="0"/>
    <xf numFmtId="0" fontId="125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77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9" borderId="0" applyNumberFormat="0" applyBorder="0" applyAlignment="0" applyProtection="0"/>
    <xf numFmtId="0" fontId="125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20" borderId="0" applyNumberFormat="0" applyBorder="0" applyAlignment="0" applyProtection="0"/>
    <xf numFmtId="0" fontId="125" fillId="20" borderId="0" applyNumberFormat="0" applyBorder="0" applyAlignment="0" applyProtection="0"/>
    <xf numFmtId="0" fontId="77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24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245" fillId="23" borderId="0" applyNumberFormat="0" applyBorder="0" applyAlignment="0" applyProtection="0"/>
    <xf numFmtId="0" fontId="77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0" fontId="245" fillId="21" borderId="0" applyNumberFormat="0" applyBorder="0" applyAlignment="0" applyProtection="0"/>
    <xf numFmtId="0" fontId="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46" fillId="5" borderId="0" applyNumberFormat="0" applyBorder="0" applyAlignment="0" applyProtection="0"/>
    <xf numFmtId="0" fontId="227" fillId="5" borderId="0" applyNumberFormat="0" applyBorder="0" applyAlignment="0" applyProtection="0"/>
    <xf numFmtId="0" fontId="27" fillId="5" borderId="0" applyNumberFormat="0" applyBorder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47" fillId="26" borderId="4" applyNumberFormat="0" applyAlignment="0" applyProtection="0"/>
    <xf numFmtId="0" fontId="81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48" fillId="27" borderId="5" applyNumberFormat="0" applyAlignment="0" applyProtection="0"/>
    <xf numFmtId="0" fontId="229" fillId="27" borderId="5" applyNumberFormat="0" applyAlignment="0" applyProtection="0"/>
    <xf numFmtId="0" fontId="81" fillId="27" borderId="5" applyNumberFormat="0" applyAlignment="0" applyProtection="0"/>
    <xf numFmtId="43" fontId="1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8" fontId="45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251" fillId="7" borderId="0" applyNumberFormat="0" applyBorder="0" applyAlignment="0" applyProtection="0"/>
    <xf numFmtId="0" fontId="252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4" fillId="0" borderId="35" applyNumberFormat="0" applyFill="0" applyAlignment="0" applyProtection="0"/>
    <xf numFmtId="0" fontId="231" fillId="0" borderId="35" applyNumberFormat="0" applyFill="0" applyAlignment="0" applyProtection="0"/>
    <xf numFmtId="0" fontId="241" fillId="0" borderId="35" applyNumberFormat="0" applyFill="0" applyAlignment="0" applyProtection="0"/>
    <xf numFmtId="0" fontId="255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7" fillId="0" borderId="36" applyNumberFormat="0" applyFill="0" applyAlignment="0" applyProtection="0"/>
    <xf numFmtId="0" fontId="232" fillId="0" borderId="36" applyNumberFormat="0" applyFill="0" applyAlignment="0" applyProtection="0"/>
    <xf numFmtId="0" fontId="242" fillId="0" borderId="36" applyNumberFormat="0" applyFill="0" applyAlignment="0" applyProtection="0"/>
    <xf numFmtId="0" fontId="3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9" fillId="0" borderId="37" applyNumberFormat="0" applyFill="0" applyAlignment="0" applyProtection="0"/>
    <xf numFmtId="0" fontId="233" fillId="0" borderId="37" applyNumberFormat="0" applyFill="0" applyAlignment="0" applyProtection="0"/>
    <xf numFmtId="0" fontId="94" fillId="0" borderId="37" applyNumberFormat="0" applyFill="0" applyAlignment="0" applyProtection="0"/>
    <xf numFmtId="0" fontId="3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260" fillId="4" borderId="4" applyNumberFormat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61" fillId="0" borderId="14" applyNumberFormat="0" applyFill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62" fillId="12" borderId="0" applyNumberFormat="0" applyBorder="0" applyAlignment="0" applyProtection="0"/>
    <xf numFmtId="0" fontId="238" fillId="0" borderId="0"/>
    <xf numFmtId="0" fontId="243" fillId="0" borderId="0"/>
    <xf numFmtId="37" fontId="42" fillId="0" borderId="0"/>
    <xf numFmtId="0" fontId="42" fillId="0" borderId="0"/>
    <xf numFmtId="0" fontId="4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263" fillId="0" borderId="0"/>
    <xf numFmtId="0" fontId="263" fillId="0" borderId="0"/>
    <xf numFmtId="0" fontId="243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263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4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38" fillId="0" borderId="0"/>
    <xf numFmtId="0" fontId="238" fillId="0" borderId="0"/>
    <xf numFmtId="0" fontId="238" fillId="0" borderId="0"/>
    <xf numFmtId="0" fontId="19" fillId="6" borderId="16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64" fillId="26" borderId="17" applyNumberFormat="0" applyAlignment="0" applyProtection="0"/>
    <xf numFmtId="9" fontId="1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0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65" fillId="0" borderId="58" applyNumberFormat="0" applyFill="0" applyAlignment="0" applyProtection="0"/>
    <xf numFmtId="0" fontId="209" fillId="0" borderId="58" applyNumberFormat="0" applyFill="0" applyAlignment="0" applyProtection="0"/>
    <xf numFmtId="0" fontId="30" fillId="0" borderId="58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20" fillId="29" borderId="0"/>
    <xf numFmtId="168" fontId="19" fillId="0" borderId="0"/>
    <xf numFmtId="0" fontId="267" fillId="59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19" fillId="0" borderId="0"/>
    <xf numFmtId="0" fontId="14" fillId="0" borderId="0"/>
    <xf numFmtId="0" fontId="19" fillId="0" borderId="0" applyNumberFormat="0" applyFill="0" applyBorder="0" applyAlignment="0" applyProtection="0"/>
    <xf numFmtId="0" fontId="14" fillId="0" borderId="0"/>
    <xf numFmtId="0" fontId="268" fillId="0" borderId="0"/>
    <xf numFmtId="0" fontId="268" fillId="0" borderId="0"/>
    <xf numFmtId="0" fontId="19" fillId="0" borderId="0"/>
    <xf numFmtId="0" fontId="45" fillId="0" borderId="0"/>
    <xf numFmtId="0" fontId="4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9" fillId="0" borderId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44" fontId="14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9" fillId="0" borderId="0" applyNumberFormat="0">
      <alignment horizontal="right" vertical="top" wrapText="1"/>
    </xf>
    <xf numFmtId="0" fontId="19" fillId="0" borderId="0" applyNumberFormat="0">
      <alignment horizontal="left" vertical="top" wrapText="1"/>
    </xf>
    <xf numFmtId="0" fontId="118" fillId="0" borderId="0"/>
    <xf numFmtId="0" fontId="269" fillId="0" borderId="0"/>
    <xf numFmtId="0" fontId="270" fillId="60" borderId="0">
      <alignment horizontal="left" vertical="center"/>
    </xf>
    <xf numFmtId="0" fontId="23" fillId="0" borderId="63" applyNumberFormat="0">
      <alignment horizontal="right"/>
    </xf>
    <xf numFmtId="0" fontId="23" fillId="0" borderId="63">
      <alignment horizontal="left"/>
    </xf>
    <xf numFmtId="168" fontId="19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0" fillId="60" borderId="0">
      <alignment horizontal="left" vertical="center"/>
    </xf>
    <xf numFmtId="0" fontId="14" fillId="0" borderId="0"/>
    <xf numFmtId="0" fontId="270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9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0" fillId="60" borderId="0">
      <alignment horizontal="left" vertical="center"/>
    </xf>
    <xf numFmtId="0" fontId="13" fillId="0" borderId="0"/>
    <xf numFmtId="0" fontId="270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9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0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0" fillId="60" borderId="0">
      <alignment horizontal="left" vertical="center"/>
    </xf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8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54" fontId="19" fillId="0" borderId="0" applyFont="0" applyFill="0" applyBorder="0" applyAlignment="0" applyProtection="0"/>
    <xf numFmtId="257" fontId="19" fillId="0" borderId="0"/>
    <xf numFmtId="272" fontId="126" fillId="0" borderId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2" fontId="126" fillId="0" borderId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0" fillId="0" borderId="0" applyFont="0" applyFill="0" applyBorder="0" applyAlignment="0" applyProtection="0"/>
    <xf numFmtId="257" fontId="19" fillId="0" borderId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0" fillId="60" borderId="0">
      <alignment horizontal="left"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6" fillId="0" borderId="0" applyFont="0" applyFill="0" applyBorder="0" applyAlignment="0" applyProtection="0"/>
    <xf numFmtId="0" fontId="1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76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94" fontId="26" fillId="0" borderId="0"/>
    <xf numFmtId="0" fontId="4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7" fillId="62" borderId="0" applyBorder="0"/>
    <xf numFmtId="41" fontId="278" fillId="63" borderId="0" applyNumberFormat="0"/>
    <xf numFmtId="9" fontId="26" fillId="0" borderId="0" applyFont="0" applyFill="0" applyBorder="0" applyAlignment="0" applyProtection="0"/>
    <xf numFmtId="41" fontId="278" fillId="63" borderId="9" applyNumberFormat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4" fontId="279" fillId="64" borderId="9" applyNumberFormat="0"/>
    <xf numFmtId="0" fontId="280" fillId="65" borderId="9" applyNumberFormat="0"/>
    <xf numFmtId="9" fontId="268" fillId="0" borderId="0" applyFont="0" applyFill="0" applyBorder="0" applyAlignment="0" applyProtection="0"/>
    <xf numFmtId="0" fontId="268" fillId="0" borderId="0"/>
    <xf numFmtId="0" fontId="281" fillId="66" borderId="0">
      <alignment horizontal="left" vertical="center"/>
    </xf>
    <xf numFmtId="215" fontId="4" fillId="0" borderId="0" applyFont="0" applyFill="0" applyBorder="0" applyAlignment="0" applyProtection="0"/>
    <xf numFmtId="0" fontId="284" fillId="0" borderId="0"/>
    <xf numFmtId="0" fontId="19" fillId="0" borderId="0"/>
    <xf numFmtId="0" fontId="50" fillId="0" borderId="0"/>
    <xf numFmtId="0" fontId="19" fillId="0" borderId="0"/>
    <xf numFmtId="9" fontId="4" fillId="0" borderId="0" applyFont="0" applyFill="0" applyBorder="0" applyAlignment="0" applyProtection="0"/>
    <xf numFmtId="43" fontId="282" fillId="0" borderId="0" applyFont="0" applyFill="0" applyBorder="0" applyAlignment="0" applyProtection="0"/>
    <xf numFmtId="295" fontId="19" fillId="0" borderId="0" applyFont="0" applyFill="0" applyBorder="0" applyProtection="0">
      <alignment vertical="top"/>
    </xf>
    <xf numFmtId="0" fontId="19" fillId="0" borderId="0"/>
    <xf numFmtId="0" fontId="285" fillId="0" borderId="0"/>
    <xf numFmtId="0" fontId="4" fillId="0" borderId="0"/>
    <xf numFmtId="0" fontId="286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87" fillId="0" borderId="0" applyBorder="0"/>
    <xf numFmtId="0" fontId="285" fillId="0" borderId="0"/>
    <xf numFmtId="0" fontId="305" fillId="0" borderId="0" applyNumberFormat="0" applyFill="0" applyBorder="0" applyAlignment="0" applyProtection="0"/>
    <xf numFmtId="0" fontId="288" fillId="0" borderId="64" applyNumberFormat="0" applyFill="0" applyAlignment="0" applyProtection="0"/>
    <xf numFmtId="0" fontId="289" fillId="0" borderId="65" applyNumberFormat="0" applyFill="0" applyAlignment="0" applyProtection="0"/>
    <xf numFmtId="0" fontId="290" fillId="0" borderId="66" applyNumberFormat="0" applyFill="0" applyAlignment="0" applyProtection="0"/>
    <xf numFmtId="0" fontId="291" fillId="0" borderId="0" applyNumberFormat="0" applyFill="0" applyBorder="0" applyAlignment="0" applyProtection="0"/>
    <xf numFmtId="0" fontId="299" fillId="0" borderId="0" applyProtection="0"/>
    <xf numFmtId="0" fontId="300" fillId="69" borderId="0" applyProtection="0">
      <alignment vertical="center"/>
    </xf>
    <xf numFmtId="0" fontId="285" fillId="72" borderId="0" applyProtection="0">
      <alignment vertical="center"/>
    </xf>
    <xf numFmtId="0" fontId="296" fillId="70" borderId="0" applyProtection="0">
      <alignment horizontal="center" vertical="center" readingOrder="1"/>
    </xf>
    <xf numFmtId="0" fontId="301" fillId="67" borderId="0" applyProtection="0">
      <alignment horizontal="left" vertical="center" readingOrder="1"/>
    </xf>
    <xf numFmtId="0" fontId="296" fillId="68" borderId="0" applyProtection="0">
      <alignment horizontal="center" vertical="center" wrapText="1" readingOrder="1"/>
    </xf>
    <xf numFmtId="0" fontId="301" fillId="68" borderId="0" applyProtection="0">
      <alignment horizontal="left" vertical="center" readingOrder="1"/>
    </xf>
    <xf numFmtId="0" fontId="302" fillId="0" borderId="0" applyProtection="0">
      <alignment vertical="center"/>
    </xf>
    <xf numFmtId="0" fontId="303" fillId="71" borderId="0" applyProtection="0">
      <alignment vertical="center" readingOrder="1"/>
    </xf>
    <xf numFmtId="0" fontId="304" fillId="0" borderId="0" applyProtection="0">
      <alignment horizontal="right" vertical="center" readingOrder="1"/>
    </xf>
    <xf numFmtId="298" fontId="20" fillId="0" borderId="0" applyProtection="0"/>
    <xf numFmtId="296" fontId="20" fillId="0" borderId="0" applyProtection="0"/>
    <xf numFmtId="0" fontId="293" fillId="0" borderId="67" applyNumberFormat="0" applyProtection="0">
      <alignment vertical="center"/>
    </xf>
    <xf numFmtId="0" fontId="294" fillId="0" borderId="0" applyNumberFormat="0" applyProtection="0">
      <alignment vertical="center"/>
    </xf>
    <xf numFmtId="0" fontId="295" fillId="0" borderId="0" applyNumberFormat="0" applyProtection="0">
      <alignment vertical="center"/>
    </xf>
    <xf numFmtId="297" fontId="296" fillId="70" borderId="68" applyProtection="0">
      <alignment vertical="center" readingOrder="1"/>
    </xf>
    <xf numFmtId="297" fontId="296" fillId="68" borderId="68" applyProtection="0">
      <alignment vertical="center" readingOrder="1"/>
    </xf>
    <xf numFmtId="297" fontId="297" fillId="0" borderId="67" applyProtection="0">
      <alignment vertical="center" readingOrder="1"/>
    </xf>
    <xf numFmtId="0" fontId="285" fillId="0" borderId="0" applyNumberFormat="0" applyProtection="0">
      <alignment vertical="center"/>
    </xf>
    <xf numFmtId="0" fontId="285" fillId="0" borderId="67" applyProtection="0">
      <alignment vertical="center" wrapText="1" readingOrder="1"/>
    </xf>
    <xf numFmtId="298" fontId="292" fillId="0" borderId="69" applyProtection="0">
      <alignment vertical="center"/>
    </xf>
    <xf numFmtId="0" fontId="298" fillId="0" borderId="0" applyProtection="0">
      <alignment vertical="top"/>
    </xf>
    <xf numFmtId="0" fontId="285" fillId="0" borderId="0"/>
    <xf numFmtId="0" fontId="19" fillId="0" borderId="0"/>
    <xf numFmtId="0" fontId="19" fillId="0" borderId="0"/>
    <xf numFmtId="0" fontId="4" fillId="0" borderId="0"/>
    <xf numFmtId="9" fontId="286" fillId="0" borderId="0" applyFont="0" applyFill="0" applyBorder="0" applyAlignment="0" applyProtection="0"/>
    <xf numFmtId="0" fontId="4" fillId="0" borderId="0"/>
    <xf numFmtId="43" fontId="286" fillId="0" borderId="0" applyFont="0" applyFill="0" applyBorder="0" applyAlignment="0" applyProtection="0"/>
    <xf numFmtId="0" fontId="19" fillId="0" borderId="0"/>
    <xf numFmtId="0" fontId="4" fillId="0" borderId="0"/>
    <xf numFmtId="0" fontId="19" fillId="0" borderId="0"/>
    <xf numFmtId="0" fontId="4" fillId="0" borderId="0"/>
    <xf numFmtId="44" fontId="19" fillId="0" borderId="0" applyFont="0" applyFill="0" applyBorder="0" applyAlignment="0" applyProtection="0"/>
    <xf numFmtId="9" fontId="287" fillId="0" borderId="0" applyFont="0" applyFill="0" applyBorder="0" applyAlignment="0" applyProtection="0"/>
    <xf numFmtId="44" fontId="285" fillId="0" borderId="0" applyFont="0" applyFill="0" applyBorder="0" applyAlignment="0" applyProtection="0"/>
    <xf numFmtId="0" fontId="4" fillId="0" borderId="0"/>
    <xf numFmtId="0" fontId="283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06" fillId="0" borderId="70" applyNumberFormat="0" applyFont="0" applyProtection="0">
      <alignment wrapText="1"/>
    </xf>
    <xf numFmtId="0" fontId="306" fillId="0" borderId="0" applyNumberFormat="0" applyFill="0" applyBorder="0" applyAlignment="0" applyProtection="0"/>
    <xf numFmtId="0" fontId="306" fillId="0" borderId="71" applyNumberFormat="0" applyProtection="0">
      <alignment wrapText="1"/>
    </xf>
    <xf numFmtId="0" fontId="307" fillId="0" borderId="72" applyNumberFormat="0" applyProtection="0">
      <alignment wrapText="1"/>
    </xf>
    <xf numFmtId="0" fontId="307" fillId="0" borderId="73" applyNumberFormat="0" applyProtection="0">
      <alignment wrapText="1"/>
    </xf>
    <xf numFmtId="0" fontId="308" fillId="0" borderId="0" applyNumberFormat="0" applyProtection="0">
      <alignment horizontal="left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76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14" fillId="0" borderId="0">
      <protection locked="0"/>
    </xf>
    <xf numFmtId="0" fontId="3" fillId="0" borderId="0"/>
    <xf numFmtId="0" fontId="315" fillId="0" borderId="0" applyNumberFormat="0" applyFont="0" applyFill="0" applyBorder="0" applyAlignment="0" applyProtection="0">
      <alignment horizontal="left"/>
    </xf>
    <xf numFmtId="15" fontId="315" fillId="0" borderId="0" applyFont="0" applyFill="0" applyBorder="0" applyAlignment="0" applyProtection="0"/>
    <xf numFmtId="4" fontId="315" fillId="0" borderId="0" applyFont="0" applyFill="0" applyBorder="0" applyAlignment="0" applyProtection="0"/>
    <xf numFmtId="0" fontId="316" fillId="0" borderId="2">
      <alignment horizontal="center"/>
    </xf>
    <xf numFmtId="3" fontId="315" fillId="0" borderId="0" applyFont="0" applyFill="0" applyBorder="0" applyAlignment="0" applyProtection="0"/>
    <xf numFmtId="0" fontId="315" fillId="31" borderId="0" applyNumberFormat="0" applyFon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12" fillId="0" borderId="0"/>
    <xf numFmtId="43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2" fillId="0" borderId="0"/>
    <xf numFmtId="0" fontId="22" fillId="0" borderId="0"/>
    <xf numFmtId="9" fontId="23" fillId="0" borderId="0" applyFont="0" applyFill="0" applyBorder="0" applyAlignment="0" applyProtection="0"/>
    <xf numFmtId="38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317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8" fillId="0" borderId="0" applyNumberFormat="0" applyFill="0" applyBorder="0" applyAlignment="0" applyProtection="0"/>
    <xf numFmtId="0" fontId="319" fillId="75" borderId="77">
      <alignment horizontal="left"/>
    </xf>
    <xf numFmtId="38" fontId="319" fillId="75" borderId="77"/>
    <xf numFmtId="0" fontId="320" fillId="63" borderId="76" applyProtection="0"/>
    <xf numFmtId="300" fontId="319" fillId="76" borderId="77">
      <alignment horizontal="center"/>
    </xf>
    <xf numFmtId="9" fontId="320" fillId="63" borderId="76" applyProtection="0">
      <alignment horizontal="center"/>
    </xf>
    <xf numFmtId="38" fontId="319" fillId="75" borderId="77"/>
    <xf numFmtId="0" fontId="321" fillId="0" borderId="0">
      <alignment horizontal="center"/>
    </xf>
    <xf numFmtId="0" fontId="322" fillId="77" borderId="76" applyNumberFormat="0" applyAlignment="0" applyProtection="0"/>
    <xf numFmtId="0" fontId="313" fillId="0" borderId="7">
      <alignment horizontal="center" wrapText="1"/>
    </xf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5" fontId="19" fillId="0" borderId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66">
    <xf numFmtId="0" fontId="0" fillId="0" borderId="0" xfId="0"/>
    <xf numFmtId="0" fontId="31" fillId="0" borderId="0" xfId="0" applyFont="1"/>
    <xf numFmtId="164" fontId="31" fillId="0" borderId="0" xfId="0" applyNumberFormat="1" applyFont="1"/>
    <xf numFmtId="37" fontId="31" fillId="0" borderId="0" xfId="0" applyNumberFormat="1" applyFont="1"/>
    <xf numFmtId="0" fontId="19" fillId="0" borderId="0" xfId="0" applyFont="1"/>
    <xf numFmtId="37" fontId="23" fillId="0" borderId="23" xfId="0" applyNumberFormat="1" applyFont="1" applyBorder="1"/>
    <xf numFmtId="8" fontId="31" fillId="0" borderId="0" xfId="0" applyNumberFormat="1" applyFont="1"/>
    <xf numFmtId="3" fontId="31" fillId="0" borderId="0" xfId="0" applyNumberFormat="1" applyFont="1"/>
    <xf numFmtId="43" fontId="31" fillId="0" borderId="0" xfId="0" applyNumberFormat="1" applyFont="1"/>
    <xf numFmtId="179" fontId="31" fillId="0" borderId="0" xfId="436" applyNumberFormat="1" applyFont="1" applyFill="1"/>
    <xf numFmtId="0" fontId="23" fillId="61" borderId="0" xfId="0" applyFont="1" applyFill="1"/>
    <xf numFmtId="0" fontId="23" fillId="61" borderId="0" xfId="0" applyFont="1" applyFill="1" applyAlignment="1">
      <alignment horizontal="center"/>
    </xf>
    <xf numFmtId="0" fontId="24" fillId="61" borderId="7" xfId="0" applyFont="1" applyFill="1" applyBorder="1" applyAlignment="1">
      <alignment horizontal="center" vertical="center" wrapText="1"/>
    </xf>
    <xf numFmtId="0" fontId="23" fillId="61" borderId="7" xfId="0" applyFont="1" applyFill="1" applyBorder="1" applyAlignment="1">
      <alignment horizontal="center" vertical="center" wrapText="1"/>
    </xf>
    <xf numFmtId="0" fontId="23" fillId="61" borderId="19" xfId="0" applyFont="1" applyFill="1" applyBorder="1" applyAlignment="1">
      <alignment horizontal="left"/>
    </xf>
    <xf numFmtId="0" fontId="23" fillId="61" borderId="0" xfId="0" applyFont="1" applyFill="1" applyAlignment="1">
      <alignment horizontal="left"/>
    </xf>
    <xf numFmtId="0" fontId="23" fillId="61" borderId="0" xfId="0" applyFont="1" applyFill="1" applyAlignment="1">
      <alignment horizontal="left" vertical="center" wrapText="1"/>
    </xf>
    <xf numFmtId="0" fontId="23" fillId="61" borderId="0" xfId="0" applyFont="1" applyFill="1" applyAlignment="1">
      <alignment vertical="center" wrapText="1"/>
    </xf>
    <xf numFmtId="0" fontId="23" fillId="61" borderId="0" xfId="0" applyFont="1" applyFill="1" applyAlignment="1">
      <alignment horizontal="left" vertical="center"/>
    </xf>
    <xf numFmtId="38" fontId="121" fillId="61" borderId="0" xfId="0" applyNumberFormat="1" applyFont="1" applyFill="1"/>
    <xf numFmtId="43" fontId="23" fillId="61" borderId="0" xfId="0" applyNumberFormat="1" applyFont="1" applyFill="1" applyAlignment="1">
      <alignment horizontal="left" vertical="center"/>
    </xf>
    <xf numFmtId="0" fontId="56" fillId="61" borderId="0" xfId="0" applyFont="1" applyFill="1" applyAlignment="1">
      <alignment vertical="center"/>
    </xf>
    <xf numFmtId="37" fontId="31" fillId="0" borderId="19" xfId="0" applyNumberFormat="1" applyFont="1" applyBorder="1"/>
    <xf numFmtId="0" fontId="55" fillId="0" borderId="0" xfId="0" applyFont="1"/>
    <xf numFmtId="0" fontId="238" fillId="0" borderId="0" xfId="0" applyFont="1"/>
    <xf numFmtId="0" fontId="274" fillId="0" borderId="0" xfId="0" applyFont="1" applyAlignment="1">
      <alignment horizontal="center"/>
    </xf>
    <xf numFmtId="0" fontId="274" fillId="0" borderId="0" xfId="0" applyFont="1"/>
    <xf numFmtId="0" fontId="238" fillId="0" borderId="0" xfId="0" applyFont="1" applyAlignment="1">
      <alignment horizontal="center"/>
    </xf>
    <xf numFmtId="164" fontId="238" fillId="0" borderId="0" xfId="424" applyNumberFormat="1" applyFont="1"/>
    <xf numFmtId="164" fontId="238" fillId="0" borderId="7" xfId="424" applyNumberFormat="1" applyFont="1" applyFill="1" applyBorder="1"/>
    <xf numFmtId="164" fontId="238" fillId="0" borderId="0" xfId="424" applyNumberFormat="1" applyFont="1" applyFill="1"/>
    <xf numFmtId="171" fontId="274" fillId="0" borderId="0" xfId="436" applyNumberFormat="1" applyFont="1"/>
    <xf numFmtId="164" fontId="238" fillId="0" borderId="0" xfId="0" applyNumberFormat="1" applyFont="1"/>
    <xf numFmtId="171" fontId="238" fillId="0" borderId="0" xfId="0" applyNumberFormat="1" applyFont="1"/>
    <xf numFmtId="164" fontId="238" fillId="0" borderId="7" xfId="424" applyNumberFormat="1" applyFont="1" applyBorder="1"/>
    <xf numFmtId="171" fontId="238" fillId="0" borderId="0" xfId="436" applyNumberFormat="1" applyFont="1"/>
    <xf numFmtId="9" fontId="238" fillId="0" borderId="7" xfId="0" applyNumberFormat="1" applyFont="1" applyBorder="1"/>
    <xf numFmtId="0" fontId="238" fillId="0" borderId="7" xfId="0" applyFont="1" applyBorder="1"/>
    <xf numFmtId="171" fontId="31" fillId="0" borderId="0" xfId="436" applyNumberFormat="1" applyFont="1" applyFill="1"/>
    <xf numFmtId="171" fontId="31" fillId="0" borderId="0" xfId="0" applyNumberFormat="1" applyFont="1"/>
    <xf numFmtId="174" fontId="31" fillId="0" borderId="0" xfId="553" applyNumberFormat="1" applyFont="1" applyFill="1"/>
    <xf numFmtId="38" fontId="121" fillId="61" borderId="7" xfId="0" applyNumberFormat="1" applyFont="1" applyFill="1" applyBorder="1"/>
    <xf numFmtId="0" fontId="19" fillId="0" borderId="7" xfId="0" applyFont="1" applyBorder="1"/>
    <xf numFmtId="171" fontId="31" fillId="0" borderId="7" xfId="436" applyNumberFormat="1" applyFont="1" applyFill="1" applyBorder="1"/>
    <xf numFmtId="171" fontId="31" fillId="0" borderId="7" xfId="0" applyNumberFormat="1" applyFont="1" applyBorder="1"/>
    <xf numFmtId="0" fontId="19" fillId="0" borderId="11" xfId="0" applyFont="1" applyBorder="1"/>
    <xf numFmtId="171" fontId="31" fillId="0" borderId="11" xfId="436" applyNumberFormat="1" applyFont="1" applyFill="1" applyBorder="1"/>
    <xf numFmtId="43" fontId="31" fillId="0" borderId="0" xfId="424" applyFont="1" applyFill="1"/>
    <xf numFmtId="3" fontId="31" fillId="0" borderId="7" xfId="0" applyNumberFormat="1" applyFont="1" applyBorder="1"/>
    <xf numFmtId="164" fontId="19" fillId="61" borderId="0" xfId="424" applyNumberFormat="1" applyFont="1" applyFill="1" applyBorder="1" applyAlignment="1">
      <alignment vertical="center"/>
    </xf>
    <xf numFmtId="0" fontId="19" fillId="61" borderId="0" xfId="0" applyFont="1" applyFill="1" applyAlignment="1">
      <alignment vertical="center"/>
    </xf>
    <xf numFmtId="0" fontId="19" fillId="0" borderId="0" xfId="0" applyFont="1" applyAlignment="1">
      <alignment horizontal="center"/>
    </xf>
    <xf numFmtId="0" fontId="23" fillId="0" borderId="7" xfId="0" applyFont="1" applyBorder="1"/>
    <xf numFmtId="165" fontId="31" fillId="0" borderId="7" xfId="553" applyNumberFormat="1" applyFont="1" applyFill="1" applyBorder="1" applyAlignment="1">
      <alignment horizontal="right" vertical="center"/>
    </xf>
    <xf numFmtId="37" fontId="31" fillId="0" borderId="11" xfId="0" applyNumberFormat="1" applyFont="1" applyBorder="1"/>
    <xf numFmtId="164" fontId="31" fillId="0" borderId="0" xfId="424" applyNumberFormat="1" applyFont="1" applyFill="1" applyBorder="1" applyAlignment="1">
      <alignment horizontal="center"/>
    </xf>
    <xf numFmtId="0" fontId="274" fillId="0" borderId="7" xfId="0" applyFont="1" applyBorder="1" applyAlignment="1">
      <alignment horizontal="center"/>
    </xf>
    <xf numFmtId="164" fontId="19" fillId="0" borderId="0" xfId="424" applyNumberFormat="1" applyFont="1" applyFill="1"/>
    <xf numFmtId="0" fontId="19" fillId="61" borderId="0" xfId="0" applyFont="1" applyFill="1"/>
    <xf numFmtId="0" fontId="19" fillId="61" borderId="0" xfId="0" applyFont="1" applyFill="1" applyAlignment="1">
      <alignment vertical="center" wrapText="1"/>
    </xf>
    <xf numFmtId="0" fontId="19" fillId="61" borderId="0" xfId="0" applyFont="1" applyFill="1" applyAlignment="1">
      <alignment horizontal="left"/>
    </xf>
    <xf numFmtId="164" fontId="19" fillId="61" borderId="0" xfId="424" applyNumberFormat="1" applyFont="1" applyFill="1" applyBorder="1"/>
    <xf numFmtId="0" fontId="19" fillId="61" borderId="7" xfId="0" applyFont="1" applyFill="1" applyBorder="1" applyAlignment="1">
      <alignment horizontal="left"/>
    </xf>
    <xf numFmtId="164" fontId="19" fillId="61" borderId="19" xfId="424" applyNumberFormat="1" applyFont="1" applyFill="1" applyBorder="1"/>
    <xf numFmtId="0" fontId="19" fillId="61" borderId="0" xfId="0" applyFont="1" applyFill="1" applyAlignment="1">
      <alignment horizontal="left" vertical="center" wrapText="1"/>
    </xf>
    <xf numFmtId="38" fontId="19" fillId="61" borderId="0" xfId="0" applyNumberFormat="1" applyFont="1" applyFill="1" applyAlignment="1">
      <alignment horizontal="left" vertical="center" wrapText="1"/>
    </xf>
    <xf numFmtId="164" fontId="19" fillId="61" borderId="0" xfId="424" applyNumberFormat="1" applyFont="1" applyFill="1" applyBorder="1" applyAlignment="1">
      <alignment horizontal="left" vertical="center"/>
    </xf>
    <xf numFmtId="0" fontId="19" fillId="61" borderId="0" xfId="0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left" vertical="center" wrapText="1"/>
    </xf>
    <xf numFmtId="164" fontId="19" fillId="61" borderId="0" xfId="0" applyNumberFormat="1" applyFont="1" applyFill="1" applyAlignment="1">
      <alignment vertical="center"/>
    </xf>
    <xf numFmtId="43" fontId="19" fillId="61" borderId="0" xfId="0" applyNumberFormat="1" applyFont="1" applyFill="1" applyAlignment="1">
      <alignment vertical="center"/>
    </xf>
    <xf numFmtId="236" fontId="19" fillId="61" borderId="0" xfId="424" applyNumberFormat="1" applyFont="1" applyFill="1" applyBorder="1" applyAlignment="1">
      <alignment vertical="center"/>
    </xf>
    <xf numFmtId="164" fontId="19" fillId="61" borderId="0" xfId="424" applyNumberFormat="1" applyFont="1" applyFill="1" applyBorder="1" applyAlignment="1">
      <alignment horizontal="center" vertical="center"/>
    </xf>
    <xf numFmtId="43" fontId="19" fillId="61" borderId="0" xfId="424" applyFont="1" applyFill="1" applyBorder="1" applyAlignment="1">
      <alignment vertical="center"/>
    </xf>
    <xf numFmtId="0" fontId="19" fillId="61" borderId="0" xfId="0" applyFont="1" applyFill="1" applyAlignment="1">
      <alignment horizontal="right" vertical="center"/>
    </xf>
    <xf numFmtId="165" fontId="19" fillId="61" borderId="0" xfId="553" applyNumberFormat="1" applyFont="1" applyFill="1" applyBorder="1" applyAlignment="1">
      <alignment vertical="center"/>
    </xf>
    <xf numFmtId="43" fontId="19" fillId="61" borderId="0" xfId="0" applyNumberFormat="1" applyFont="1" applyFill="1" applyAlignment="1">
      <alignment horizontal="left" vertical="center"/>
    </xf>
    <xf numFmtId="2" fontId="19" fillId="61" borderId="0" xfId="553" applyNumberFormat="1" applyFont="1" applyFill="1" applyBorder="1" applyAlignment="1">
      <alignment vertical="center"/>
    </xf>
    <xf numFmtId="164" fontId="19" fillId="61" borderId="0" xfId="0" applyNumberFormat="1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center" vertical="center"/>
    </xf>
    <xf numFmtId="43" fontId="19" fillId="61" borderId="0" xfId="0" applyNumberFormat="1" applyFont="1" applyFill="1"/>
    <xf numFmtId="8" fontId="275" fillId="0" borderId="0" xfId="0" applyNumberFormat="1" applyFont="1"/>
    <xf numFmtId="0" fontId="0" fillId="0" borderId="0" xfId="0" applyAlignment="1">
      <alignment horizontal="left"/>
    </xf>
    <xf numFmtId="9" fontId="19" fillId="0" borderId="0" xfId="553" applyFont="1" applyFill="1" applyAlignment="1"/>
    <xf numFmtId="0" fontId="23" fillId="0" borderId="0" xfId="0" applyFont="1"/>
    <xf numFmtId="0" fontId="19" fillId="73" borderId="0" xfId="0" applyFont="1" applyFill="1"/>
    <xf numFmtId="164" fontId="19" fillId="73" borderId="0" xfId="424" applyNumberFormat="1" applyFont="1" applyFill="1"/>
    <xf numFmtId="3" fontId="19" fillId="0" borderId="24" xfId="0" applyNumberFormat="1" applyFont="1" applyBorder="1"/>
    <xf numFmtId="0" fontId="23" fillId="0" borderId="27" xfId="0" applyFont="1" applyBorder="1"/>
    <xf numFmtId="9" fontId="19" fillId="73" borderId="0" xfId="553" applyFont="1" applyFill="1"/>
    <xf numFmtId="164" fontId="19" fillId="73" borderId="0" xfId="424" applyNumberFormat="1" applyFont="1" applyFill="1" applyBorder="1" applyAlignment="1">
      <alignment horizontal="right"/>
    </xf>
    <xf numFmtId="38" fontId="121" fillId="61" borderId="19" xfId="0" applyNumberFormat="1" applyFont="1" applyFill="1" applyBorder="1"/>
    <xf numFmtId="38" fontId="121" fillId="61" borderId="19" xfId="0" quotePrefix="1" applyNumberFormat="1" applyFont="1" applyFill="1" applyBorder="1"/>
    <xf numFmtId="0" fontId="19" fillId="74" borderId="11" xfId="0" applyFont="1" applyFill="1" applyBorder="1" applyAlignment="1">
      <alignment horizontal="right"/>
    </xf>
    <xf numFmtId="164" fontId="19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3" fontId="19" fillId="0" borderId="0" xfId="0" applyNumberFormat="1" applyFont="1"/>
    <xf numFmtId="44" fontId="31" fillId="0" borderId="0" xfId="0" applyNumberFormat="1" applyFont="1"/>
    <xf numFmtId="3" fontId="310" fillId="0" borderId="0" xfId="0" applyNumberFormat="1" applyFont="1" applyAlignment="1">
      <alignment wrapText="1"/>
    </xf>
    <xf numFmtId="171" fontId="31" fillId="0" borderId="19" xfId="0" applyNumberFormat="1" applyFont="1" applyBorder="1"/>
    <xf numFmtId="164" fontId="19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9" fillId="0" borderId="0" xfId="0" applyFont="1" applyProtection="1">
      <protection locked="0"/>
    </xf>
    <xf numFmtId="164" fontId="19" fillId="0" borderId="0" xfId="424" applyNumberFormat="1" applyFont="1" applyFill="1" applyBorder="1"/>
    <xf numFmtId="174" fontId="19" fillId="0" borderId="0" xfId="553" applyNumberFormat="1" applyFont="1" applyFill="1" applyBorder="1"/>
    <xf numFmtId="299" fontId="31" fillId="0" borderId="0" xfId="0" applyNumberFormat="1" applyFont="1"/>
    <xf numFmtId="0" fontId="31" fillId="0" borderId="19" xfId="0" applyFont="1" applyBorder="1"/>
    <xf numFmtId="164" fontId="19" fillId="61" borderId="0" xfId="424" applyNumberFormat="1" applyFont="1" applyFill="1" applyBorder="1" applyAlignment="1">
      <alignment horizontal="right"/>
    </xf>
    <xf numFmtId="0" fontId="19" fillId="61" borderId="0" xfId="0" applyFont="1" applyFill="1" applyAlignment="1">
      <alignment horizontal="right"/>
    </xf>
    <xf numFmtId="10" fontId="19" fillId="0" borderId="0" xfId="553" applyNumberFormat="1" applyFont="1" applyFill="1"/>
    <xf numFmtId="3" fontId="23" fillId="0" borderId="0" xfId="0" applyNumberFormat="1" applyFont="1"/>
    <xf numFmtId="37" fontId="23" fillId="0" borderId="11" xfId="0" applyNumberFormat="1" applyFont="1" applyBorder="1"/>
    <xf numFmtId="0" fontId="19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9" fillId="0" borderId="7" xfId="0" applyFont="1" applyBorder="1" applyAlignment="1">
      <alignment horizontal="center"/>
    </xf>
    <xf numFmtId="0" fontId="19" fillId="0" borderId="0" xfId="0" applyFont="1" applyAlignment="1">
      <alignment horizontal="left" indent="2"/>
    </xf>
    <xf numFmtId="164" fontId="19" fillId="73" borderId="7" xfId="424" applyNumberFormat="1" applyFont="1" applyFill="1" applyBorder="1"/>
    <xf numFmtId="164" fontId="19" fillId="0" borderId="0" xfId="0" applyNumberFormat="1" applyFont="1"/>
    <xf numFmtId="164" fontId="19" fillId="73" borderId="0" xfId="424" applyNumberFormat="1" applyFont="1" applyFill="1" applyBorder="1"/>
    <xf numFmtId="10" fontId="19" fillId="0" borderId="0" xfId="553" applyNumberFormat="1" applyFont="1" applyFill="1" applyBorder="1"/>
    <xf numFmtId="301" fontId="19" fillId="0" borderId="0" xfId="424" applyNumberFormat="1" applyFont="1" applyFill="1" applyBorder="1"/>
    <xf numFmtId="43" fontId="31" fillId="0" borderId="7" xfId="424" applyFont="1" applyFill="1" applyBorder="1"/>
    <xf numFmtId="10" fontId="19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4" fillId="78" borderId="0" xfId="0" applyFont="1" applyFill="1" applyAlignment="1">
      <alignment horizontal="center"/>
    </xf>
    <xf numFmtId="0" fontId="274" fillId="78" borderId="0" xfId="0" applyFont="1" applyFill="1"/>
    <xf numFmtId="171" fontId="23" fillId="78" borderId="0" xfId="0" applyNumberFormat="1" applyFont="1" applyFill="1"/>
    <xf numFmtId="0" fontId="56" fillId="74" borderId="11" xfId="0" applyFont="1" applyFill="1" applyBorder="1" applyAlignment="1">
      <alignment horizontal="right"/>
    </xf>
    <xf numFmtId="164" fontId="56" fillId="74" borderId="11" xfId="424" applyNumberFormat="1" applyFont="1" applyFill="1" applyBorder="1" applyAlignment="1">
      <alignment horizontal="right"/>
    </xf>
    <xf numFmtId="0" fontId="2" fillId="0" borderId="0" xfId="2959"/>
    <xf numFmtId="0" fontId="323" fillId="0" borderId="0" xfId="2959" applyFont="1"/>
    <xf numFmtId="10" fontId="2" fillId="0" borderId="0" xfId="2960" applyNumberFormat="1"/>
    <xf numFmtId="0" fontId="19" fillId="0" borderId="24" xfId="0" applyFont="1" applyBorder="1" applyAlignment="1">
      <alignment horizontal="left"/>
    </xf>
    <xf numFmtId="10" fontId="19" fillId="73" borderId="0" xfId="553" applyNumberFormat="1" applyFont="1" applyFill="1"/>
    <xf numFmtId="0" fontId="19" fillId="0" borderId="0" xfId="0" applyFont="1" applyAlignment="1">
      <alignment horizontal="left"/>
    </xf>
    <xf numFmtId="2" fontId="19" fillId="73" borderId="0" xfId="0" applyNumberFormat="1" applyFont="1" applyFill="1"/>
    <xf numFmtId="0" fontId="19" fillId="0" borderId="24" xfId="0" applyFont="1" applyBorder="1"/>
    <xf numFmtId="0" fontId="19" fillId="0" borderId="26" xfId="0" applyFont="1" applyBorder="1"/>
    <xf numFmtId="0" fontId="19" fillId="0" borderId="28" xfId="0" applyFont="1" applyBorder="1"/>
    <xf numFmtId="0" fontId="23" fillId="0" borderId="74" xfId="0" applyFont="1" applyBorder="1" applyAlignment="1">
      <alignment horizontal="center"/>
    </xf>
    <xf numFmtId="0" fontId="19" fillId="0" borderId="25" xfId="0" applyFont="1" applyBorder="1"/>
    <xf numFmtId="171" fontId="19" fillId="0" borderId="25" xfId="436" applyNumberFormat="1" applyFont="1" applyFill="1" applyBorder="1" applyProtection="1"/>
    <xf numFmtId="171" fontId="19" fillId="0" borderId="75" xfId="436" applyNumberFormat="1" applyFont="1" applyFill="1" applyBorder="1" applyProtection="1"/>
    <xf numFmtId="164" fontId="23" fillId="0" borderId="25" xfId="424" applyNumberFormat="1" applyFont="1" applyFill="1" applyBorder="1" applyProtection="1"/>
    <xf numFmtId="0" fontId="23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/>
    </xf>
    <xf numFmtId="5" fontId="19" fillId="0" borderId="0" xfId="0" applyNumberFormat="1" applyFont="1"/>
    <xf numFmtId="10" fontId="19" fillId="0" borderId="0" xfId="0" applyNumberFormat="1" applyFont="1"/>
    <xf numFmtId="0" fontId="19" fillId="0" borderId="0" xfId="1157"/>
    <xf numFmtId="49" fontId="23" fillId="0" borderId="0" xfId="1157" applyNumberFormat="1" applyFont="1" applyAlignment="1">
      <alignment horizontal="center" wrapText="1"/>
    </xf>
    <xf numFmtId="0" fontId="325" fillId="0" borderId="0" xfId="1157" applyFont="1" applyAlignment="1">
      <alignment horizontal="center"/>
    </xf>
    <xf numFmtId="37" fontId="23" fillId="0" borderId="0" xfId="1157" applyNumberFormat="1" applyFont="1" applyAlignment="1">
      <alignment horizontal="center"/>
    </xf>
    <xf numFmtId="37" fontId="23" fillId="0" borderId="0" xfId="1157" applyNumberFormat="1" applyFont="1" applyAlignment="1">
      <alignment horizontal="center" wrapText="1"/>
    </xf>
    <xf numFmtId="49" fontId="19" fillId="0" borderId="0" xfId="1157" applyNumberFormat="1" applyAlignment="1">
      <alignment wrapText="1"/>
    </xf>
    <xf numFmtId="37" fontId="19" fillId="0" borderId="0" xfId="1157" applyNumberFormat="1" applyAlignment="1">
      <alignment horizontal="center"/>
    </xf>
    <xf numFmtId="304" fontId="19" fillId="0" borderId="0" xfId="1157" applyNumberFormat="1"/>
    <xf numFmtId="49" fontId="19" fillId="0" borderId="0" xfId="1157" applyNumberFormat="1"/>
    <xf numFmtId="302" fontId="19" fillId="0" borderId="0" xfId="1157" applyNumberFormat="1"/>
    <xf numFmtId="305" fontId="19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9" fillId="0" borderId="0" xfId="0" applyNumberFormat="1" applyFont="1"/>
    <xf numFmtId="10" fontId="1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right"/>
    </xf>
    <xf numFmtId="303" fontId="23" fillId="0" borderId="0" xfId="0" applyNumberFormat="1" applyFont="1"/>
    <xf numFmtId="10" fontId="31" fillId="0" borderId="0" xfId="553" applyNumberFormat="1" applyFont="1" applyFill="1"/>
    <xf numFmtId="44" fontId="31" fillId="0" borderId="0" xfId="436" applyFont="1" applyFill="1"/>
    <xf numFmtId="9" fontId="19" fillId="61" borderId="0" xfId="553" applyFont="1" applyFill="1" applyBorder="1" applyAlignment="1">
      <alignment vertical="center"/>
    </xf>
    <xf numFmtId="44" fontId="31" fillId="0" borderId="0" xfId="436" applyFont="1" applyFill="1" applyAlignment="1"/>
    <xf numFmtId="165" fontId="31" fillId="0" borderId="0" xfId="553" applyNumberFormat="1" applyFont="1" applyFill="1" applyBorder="1" applyAlignment="1">
      <alignment horizontal="right" vertical="center"/>
    </xf>
    <xf numFmtId="171" fontId="31" fillId="0" borderId="0" xfId="436" applyNumberFormat="1" applyFont="1" applyFill="1" applyBorder="1"/>
    <xf numFmtId="43" fontId="31" fillId="0" borderId="0" xfId="424" applyFont="1" applyFill="1" applyBorder="1"/>
    <xf numFmtId="37" fontId="23" fillId="0" borderId="0" xfId="0" applyNumberFormat="1" applyFont="1"/>
    <xf numFmtId="179" fontId="31" fillId="0" borderId="0" xfId="436" applyNumberFormat="1" applyFont="1" applyFill="1" applyBorder="1"/>
    <xf numFmtId="44" fontId="31" fillId="0" borderId="0" xfId="436" applyFont="1" applyFill="1" applyBorder="1"/>
    <xf numFmtId="174" fontId="31" fillId="0" borderId="0" xfId="553" applyNumberFormat="1" applyFont="1" applyFill="1" applyBorder="1"/>
    <xf numFmtId="9" fontId="19" fillId="0" borderId="0" xfId="553" applyFont="1" applyFill="1" applyBorder="1"/>
    <xf numFmtId="43" fontId="0" fillId="0" borderId="0" xfId="424" applyFont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424" applyNumberFormat="1" applyFont="1" applyBorder="1"/>
    <xf numFmtId="3" fontId="0" fillId="0" borderId="0" xfId="0" applyNumberFormat="1"/>
    <xf numFmtId="10" fontId="0" fillId="61" borderId="7" xfId="0" applyNumberFormat="1" applyFill="1" applyBorder="1"/>
    <xf numFmtId="0" fontId="19" fillId="0" borderId="11" xfId="0" applyFont="1" applyBorder="1" applyAlignment="1">
      <alignment horizontal="right"/>
    </xf>
    <xf numFmtId="164" fontId="19" fillId="0" borderId="0" xfId="424" applyNumberFormat="1" applyFont="1" applyFill="1" applyBorder="1" applyAlignment="1">
      <alignment horizontal="right"/>
    </xf>
    <xf numFmtId="0" fontId="311" fillId="0" borderId="0" xfId="2916" applyFill="1" applyBorder="1"/>
    <xf numFmtId="0" fontId="326" fillId="0" borderId="0" xfId="0" applyFont="1"/>
    <xf numFmtId="0" fontId="327" fillId="0" borderId="0" xfId="0" applyFont="1"/>
    <xf numFmtId="164" fontId="327" fillId="0" borderId="0" xfId="424" applyNumberFormat="1" applyFont="1" applyFill="1" applyBorder="1"/>
    <xf numFmtId="10" fontId="0" fillId="0" borderId="0" xfId="0" applyNumberFormat="1"/>
    <xf numFmtId="0" fontId="19" fillId="73" borderId="0" xfId="0" applyFont="1" applyFill="1" applyProtection="1">
      <protection locked="0"/>
    </xf>
    <xf numFmtId="171" fontId="0" fillId="0" borderId="0" xfId="436" applyNumberFormat="1" applyFont="1" applyFill="1"/>
    <xf numFmtId="44" fontId="0" fillId="0" borderId="0" xfId="436" applyFont="1"/>
    <xf numFmtId="0" fontId="328" fillId="0" borderId="0" xfId="0" applyFont="1"/>
    <xf numFmtId="166" fontId="19" fillId="0" borderId="7" xfId="553" applyNumberFormat="1" applyFont="1" applyFill="1" applyBorder="1"/>
    <xf numFmtId="166" fontId="19" fillId="0" borderId="7" xfId="0" applyNumberFormat="1" applyFont="1" applyBorder="1"/>
    <xf numFmtId="169" fontId="19" fillId="0" borderId="23" xfId="553" applyNumberFormat="1" applyFont="1" applyFill="1" applyBorder="1"/>
    <xf numFmtId="0" fontId="329" fillId="0" borderId="0" xfId="0" applyFont="1"/>
    <xf numFmtId="0" fontId="330" fillId="0" borderId="0" xfId="0" applyFont="1"/>
    <xf numFmtId="0" fontId="329" fillId="0" borderId="0" xfId="1158" applyFont="1"/>
    <xf numFmtId="0" fontId="331" fillId="0" borderId="0" xfId="1158" applyFont="1"/>
    <xf numFmtId="0" fontId="329" fillId="0" borderId="0" xfId="1158" applyFont="1" applyAlignment="1">
      <alignment horizontal="center"/>
    </xf>
    <xf numFmtId="0" fontId="331" fillId="0" borderId="0" xfId="1158" applyFont="1" applyAlignment="1">
      <alignment horizontal="center"/>
    </xf>
    <xf numFmtId="49" fontId="331" fillId="0" borderId="0" xfId="1158" applyNumberFormat="1" applyFont="1" applyAlignment="1">
      <alignment horizontal="center"/>
    </xf>
    <xf numFmtId="0" fontId="332" fillId="0" borderId="0" xfId="1158" applyFont="1" applyAlignment="1">
      <alignment horizontal="center"/>
    </xf>
    <xf numFmtId="0" fontId="331" fillId="0" borderId="7" xfId="1158" applyFont="1" applyBorder="1" applyAlignment="1">
      <alignment horizontal="center"/>
    </xf>
    <xf numFmtId="49" fontId="331" fillId="0" borderId="0" xfId="2343" applyNumberFormat="1" applyFont="1" applyAlignment="1">
      <alignment horizontal="center"/>
    </xf>
    <xf numFmtId="3" fontId="331" fillId="0" borderId="0" xfId="1158" applyNumberFormat="1" applyFont="1"/>
    <xf numFmtId="165" fontId="331" fillId="0" borderId="0" xfId="2807" applyNumberFormat="1" applyFont="1" applyFill="1" applyAlignment="1">
      <alignment horizontal="right"/>
    </xf>
    <xf numFmtId="10" fontId="331" fillId="0" borderId="0" xfId="553" applyNumberFormat="1" applyFont="1" applyFill="1" applyAlignment="1">
      <alignment horizontal="right"/>
    </xf>
    <xf numFmtId="0" fontId="331" fillId="0" borderId="0" xfId="2807" applyNumberFormat="1" applyFont="1" applyFill="1" applyAlignment="1">
      <alignment horizontal="right"/>
    </xf>
    <xf numFmtId="3" fontId="332" fillId="0" borderId="0" xfId="1158" applyNumberFormat="1" applyFont="1"/>
    <xf numFmtId="165" fontId="332" fillId="0" borderId="0" xfId="2807" applyNumberFormat="1" applyFont="1" applyFill="1" applyAlignment="1">
      <alignment horizontal="right"/>
    </xf>
    <xf numFmtId="3" fontId="331" fillId="0" borderId="0" xfId="1158" applyNumberFormat="1" applyFont="1" applyAlignment="1">
      <alignment horizontal="center"/>
    </xf>
    <xf numFmtId="165" fontId="331" fillId="0" borderId="0" xfId="1158" applyNumberFormat="1" applyFont="1"/>
    <xf numFmtId="10" fontId="331" fillId="0" borderId="0" xfId="2807" applyNumberFormat="1" applyFont="1" applyFill="1"/>
    <xf numFmtId="165" fontId="331" fillId="0" borderId="0" xfId="1158" applyNumberFormat="1" applyFont="1" applyAlignment="1">
      <alignment horizontal="right"/>
    </xf>
    <xf numFmtId="3" fontId="333" fillId="0" borderId="0" xfId="1158" applyNumberFormat="1" applyFont="1"/>
    <xf numFmtId="165" fontId="333" fillId="0" borderId="0" xfId="1158" applyNumberFormat="1" applyFont="1"/>
    <xf numFmtId="9" fontId="331" fillId="0" borderId="0" xfId="2807" applyFont="1" applyFill="1"/>
    <xf numFmtId="0" fontId="331" fillId="0" borderId="0" xfId="0" applyFont="1"/>
    <xf numFmtId="166" fontId="331" fillId="0" borderId="0" xfId="553" applyNumberFormat="1" applyFont="1" applyFill="1"/>
    <xf numFmtId="164" fontId="23" fillId="0" borderId="0" xfId="424" applyNumberFormat="1" applyFont="1" applyFill="1"/>
    <xf numFmtId="0" fontId="0" fillId="79" borderId="0" xfId="0" applyFill="1"/>
    <xf numFmtId="0" fontId="0" fillId="79" borderId="0" xfId="0" applyFill="1" applyAlignment="1">
      <alignment horizontal="center"/>
    </xf>
    <xf numFmtId="14" fontId="0" fillId="79" borderId="0" xfId="0" applyNumberFormat="1" applyFill="1"/>
    <xf numFmtId="164" fontId="0" fillId="79" borderId="0" xfId="424" applyNumberFormat="1" applyFont="1" applyFill="1" applyAlignment="1">
      <alignment horizontal="right"/>
    </xf>
    <xf numFmtId="164" fontId="0" fillId="79" borderId="0" xfId="424" applyNumberFormat="1" applyFont="1" applyFill="1"/>
    <xf numFmtId="171" fontId="0" fillId="79" borderId="0" xfId="436" applyNumberFormat="1" applyFont="1" applyFill="1"/>
    <xf numFmtId="0" fontId="0" fillId="79" borderId="0" xfId="0" applyFill="1" applyAlignment="1">
      <alignment horizontal="center"/>
    </xf>
    <xf numFmtId="0" fontId="0" fillId="0" borderId="0" xfId="0" applyAlignment="1">
      <alignment horizontal="center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0" fontId="0" fillId="0" borderId="0" xfId="0"/>
    <xf numFmtId="49" fontId="324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273" fillId="61" borderId="0" xfId="0" applyFont="1" applyFill="1" applyAlignment="1">
      <alignment horizontal="center"/>
    </xf>
    <xf numFmtId="0" fontId="21" fillId="0" borderId="0" xfId="533" applyFont="1" applyAlignment="1">
      <alignment horizontal="center"/>
    </xf>
    <xf numFmtId="0" fontId="19" fillId="80" borderId="0" xfId="0" applyFont="1" applyFill="1"/>
    <xf numFmtId="0" fontId="23" fillId="80" borderId="0" xfId="0" applyFont="1" applyFill="1"/>
    <xf numFmtId="0" fontId="0" fillId="80" borderId="0" xfId="0" applyFill="1"/>
    <xf numFmtId="0" fontId="0" fillId="80" borderId="0" xfId="0" applyFill="1" applyAlignment="1">
      <alignment horizontal="center"/>
    </xf>
    <xf numFmtId="0" fontId="0" fillId="80" borderId="0" xfId="0" applyFill="1" applyAlignment="1">
      <alignment horizontal="center"/>
    </xf>
    <xf numFmtId="164" fontId="0" fillId="80" borderId="0" xfId="424" applyNumberFormat="1" applyFont="1" applyFill="1"/>
    <xf numFmtId="164" fontId="0" fillId="80" borderId="0" xfId="0" applyNumberFormat="1" applyFill="1"/>
    <xf numFmtId="164" fontId="1" fillId="80" borderId="0" xfId="0" applyNumberFormat="1" applyFont="1" applyFill="1"/>
    <xf numFmtId="43" fontId="0" fillId="80" borderId="0" xfId="0" applyNumberForma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G57"/>
  <sheetViews>
    <sheetView tabSelected="1" zoomScaleNormal="100" workbookViewId="0">
      <selection activeCell="K4" sqref="K4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15" width="13.85546875" style="4" customWidth="1"/>
    <col min="16" max="23" width="12.140625" style="4" bestFit="1" customWidth="1"/>
    <col min="24" max="32" width="5" style="4" bestFit="1" customWidth="1"/>
    <col min="33" max="33" width="12.28515625" style="4" bestFit="1" customWidth="1"/>
    <col min="34" max="34" width="53.140625" style="4" bestFit="1" customWidth="1"/>
    <col min="35" max="16384" width="9.140625" style="4"/>
  </cols>
  <sheetData>
    <row r="1" spans="1:33" ht="15">
      <c r="A1" s="23" t="s">
        <v>302</v>
      </c>
    </row>
    <row r="2" spans="1:33">
      <c r="A2" s="4" t="s">
        <v>106</v>
      </c>
      <c r="B2" s="150" t="s">
        <v>208</v>
      </c>
      <c r="D2" s="144"/>
      <c r="E2" s="145" t="s">
        <v>205</v>
      </c>
    </row>
    <row r="3" spans="1:33">
      <c r="A3" s="4" t="s">
        <v>183</v>
      </c>
      <c r="B3" s="150" t="s">
        <v>209</v>
      </c>
      <c r="D3" s="142"/>
      <c r="E3" s="146"/>
      <c r="F3" s="103"/>
      <c r="I3" s="103"/>
      <c r="J3" s="103" t="s">
        <v>314</v>
      </c>
      <c r="K3" s="209">
        <v>4</v>
      </c>
      <c r="L3" s="103"/>
      <c r="M3" s="103"/>
      <c r="N3" s="103"/>
    </row>
    <row r="4" spans="1:33">
      <c r="D4" s="142" t="s">
        <v>120</v>
      </c>
      <c r="E4" s="149">
        <f>B8</f>
        <v>1560</v>
      </c>
      <c r="F4" s="84"/>
      <c r="J4" s="4" t="s">
        <v>312</v>
      </c>
      <c r="K4" s="257"/>
      <c r="L4" s="205"/>
      <c r="M4" s="104"/>
      <c r="N4" s="104"/>
      <c r="O4" s="205"/>
    </row>
    <row r="5" spans="1:33">
      <c r="A5" s="4" t="s">
        <v>121</v>
      </c>
      <c r="B5" s="85" t="s">
        <v>355</v>
      </c>
      <c r="D5" s="142"/>
      <c r="E5" s="146"/>
    </row>
    <row r="6" spans="1:33">
      <c r="A6" s="4" t="s">
        <v>122</v>
      </c>
      <c r="B6" s="85" t="s">
        <v>306</v>
      </c>
      <c r="D6" s="142" t="s">
        <v>38</v>
      </c>
      <c r="E6" s="147">
        <f>B10</f>
        <v>108917000</v>
      </c>
      <c r="AG6" s="51"/>
    </row>
    <row r="7" spans="1:33">
      <c r="A7" s="4" t="s">
        <v>128</v>
      </c>
      <c r="B7" s="85">
        <v>2028</v>
      </c>
      <c r="D7" s="142" t="s">
        <v>101</v>
      </c>
      <c r="E7" s="147">
        <f>B17</f>
        <v>0</v>
      </c>
    </row>
    <row r="8" spans="1:33">
      <c r="A8" s="4" t="s">
        <v>120</v>
      </c>
      <c r="B8" s="86">
        <v>1560</v>
      </c>
      <c r="D8" s="142" t="s">
        <v>316</v>
      </c>
      <c r="E8" s="147">
        <f>B11</f>
        <v>0</v>
      </c>
      <c r="F8" s="104"/>
      <c r="I8" s="104"/>
      <c r="J8" s="104"/>
      <c r="K8" s="104"/>
      <c r="L8" s="104"/>
      <c r="M8" s="104"/>
      <c r="N8" s="104"/>
      <c r="O8" s="204"/>
    </row>
    <row r="9" spans="1:33">
      <c r="D9" s="143" t="s">
        <v>70</v>
      </c>
      <c r="E9" s="148">
        <f>B18</f>
        <v>108917000</v>
      </c>
      <c r="F9" s="104"/>
      <c r="I9" s="104"/>
      <c r="J9" s="104"/>
      <c r="K9" s="104"/>
      <c r="L9" s="104"/>
      <c r="M9" s="104"/>
      <c r="N9" s="104"/>
    </row>
    <row r="10" spans="1:33">
      <c r="A10" s="4" t="s">
        <v>130</v>
      </c>
      <c r="B10" s="241">
        <f>'Cash Flow of U2'!H4</f>
        <v>108917000</v>
      </c>
      <c r="C10" s="206"/>
      <c r="F10" s="104"/>
      <c r="I10" s="104"/>
      <c r="J10" s="104"/>
      <c r="K10" s="104"/>
      <c r="L10" s="104"/>
      <c r="M10" s="104"/>
      <c r="N10" s="104"/>
    </row>
    <row r="11" spans="1:33">
      <c r="A11" s="4" t="s">
        <v>316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</row>
    <row r="12" spans="1:33">
      <c r="A12" s="82" t="s">
        <v>116</v>
      </c>
      <c r="B12" s="57"/>
      <c r="D12" s="4" t="s">
        <v>164</v>
      </c>
      <c r="E12" s="141">
        <f>AVERAGE(GRCF!D25,GRCF!E41)</f>
        <v>1.3258945200000001</v>
      </c>
      <c r="F12" s="207"/>
      <c r="I12" s="104"/>
      <c r="J12" s="104"/>
      <c r="K12" s="104"/>
      <c r="L12" s="104"/>
      <c r="M12" s="104"/>
      <c r="N12" s="104"/>
    </row>
    <row r="13" spans="1:33">
      <c r="A13" s="102" t="s">
        <v>161</v>
      </c>
      <c r="B13" s="86"/>
      <c r="D13" s="4" t="s">
        <v>296</v>
      </c>
      <c r="E13" s="139">
        <f>Allocators!G10</f>
        <v>1</v>
      </c>
      <c r="F13" s="207"/>
      <c r="I13" s="104"/>
      <c r="J13" s="104"/>
      <c r="K13" s="104"/>
      <c r="L13" s="104"/>
      <c r="M13" s="104"/>
      <c r="N13" s="104"/>
    </row>
    <row r="14" spans="1:33">
      <c r="A14" s="102" t="s">
        <v>117</v>
      </c>
      <c r="B14" s="86"/>
      <c r="D14" s="4" t="s">
        <v>165</v>
      </c>
      <c r="E14" s="139">
        <f>AVERAGE('CAP Structure'!F18,'CAP Structure'!F36)</f>
        <v>6.9533995942596558E-2</v>
      </c>
      <c r="F14" s="207"/>
      <c r="I14" s="104"/>
      <c r="J14" s="104"/>
      <c r="K14" s="104"/>
      <c r="L14" s="104"/>
      <c r="M14" s="104"/>
      <c r="N14" s="104"/>
      <c r="O14" s="204"/>
    </row>
    <row r="15" spans="1:33">
      <c r="A15" s="102" t="s">
        <v>118</v>
      </c>
      <c r="B15" s="86"/>
      <c r="D15" s="4" t="s">
        <v>166</v>
      </c>
      <c r="E15" s="139">
        <f>AVERAGE('CAP Structure'!E16,'CAP Structure'!E34)</f>
        <v>9.5000000000000001E-2</v>
      </c>
      <c r="F15" s="207"/>
      <c r="I15" s="104"/>
      <c r="J15" s="104"/>
      <c r="K15" s="104"/>
      <c r="L15" s="104"/>
      <c r="M15" s="104"/>
      <c r="N15" s="104"/>
    </row>
    <row r="16" spans="1:33">
      <c r="A16" s="102" t="s">
        <v>119</v>
      </c>
      <c r="B16" s="86"/>
      <c r="D16" s="4" t="s">
        <v>167</v>
      </c>
      <c r="E16" s="139">
        <f>AVERAGE(('CAP Structure'!F12+'CAP Structure'!F14),('CAP Structure'!F31+'CAP Structure'!F32))</f>
        <v>2.6818459913803945E-2</v>
      </c>
      <c r="F16" s="207"/>
      <c r="J16" s="104"/>
      <c r="K16" s="104"/>
      <c r="L16" s="104"/>
      <c r="M16" s="104"/>
      <c r="N16" s="104"/>
      <c r="O16" s="204"/>
    </row>
    <row r="17" spans="1:15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Structure'!D34)</f>
        <v>0.45064228139235252</v>
      </c>
      <c r="F17" s="207"/>
      <c r="J17" s="104"/>
      <c r="K17" s="104"/>
      <c r="L17" s="104"/>
      <c r="M17" s="104"/>
      <c r="N17" s="104"/>
      <c r="O17" s="204"/>
    </row>
    <row r="18" spans="1:15" ht="12" customHeight="1">
      <c r="A18" s="4" t="s">
        <v>70</v>
      </c>
      <c r="B18" s="57">
        <f>B10+B17+B11</f>
        <v>108917000</v>
      </c>
      <c r="F18" s="104"/>
      <c r="I18" s="104"/>
      <c r="J18" s="104"/>
      <c r="K18" s="104"/>
      <c r="L18" s="104"/>
      <c r="M18" s="104"/>
      <c r="N18" s="104"/>
      <c r="O18" s="204"/>
    </row>
    <row r="19" spans="1:15" ht="12" customHeight="1">
      <c r="F19" s="104"/>
      <c r="J19" s="104"/>
      <c r="K19" s="104"/>
      <c r="L19" s="104"/>
      <c r="M19" s="104"/>
      <c r="N19" s="104"/>
      <c r="O19" s="204"/>
    </row>
    <row r="20" spans="1:15" ht="12" customHeight="1">
      <c r="A20" s="82" t="s">
        <v>203</v>
      </c>
      <c r="I20" s="104"/>
      <c r="J20" s="104"/>
      <c r="K20" s="104"/>
      <c r="L20" s="104"/>
      <c r="M20" s="104"/>
      <c r="N20" s="104"/>
      <c r="O20" s="204"/>
    </row>
    <row r="21" spans="1:15" ht="12" customHeight="1">
      <c r="A21" s="102" t="s">
        <v>182</v>
      </c>
      <c r="B21" s="119">
        <v>10</v>
      </c>
      <c r="C21" s="205"/>
      <c r="F21" s="120"/>
      <c r="I21" s="104"/>
      <c r="J21" s="104"/>
      <c r="K21" s="104"/>
      <c r="L21" s="104"/>
      <c r="M21" s="104"/>
      <c r="N21" s="104"/>
      <c r="O21" s="204"/>
    </row>
    <row r="22" spans="1:15" ht="12" customHeight="1">
      <c r="A22" s="116" t="s">
        <v>199</v>
      </c>
      <c r="B22" s="120">
        <f>IF(B30&lt;&gt;0,(B30+E9)/B21/E9,1/B21)</f>
        <v>0.1</v>
      </c>
      <c r="F22" s="120"/>
      <c r="G22" s="121"/>
      <c r="H22" s="104"/>
      <c r="I22" s="104"/>
      <c r="J22" s="104"/>
      <c r="K22" s="104"/>
      <c r="L22" s="104"/>
      <c r="M22" s="104"/>
      <c r="N22" s="104"/>
      <c r="O22" s="204"/>
    </row>
    <row r="23" spans="1:15" ht="12" customHeight="1">
      <c r="G23" s="121"/>
      <c r="H23" s="104"/>
      <c r="I23" s="104"/>
      <c r="J23" s="104"/>
      <c r="K23" s="104"/>
      <c r="L23" s="104"/>
      <c r="M23" s="104"/>
      <c r="N23" s="104"/>
      <c r="O23" s="204"/>
    </row>
    <row r="24" spans="1:15">
      <c r="A24" s="140" t="s">
        <v>204</v>
      </c>
      <c r="G24" s="104"/>
      <c r="H24" s="105"/>
      <c r="I24" s="105"/>
      <c r="J24" s="105"/>
      <c r="K24" s="104"/>
      <c r="L24" s="104"/>
      <c r="M24" s="104"/>
      <c r="N24" s="104"/>
    </row>
    <row r="25" spans="1:15">
      <c r="A25" s="116" t="s">
        <v>206</v>
      </c>
      <c r="B25" s="85">
        <v>2025</v>
      </c>
      <c r="K25" s="83"/>
    </row>
    <row r="26" spans="1:15">
      <c r="A26" s="116" t="s">
        <v>202</v>
      </c>
      <c r="B26" s="139">
        <v>2.5000000000000001E-2</v>
      </c>
      <c r="F26" s="104"/>
      <c r="K26" s="83"/>
    </row>
    <row r="27" spans="1:15">
      <c r="A27" s="116" t="s">
        <v>180</v>
      </c>
      <c r="B27" s="86"/>
      <c r="F27" s="104"/>
      <c r="K27" s="83"/>
    </row>
    <row r="28" spans="1:15">
      <c r="A28" s="102" t="s">
        <v>169</v>
      </c>
      <c r="B28" s="117"/>
      <c r="K28" s="83"/>
    </row>
    <row r="29" spans="1:15">
      <c r="A29" s="102" t="s">
        <v>200</v>
      </c>
      <c r="B29" s="118">
        <f>B27-B28</f>
        <v>0</v>
      </c>
      <c r="K29" s="83"/>
    </row>
    <row r="30" spans="1:15">
      <c r="A30" s="102" t="s">
        <v>201</v>
      </c>
      <c r="B30" s="118">
        <f>B29*(1+B26)^(B21+B7-B25)</f>
        <v>0</v>
      </c>
      <c r="K30" s="83"/>
    </row>
    <row r="31" spans="1:15">
      <c r="K31" s="83"/>
    </row>
    <row r="32" spans="1:15">
      <c r="A32" s="82" t="s">
        <v>178</v>
      </c>
      <c r="B32" s="118"/>
      <c r="K32" s="83"/>
    </row>
    <row r="33" spans="1:33">
      <c r="A33" s="116" t="s">
        <v>192</v>
      </c>
      <c r="B33" s="86" t="s">
        <v>198</v>
      </c>
      <c r="C33" s="207"/>
      <c r="E33" s="118"/>
      <c r="K33" s="83"/>
    </row>
    <row r="34" spans="1:33">
      <c r="A34" s="116" t="s">
        <v>51</v>
      </c>
      <c r="B34" s="139">
        <f>GRCF!C16</f>
        <v>5.0065000000000005E-2</v>
      </c>
      <c r="E34" s="118"/>
      <c r="K34" s="83"/>
    </row>
    <row r="35" spans="1:33">
      <c r="A35" s="116" t="s">
        <v>58</v>
      </c>
      <c r="B35" s="89">
        <v>0.21</v>
      </c>
      <c r="E35" s="118"/>
      <c r="K35" s="83"/>
    </row>
    <row r="36" spans="1:33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206"/>
      <c r="P36" s="206"/>
      <c r="Q36" s="104"/>
      <c r="R36" s="104"/>
      <c r="S36" s="104"/>
      <c r="T36" s="104"/>
      <c r="U36" s="104"/>
      <c r="V36" s="104"/>
      <c r="W36" s="104"/>
    </row>
    <row r="37" spans="1:33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4"/>
      <c r="N37" s="194"/>
      <c r="O37" s="104"/>
      <c r="P37" s="104"/>
      <c r="Q37" s="104"/>
      <c r="R37" s="104"/>
      <c r="S37" s="104"/>
      <c r="T37" s="104"/>
      <c r="U37" s="104"/>
      <c r="V37" s="104"/>
      <c r="W37" s="104"/>
    </row>
    <row r="38" spans="1:33">
      <c r="A38" s="88" t="str">
        <f>IF(B5="","",B5)</f>
        <v>Option 4</v>
      </c>
      <c r="B38" s="93">
        <f>B7</f>
        <v>2028</v>
      </c>
      <c r="C38" s="93">
        <f>B38+1</f>
        <v>2029</v>
      </c>
      <c r="D38" s="93">
        <f t="shared" ref="D38:N38" si="0">C38+1</f>
        <v>2030</v>
      </c>
      <c r="E38" s="93">
        <f t="shared" si="0"/>
        <v>2031</v>
      </c>
      <c r="F38" s="93">
        <f t="shared" si="0"/>
        <v>2032</v>
      </c>
      <c r="G38" s="93">
        <f t="shared" si="0"/>
        <v>2033</v>
      </c>
      <c r="H38" s="93">
        <f t="shared" si="0"/>
        <v>2034</v>
      </c>
      <c r="I38" s="93">
        <f t="shared" si="0"/>
        <v>2035</v>
      </c>
      <c r="J38" s="93">
        <f t="shared" si="0"/>
        <v>2036</v>
      </c>
      <c r="K38" s="93">
        <f t="shared" si="0"/>
        <v>2037</v>
      </c>
      <c r="L38" s="93">
        <f t="shared" si="0"/>
        <v>2038</v>
      </c>
      <c r="M38" s="93">
        <f t="shared" si="0"/>
        <v>2039</v>
      </c>
      <c r="N38" s="93">
        <f t="shared" si="0"/>
        <v>2040</v>
      </c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202"/>
      <c r="AC38" s="202"/>
      <c r="AD38" s="202"/>
      <c r="AE38" s="202"/>
      <c r="AF38" s="202"/>
      <c r="AG38" s="84"/>
    </row>
    <row r="39" spans="1:33">
      <c r="A39" s="144" t="s">
        <v>172</v>
      </c>
      <c r="B39" s="90">
        <v>0</v>
      </c>
      <c r="C39" s="90">
        <v>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3000000</v>
      </c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3"/>
      <c r="Z39" s="203"/>
      <c r="AA39" s="203"/>
      <c r="AB39" s="203"/>
      <c r="AC39" s="203"/>
      <c r="AD39" s="203"/>
      <c r="AE39" s="203"/>
      <c r="AF39" s="203"/>
      <c r="AG39" s="84"/>
    </row>
    <row r="40" spans="1:33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203"/>
      <c r="AA40" s="203"/>
      <c r="AB40" s="203"/>
      <c r="AC40" s="203"/>
      <c r="AD40" s="203"/>
      <c r="AE40" s="203"/>
      <c r="AF40" s="203"/>
      <c r="AG40" s="84"/>
    </row>
    <row r="41" spans="1:33">
      <c r="A41" s="142" t="s">
        <v>3</v>
      </c>
      <c r="B41" s="101">
        <f>B39+B40</f>
        <v>0</v>
      </c>
      <c r="C41" s="101">
        <f>C39+C40</f>
        <v>0</v>
      </c>
      <c r="D41" s="101">
        <f t="shared" ref="D41:N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0</v>
      </c>
      <c r="L41" s="101">
        <f t="shared" si="1"/>
        <v>0</v>
      </c>
      <c r="M41" s="101">
        <f t="shared" si="1"/>
        <v>0</v>
      </c>
      <c r="N41" s="101">
        <f t="shared" si="1"/>
        <v>3000000</v>
      </c>
      <c r="O41" s="203"/>
      <c r="P41" s="203"/>
      <c r="Q41" s="203"/>
      <c r="R41" s="203"/>
      <c r="S41" s="203"/>
      <c r="T41" s="203"/>
      <c r="U41" s="203"/>
      <c r="V41" s="203"/>
      <c r="W41" s="203"/>
      <c r="X41" s="203"/>
      <c r="Y41" s="203"/>
      <c r="Z41" s="203"/>
      <c r="AA41" s="203"/>
      <c r="AB41" s="101"/>
      <c r="AC41" s="101"/>
      <c r="AD41" s="101"/>
      <c r="AE41" s="101"/>
      <c r="AF41" s="101"/>
    </row>
    <row r="42" spans="1:33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</row>
    <row r="43" spans="1:33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  <c r="AD43" s="203"/>
      <c r="AE43" s="203"/>
      <c r="AF43" s="203"/>
    </row>
    <row r="44" spans="1:33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</row>
    <row r="45" spans="1:33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203"/>
      <c r="P45" s="203"/>
      <c r="Q45" s="203"/>
      <c r="R45" s="203"/>
      <c r="S45" s="203"/>
      <c r="T45" s="203"/>
      <c r="U45" s="203"/>
      <c r="V45" s="203"/>
      <c r="W45" s="203"/>
      <c r="X45" s="203"/>
      <c r="Y45" s="203"/>
      <c r="Z45" s="203"/>
      <c r="AA45" s="203"/>
      <c r="AB45" s="203"/>
      <c r="AC45" s="203"/>
      <c r="AD45" s="203"/>
      <c r="AE45" s="203"/>
      <c r="AF45" s="203"/>
      <c r="AG45" s="84"/>
    </row>
    <row r="46" spans="1:33">
      <c r="A46" s="142" t="s">
        <v>114</v>
      </c>
      <c r="B46" s="101">
        <f t="shared" ref="B46" si="2">SUM(B43:B45)</f>
        <v>0</v>
      </c>
      <c r="C46" s="101">
        <f t="shared" ref="C46:N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101">
        <f t="shared" si="3"/>
        <v>0</v>
      </c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101"/>
      <c r="AC46" s="101"/>
      <c r="AD46" s="101"/>
      <c r="AE46" s="101"/>
      <c r="AF46" s="101"/>
    </row>
    <row r="47" spans="1:33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203"/>
      <c r="P47" s="203"/>
      <c r="Q47" s="203"/>
      <c r="R47" s="203"/>
      <c r="S47" s="203"/>
      <c r="T47" s="203"/>
      <c r="U47" s="203"/>
      <c r="V47" s="203"/>
      <c r="W47" s="203"/>
      <c r="X47" s="203"/>
      <c r="Y47" s="203"/>
      <c r="Z47" s="203"/>
      <c r="AA47" s="203"/>
      <c r="AB47" s="203"/>
      <c r="AC47" s="203"/>
      <c r="AD47" s="203"/>
      <c r="AE47" s="203"/>
      <c r="AF47" s="203"/>
    </row>
    <row r="48" spans="1:33">
      <c r="A48" s="142" t="s">
        <v>115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205"/>
      <c r="P48" s="205"/>
      <c r="Q48" s="203"/>
      <c r="R48" s="203"/>
      <c r="S48" s="203"/>
      <c r="T48" s="203"/>
      <c r="U48" s="203"/>
      <c r="V48" s="203"/>
      <c r="W48" s="203"/>
      <c r="X48" s="203"/>
      <c r="Y48" s="203"/>
      <c r="Z48" s="203"/>
      <c r="AA48" s="203"/>
      <c r="AB48" s="203"/>
      <c r="AC48" s="203"/>
      <c r="AD48" s="203"/>
      <c r="AE48" s="203"/>
      <c r="AF48" s="203"/>
    </row>
    <row r="49" spans="1:32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203"/>
      <c r="P49" s="203"/>
      <c r="Q49" s="203"/>
      <c r="R49" s="203"/>
      <c r="S49" s="203"/>
      <c r="T49" s="203"/>
      <c r="U49" s="203"/>
      <c r="V49" s="203"/>
      <c r="W49" s="203"/>
      <c r="X49" s="203"/>
      <c r="Y49" s="203"/>
      <c r="Z49" s="203"/>
      <c r="AA49" s="203"/>
      <c r="AB49" s="203"/>
      <c r="AC49" s="203"/>
      <c r="AD49" s="203"/>
      <c r="AE49" s="203"/>
      <c r="AF49" s="203"/>
    </row>
    <row r="50" spans="1:32">
      <c r="A50" s="142" t="s">
        <v>303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205"/>
      <c r="P50" s="205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</row>
    <row r="51" spans="1:32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3"/>
      <c r="AC51" s="203"/>
      <c r="AD51" s="203"/>
      <c r="AE51" s="203"/>
      <c r="AF51" s="203"/>
    </row>
    <row r="52" spans="1:32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03"/>
    </row>
    <row r="53" spans="1:32">
      <c r="A53" s="143" t="s">
        <v>170</v>
      </c>
      <c r="B53" s="101">
        <f t="shared" ref="B53" si="4">SUM(B46:B52)</f>
        <v>0</v>
      </c>
      <c r="C53" s="101">
        <f t="shared" ref="C53:N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101">
        <f t="shared" si="5"/>
        <v>0</v>
      </c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101"/>
      <c r="AC53" s="101"/>
      <c r="AD53" s="101"/>
      <c r="AE53" s="101"/>
      <c r="AF53" s="101"/>
    </row>
    <row r="57" spans="1:32">
      <c r="A57"/>
    </row>
  </sheetData>
  <phoneticPr fontId="309" type="noConversion"/>
  <conditionalFormatting sqref="D2:E2 F3 I3:N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D30" sqref="D30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e">
        <f>'Retail Rev Req'!#REF!</f>
        <v>#REF!</v>
      </c>
      <c r="R2" s="129" t="e">
        <f>'Retail Rev Req'!#REF!</f>
        <v>#REF!</v>
      </c>
      <c r="S2" s="129" t="e">
        <f>'Retail Rev Req'!#REF!</f>
        <v>#REF!</v>
      </c>
      <c r="T2" s="129" t="e">
        <f>'Retail Rev Req'!#REF!</f>
        <v>#REF!</v>
      </c>
      <c r="U2" s="129" t="e">
        <f>'Retail Rev Req'!#REF!</f>
        <v>#REF!</v>
      </c>
      <c r="V2" s="129" t="e">
        <f>'Retail Rev Req'!#REF!</f>
        <v>#REF!</v>
      </c>
      <c r="W2" s="129" t="e">
        <f>'Retail Rev Req'!#REF!</f>
        <v>#REF!</v>
      </c>
      <c r="X2" s="129" t="e">
        <f>'Retail Rev Req'!#REF!</f>
        <v>#REF!</v>
      </c>
      <c r="Y2" s="129" t="e">
        <f>'Retail Rev Req'!#REF!</f>
        <v>#REF!</v>
      </c>
      <c r="Z2" s="129" t="e">
        <f>'Retail Rev Req'!#REF!</f>
        <v>#REF!</v>
      </c>
      <c r="AA2" s="129" t="e">
        <f>'Retail Rev Req'!#REF!</f>
        <v>#REF!</v>
      </c>
      <c r="AB2" s="129" t="e">
        <f>'Retail Rev Req'!#REF!</f>
        <v>#REF!</v>
      </c>
      <c r="AC2" s="129" t="e">
        <f>'Retail Rev Req'!#REF!</f>
        <v>#REF!</v>
      </c>
      <c r="AD2" s="129" t="e">
        <f>'Retail Rev Req'!#REF!</f>
        <v>#REF!</v>
      </c>
      <c r="AE2" s="129" t="e">
        <f>'Retail Rev Req'!#REF!</f>
        <v>#REF!</v>
      </c>
      <c r="AF2" s="129" t="e">
        <f>'Retail Rev Req'!#REF!</f>
        <v>#REF!</v>
      </c>
      <c r="AG2" s="129" t="e">
        <f>'Retail Rev Req'!#REF!</f>
        <v>#REF!</v>
      </c>
      <c r="AH2" s="129" t="e">
        <f>'Retail Rev Req'!#REF!</f>
        <v>#REF!</v>
      </c>
      <c r="AI2" s="129" t="e">
        <f>'Retail Rev Req'!#REF!</f>
        <v>#REF!</v>
      </c>
      <c r="AJ2" s="129" t="e">
        <f>'Retail Rev Req'!#REF!</f>
        <v>#REF!</v>
      </c>
      <c r="AK2" s="129" t="e">
        <f>'Retail Rev Req'!#REF!</f>
        <v>#REF!</v>
      </c>
      <c r="AL2" s="129" t="e">
        <f>'Retail Rev Req'!#REF!</f>
        <v>#REF!</v>
      </c>
    </row>
    <row r="3" spans="1:38">
      <c r="A3" s="56" t="s">
        <v>42</v>
      </c>
      <c r="B3" s="56"/>
      <c r="C3" s="56" t="s">
        <v>43</v>
      </c>
      <c r="D3" s="128">
        <f>'Retail Rev Req'!B4</f>
        <v>2028</v>
      </c>
      <c r="E3" s="128">
        <f>'Retail Rev Req'!C4</f>
        <v>2029</v>
      </c>
      <c r="F3" s="128">
        <f>'Retail Rev Req'!D4</f>
        <v>2030</v>
      </c>
      <c r="G3" s="128">
        <f>'Retail Rev Req'!E4</f>
        <v>2031</v>
      </c>
      <c r="H3" s="128">
        <f>'Retail Rev Req'!F4</f>
        <v>2032</v>
      </c>
      <c r="I3" s="128">
        <f>'Retail Rev Req'!G4</f>
        <v>2033</v>
      </c>
      <c r="J3" s="128">
        <f>'Retail Rev Req'!H4</f>
        <v>2034</v>
      </c>
      <c r="K3" s="128">
        <f>'Retail Rev Req'!I4</f>
        <v>2035</v>
      </c>
      <c r="L3" s="128">
        <f>'Retail Rev Req'!J4</f>
        <v>2036</v>
      </c>
      <c r="M3" s="128">
        <f>'Retail Rev Req'!K4</f>
        <v>2037</v>
      </c>
      <c r="N3" s="128">
        <f>'Retail Rev Req'!L4</f>
        <v>2038</v>
      </c>
      <c r="O3" s="128">
        <f>'Retail Rev Req'!M4</f>
        <v>2039</v>
      </c>
      <c r="P3" s="128">
        <f>'Retail Rev Req'!N4</f>
        <v>2040</v>
      </c>
      <c r="Q3" s="128" t="e">
        <f>'Retail Rev Req'!#REF!</f>
        <v>#REF!</v>
      </c>
      <c r="R3" s="128" t="e">
        <f>'Retail Rev Req'!#REF!</f>
        <v>#REF!</v>
      </c>
      <c r="S3" s="128" t="e">
        <f>'Retail Rev Req'!#REF!</f>
        <v>#REF!</v>
      </c>
      <c r="T3" s="128" t="e">
        <f>'Retail Rev Req'!#REF!</f>
        <v>#REF!</v>
      </c>
      <c r="U3" s="128" t="e">
        <f>'Retail Rev Req'!#REF!</f>
        <v>#REF!</v>
      </c>
      <c r="V3" s="128" t="e">
        <f>'Retail Rev Req'!#REF!</f>
        <v>#REF!</v>
      </c>
      <c r="W3" s="128" t="e">
        <f>'Retail Rev Req'!#REF!</f>
        <v>#REF!</v>
      </c>
      <c r="X3" s="128" t="e">
        <f>'Retail Rev Req'!#REF!</f>
        <v>#REF!</v>
      </c>
      <c r="Y3" s="128" t="e">
        <f>'Retail Rev Req'!#REF!</f>
        <v>#REF!</v>
      </c>
      <c r="Z3" s="128" t="e">
        <f>'Retail Rev Req'!#REF!</f>
        <v>#REF!</v>
      </c>
      <c r="AA3" s="128" t="e">
        <f>'Retail Rev Req'!#REF!</f>
        <v>#REF!</v>
      </c>
      <c r="AB3" s="128" t="e">
        <f>'Retail Rev Req'!#REF!</f>
        <v>#REF!</v>
      </c>
      <c r="AC3" s="128" t="e">
        <f>'Retail Rev Req'!#REF!</f>
        <v>#REF!</v>
      </c>
      <c r="AD3" s="128" t="e">
        <f>'Retail Rev Req'!#REF!</f>
        <v>#REF!</v>
      </c>
      <c r="AE3" s="128" t="e">
        <f>'Retail Rev Req'!#REF!</f>
        <v>#REF!</v>
      </c>
      <c r="AF3" s="128" t="e">
        <f>'Retail Rev Req'!#REF!</f>
        <v>#REF!</v>
      </c>
      <c r="AG3" s="128" t="e">
        <f>'Retail Rev Req'!#REF!</f>
        <v>#REF!</v>
      </c>
      <c r="AH3" s="128" t="e">
        <f>'Retail Rev Req'!#REF!</f>
        <v>#REF!</v>
      </c>
      <c r="AI3" s="128" t="e">
        <f>'Retail Rev Req'!#REF!</f>
        <v>#REF!</v>
      </c>
      <c r="AJ3" s="128" t="e">
        <f>'Retail Rev Req'!#REF!</f>
        <v>#REF!</v>
      </c>
      <c r="AK3" s="128" t="e">
        <f>'Retail Rev Req'!#REF!</f>
        <v>#REF!</v>
      </c>
      <c r="AL3" s="128" t="e">
        <f>'Retail Rev Req'!#REF!</f>
        <v>#REF!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 t="e">
        <f>'OPCO Rev Req'!#REF!</f>
        <v>#REF!</v>
      </c>
      <c r="R6" s="124" t="e">
        <f>'OPCO Rev Req'!#REF!</f>
        <v>#REF!</v>
      </c>
      <c r="S6" s="124" t="e">
        <f>'OPCO Rev Req'!#REF!</f>
        <v>#REF!</v>
      </c>
      <c r="T6" s="124" t="e">
        <f>'OPCO Rev Req'!#REF!</f>
        <v>#REF!</v>
      </c>
      <c r="U6" s="124" t="e">
        <f>'OPCO Rev Req'!#REF!</f>
        <v>#REF!</v>
      </c>
      <c r="V6" s="124" t="e">
        <f>'OPCO Rev Req'!#REF!</f>
        <v>#REF!</v>
      </c>
      <c r="W6" s="124" t="e">
        <f>'OPCO Rev Req'!#REF!</f>
        <v>#REF!</v>
      </c>
      <c r="X6" s="124" t="e">
        <f>'OPCO Rev Req'!#REF!</f>
        <v>#REF!</v>
      </c>
      <c r="Y6" s="124" t="e">
        <f>'OPCO Rev Req'!#REF!</f>
        <v>#REF!</v>
      </c>
      <c r="Z6" s="124" t="e">
        <f>'OPCO Rev Req'!#REF!</f>
        <v>#REF!</v>
      </c>
      <c r="AA6" s="124" t="e">
        <f>'OPCO Rev Req'!#REF!</f>
        <v>#REF!</v>
      </c>
      <c r="AB6" s="124" t="e">
        <f>'OPCO Rev Req'!#REF!</f>
        <v>#REF!</v>
      </c>
      <c r="AC6" s="124">
        <f>'OPCO Rev Req'!O13</f>
        <v>0</v>
      </c>
      <c r="AD6" s="124">
        <f>'OPCO Rev Req'!P13</f>
        <v>0</v>
      </c>
      <c r="AE6" s="124">
        <f>'OPCO Rev Req'!Q13</f>
        <v>0</v>
      </c>
      <c r="AF6" s="124">
        <f>'OPCO Rev Req'!R13</f>
        <v>0</v>
      </c>
      <c r="AG6" s="124">
        <f>'OPCO Rev Req'!S13</f>
        <v>0</v>
      </c>
      <c r="AH6" s="124">
        <f>'OPCO Rev Req'!T13</f>
        <v>0</v>
      </c>
      <c r="AI6" s="124">
        <f>'OPCO Rev Req'!U13</f>
        <v>0</v>
      </c>
      <c r="AJ6" s="124">
        <f>'OPCO Rev Req'!V13</f>
        <v>0</v>
      </c>
      <c r="AK6" s="124">
        <f>'OPCO Rev Req'!W13</f>
        <v>0</v>
      </c>
      <c r="AL6" s="124">
        <f>'OPCO Rev Req'!X13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10891700</v>
      </c>
      <c r="E7" s="124">
        <f>'OPCO Rev Req'!C14</f>
        <v>10891700</v>
      </c>
      <c r="F7" s="124">
        <f>'OPCO Rev Req'!D14</f>
        <v>10891700</v>
      </c>
      <c r="G7" s="124">
        <f>'OPCO Rev Req'!E14</f>
        <v>10891700</v>
      </c>
      <c r="H7" s="124">
        <f>'OPCO Rev Req'!F14</f>
        <v>10891700</v>
      </c>
      <c r="I7" s="124">
        <f>'OPCO Rev Req'!G14</f>
        <v>10891700</v>
      </c>
      <c r="J7" s="124">
        <f>'OPCO Rev Req'!H14</f>
        <v>10891700</v>
      </c>
      <c r="K7" s="124">
        <f>'OPCO Rev Req'!I14</f>
        <v>10891700</v>
      </c>
      <c r="L7" s="124">
        <f>'OPCO Rev Req'!J14</f>
        <v>10891700</v>
      </c>
      <c r="M7" s="124">
        <f>'OPCO Rev Req'!K14</f>
        <v>10891700</v>
      </c>
      <c r="N7" s="124">
        <f>'OPCO Rev Req'!L14</f>
        <v>0</v>
      </c>
      <c r="O7" s="124">
        <f>'OPCO Rev Req'!M14</f>
        <v>0</v>
      </c>
      <c r="P7" s="124">
        <f>'OPCO Rev Req'!N14</f>
        <v>0</v>
      </c>
      <c r="Q7" s="124" t="e">
        <f>'OPCO Rev Req'!#REF!</f>
        <v>#REF!</v>
      </c>
      <c r="R7" s="124" t="e">
        <f>'OPCO Rev Req'!#REF!</f>
        <v>#REF!</v>
      </c>
      <c r="S7" s="124" t="e">
        <f>'OPCO Rev Req'!#REF!</f>
        <v>#REF!</v>
      </c>
      <c r="T7" s="124" t="e">
        <f>'OPCO Rev Req'!#REF!</f>
        <v>#REF!</v>
      </c>
      <c r="U7" s="124" t="e">
        <f>'OPCO Rev Req'!#REF!</f>
        <v>#REF!</v>
      </c>
      <c r="V7" s="124" t="e">
        <f>'OPCO Rev Req'!#REF!</f>
        <v>#REF!</v>
      </c>
      <c r="W7" s="124" t="e">
        <f>'OPCO Rev Req'!#REF!</f>
        <v>#REF!</v>
      </c>
      <c r="X7" s="124" t="e">
        <f>'OPCO Rev Req'!#REF!</f>
        <v>#REF!</v>
      </c>
      <c r="Y7" s="124" t="e">
        <f>'OPCO Rev Req'!#REF!</f>
        <v>#REF!</v>
      </c>
      <c r="Z7" s="124" t="e">
        <f>'OPCO Rev Req'!#REF!</f>
        <v>#REF!</v>
      </c>
      <c r="AA7" s="124" t="e">
        <f>'OPCO Rev Req'!#REF!</f>
        <v>#REF!</v>
      </c>
      <c r="AB7" s="124" t="e">
        <f>'OPCO Rev Req'!#REF!</f>
        <v>#REF!</v>
      </c>
      <c r="AC7" s="124">
        <f>'OPCO Rev Req'!O14</f>
        <v>0</v>
      </c>
      <c r="AD7" s="124">
        <f>'OPCO Rev Req'!P14</f>
        <v>0</v>
      </c>
      <c r="AE7" s="124">
        <f>'OPCO Rev Req'!Q14</f>
        <v>0</v>
      </c>
      <c r="AF7" s="124">
        <f>'OPCO Rev Req'!R14</f>
        <v>0</v>
      </c>
      <c r="AG7" s="124">
        <f>'OPCO Rev Req'!S14</f>
        <v>0</v>
      </c>
      <c r="AH7" s="124">
        <f>'OPCO Rev Req'!T14</f>
        <v>0</v>
      </c>
      <c r="AI7" s="124">
        <f>'OPCO Rev Req'!U14</f>
        <v>0</v>
      </c>
      <c r="AJ7" s="124">
        <f>'OPCO Rev Req'!V14</f>
        <v>0</v>
      </c>
      <c r="AK7" s="124">
        <f>'OPCO Rev Req'!W14</f>
        <v>0</v>
      </c>
      <c r="AL7" s="124">
        <f>'OPCO Rev Req'!X14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2674446.0816604821</v>
      </c>
      <c r="E9" s="125">
        <f>'OPCO Rev Req'!C23*(WACD)</f>
        <v>2402619.173344166</v>
      </c>
      <c r="F9" s="125">
        <f>'OPCO Rev Req'!D23*(WACD)</f>
        <v>2134743.0984142423</v>
      </c>
      <c r="G9" s="125">
        <f>'OPCO Rev Req'!E23*(WACD)</f>
        <v>1870511.7037300691</v>
      </c>
      <c r="H9" s="125">
        <f>'OPCO Rev Req'!F23*(WACD)</f>
        <v>1609662.572313952</v>
      </c>
      <c r="I9" s="125">
        <f>'OPCO Rev Req'!G23*(WACD)</f>
        <v>1351933.2871881973</v>
      </c>
      <c r="J9" s="125">
        <f>'OPCO Rev Req'!H23*(WACD)</f>
        <v>1097097.8781775679</v>
      </c>
      <c r="K9" s="125">
        <f>'OPCO Rev Req'!I23*(WACD)</f>
        <v>844930.37510682771</v>
      </c>
      <c r="L9" s="125">
        <f>'OPCO Rev Req'!J23*(WACD)</f>
        <v>593200.23366557725</v>
      </c>
      <c r="M9" s="125">
        <f>'OPCO Rev Req'!K23*(WACD)</f>
        <v>341477.38158481859</v>
      </c>
      <c r="N9" s="125">
        <f>'OPCO Rev Req'!L23*(WACD)</f>
        <v>308952.25507174479</v>
      </c>
      <c r="O9" s="125">
        <f>'OPCO Rev Req'!M23*(WACD)</f>
        <v>276434.41791916237</v>
      </c>
      <c r="P9" s="125">
        <f>'OPCO Rev Req'!N23*(WACD)</f>
        <v>243909.29140608845</v>
      </c>
      <c r="Q9" s="125" t="e">
        <f>'OPCO Rev Req'!#REF!*(WACD)</f>
        <v>#REF!</v>
      </c>
      <c r="R9" s="125" t="e">
        <f>'OPCO Rev Req'!#REF!*(WACD)</f>
        <v>#REF!</v>
      </c>
      <c r="S9" s="125" t="e">
        <f>'OPCO Rev Req'!#REF!*(WACD)</f>
        <v>#REF!</v>
      </c>
      <c r="T9" s="125" t="e">
        <f>'OPCO Rev Req'!#REF!*(WACD)</f>
        <v>#REF!</v>
      </c>
      <c r="U9" s="125" t="e">
        <f>'OPCO Rev Req'!#REF!*(WACD)</f>
        <v>#REF!</v>
      </c>
      <c r="V9" s="125" t="e">
        <f>'OPCO Rev Req'!#REF!*(WACD)</f>
        <v>#REF!</v>
      </c>
      <c r="W9" s="125" t="e">
        <f>'OPCO Rev Req'!#REF!*(WACD)</f>
        <v>#REF!</v>
      </c>
      <c r="X9" s="125" t="e">
        <f>'OPCO Rev Req'!#REF!*(WACD)</f>
        <v>#REF!</v>
      </c>
      <c r="Y9" s="125" t="e">
        <f>'OPCO Rev Req'!#REF!*(WACD)</f>
        <v>#REF!</v>
      </c>
      <c r="Z9" s="125" t="e">
        <f>'OPCO Rev Req'!#REF!*(WACD)</f>
        <v>#REF!</v>
      </c>
      <c r="AA9" s="125" t="e">
        <f>'OPCO Rev Req'!#REF!*(WACD)</f>
        <v>#REF!</v>
      </c>
      <c r="AB9" s="125" t="e">
        <f>'OPCO Rev Req'!#REF!*(WACD)</f>
        <v>#REF!</v>
      </c>
      <c r="AC9" s="125">
        <f>'OPCO Rev Req'!O23*(WACD)</f>
        <v>0</v>
      </c>
      <c r="AD9" s="125">
        <f>'OPCO Rev Req'!P23*(WACD)</f>
        <v>0</v>
      </c>
      <c r="AE9" s="125">
        <f>'OPCO Rev Req'!Q23*(WACD)</f>
        <v>0</v>
      </c>
      <c r="AF9" s="125">
        <f>'OPCO Rev Req'!R23*(WACD)</f>
        <v>0</v>
      </c>
      <c r="AG9" s="125">
        <f>'OPCO Rev Req'!S23*(WACD)</f>
        <v>0</v>
      </c>
      <c r="AH9" s="125">
        <f>'OPCO Rev Req'!T23*(WACD)</f>
        <v>0</v>
      </c>
      <c r="AI9" s="125">
        <f>'OPCO Rev Req'!U23*(WACD)</f>
        <v>0</v>
      </c>
      <c r="AJ9" s="125">
        <f>'OPCO Rev Req'!V23*(WACD)</f>
        <v>0</v>
      </c>
      <c r="AK9" s="125">
        <f>'OPCO Rev Req'!W23*(WACD)</f>
        <v>0</v>
      </c>
      <c r="AL9" s="125">
        <f>'OPCO Rev Req'!X23*(WACD)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-13566146.081660483</v>
      </c>
      <c r="E11" s="31">
        <f>E4-E6-E7-E8-E9</f>
        <v>-13294319.173344165</v>
      </c>
      <c r="F11" s="31">
        <f>F4-F6-F7-F8-F9</f>
        <v>-13026443.098414242</v>
      </c>
      <c r="G11" s="31">
        <f>G4-G6-G7-G8-G9</f>
        <v>-12762211.703730069</v>
      </c>
      <c r="H11" s="31">
        <f t="shared" ref="H11:X11" si="0">H4-H6-H7-H8-H9</f>
        <v>-12501362.572313951</v>
      </c>
      <c r="I11" s="31">
        <f t="shared" si="0"/>
        <v>-12243633.287188197</v>
      </c>
      <c r="J11" s="31">
        <f t="shared" si="0"/>
        <v>-11988797.878177568</v>
      </c>
      <c r="K11" s="31">
        <f t="shared" si="0"/>
        <v>-11736630.375106828</v>
      </c>
      <c r="L11" s="31">
        <f t="shared" si="0"/>
        <v>-11484900.233665578</v>
      </c>
      <c r="M11" s="31">
        <f t="shared" si="0"/>
        <v>-11233177.381584819</v>
      </c>
      <c r="N11" s="31">
        <f t="shared" si="0"/>
        <v>-308952.25507174479</v>
      </c>
      <c r="O11" s="31">
        <f t="shared" si="0"/>
        <v>-276434.41791916237</v>
      </c>
      <c r="P11" s="31">
        <f t="shared" si="0"/>
        <v>-243909.29140608845</v>
      </c>
      <c r="Q11" s="31" t="e">
        <f t="shared" si="0"/>
        <v>#REF!</v>
      </c>
      <c r="R11" s="31" t="e">
        <f t="shared" si="0"/>
        <v>#REF!</v>
      </c>
      <c r="S11" s="31" t="e">
        <f t="shared" si="0"/>
        <v>#REF!</v>
      </c>
      <c r="T11" s="31" t="e">
        <f t="shared" si="0"/>
        <v>#REF!</v>
      </c>
      <c r="U11" s="31" t="e">
        <f t="shared" si="0"/>
        <v>#REF!</v>
      </c>
      <c r="V11" s="31" t="e">
        <f t="shared" si="0"/>
        <v>#REF!</v>
      </c>
      <c r="W11" s="31" t="e">
        <f t="shared" si="0"/>
        <v>#REF!</v>
      </c>
      <c r="X11" s="31" t="e">
        <f t="shared" si="0"/>
        <v>#REF!</v>
      </c>
      <c r="Y11" s="31" t="e">
        <f t="shared" ref="Y11:AK11" si="1">Y4-Y6-Y7-Y8-Y9</f>
        <v>#REF!</v>
      </c>
      <c r="Z11" s="31" t="e">
        <f t="shared" si="1"/>
        <v>#REF!</v>
      </c>
      <c r="AA11" s="31" t="e">
        <f t="shared" si="1"/>
        <v>#REF!</v>
      </c>
      <c r="AB11" s="31" t="e">
        <f t="shared" si="1"/>
        <v>#REF!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6807312.5000000009</v>
      </c>
      <c r="E14" s="124">
        <f>-('Rate Base - coal'!D59-'Rate Base - coal'!D19)*1000</f>
        <v>3028981.7700000005</v>
      </c>
      <c r="F14" s="124">
        <f>-('Rate Base - coal'!E59-'Rate Base - coal'!E19)*1000</f>
        <v>3619311.9100000011</v>
      </c>
      <c r="G14" s="124">
        <f>-('Rate Base - coal'!F59-'Rate Base - coal'!F19)*1000</f>
        <v>4163896.9100000011</v>
      </c>
      <c r="H14" s="124">
        <f>-('Rate Base - coal'!G59-'Rate Base - coal'!G19)*1000</f>
        <v>4669271.790000001</v>
      </c>
      <c r="I14" s="124">
        <f>-('Rate Base - coal'!H59-'Rate Base - coal'!H19)*1000</f>
        <v>5135436.5500000007</v>
      </c>
      <c r="J14" s="124">
        <f>-('Rate Base - coal'!I59-'Rate Base - coal'!I19)*1000</f>
        <v>5567837.04</v>
      </c>
      <c r="K14" s="124">
        <f>-('Rate Base - coal'!J59-'Rate Base - coal'!J19)*1000</f>
        <v>5966473.2600000007</v>
      </c>
      <c r="L14" s="124">
        <f>-('Rate Base - coal'!K59-'Rate Base - coal'!K19)*1000</f>
        <v>6031823.4600000009</v>
      </c>
      <c r="M14" s="124">
        <f>-('Rate Base - coal'!L59-'Rate Base - coal'!L19)*1000</f>
        <v>6032912.6300000008</v>
      </c>
      <c r="N14" s="124">
        <f>-('Rate Base - coal'!M59-'Rate Base - coal'!M19)*1000</f>
        <v>-4859876.54</v>
      </c>
      <c r="O14" s="124">
        <f>-('Rate Base - coal'!N59-'Rate Base - coal'!N19)*1000</f>
        <v>-4858787.37</v>
      </c>
      <c r="P14" s="124">
        <f>-('Rate Base - coal'!O59-'Rate Base - coal'!O19)*1000</f>
        <v>-4859876.54</v>
      </c>
      <c r="Q14" s="124">
        <f>-('Rate Base - coal'!P59-'Rate Base - coal'!P19)*1000</f>
        <v>-4858787.37</v>
      </c>
      <c r="R14" s="124">
        <f>-('Rate Base - coal'!Q59-'Rate Base - coal'!Q19)*1000</f>
        <v>-4859876.54</v>
      </c>
      <c r="S14" s="124">
        <f>-('Rate Base - coal'!R59-'Rate Base - coal'!R19)*1000</f>
        <v>-4858787.37</v>
      </c>
      <c r="T14" s="124">
        <f>-('Rate Base - coal'!S59-'Rate Base - coal'!S19)*1000</f>
        <v>-4859876.54</v>
      </c>
      <c r="U14" s="124">
        <f>-('Rate Base - coal'!T59-'Rate Base - coal'!T19)*1000</f>
        <v>-4858787.37</v>
      </c>
      <c r="V14" s="124">
        <f>-('Rate Base - coal'!U59-'Rate Base - coal'!U19)*1000</f>
        <v>-4859876.54</v>
      </c>
      <c r="W14" s="124">
        <f>-('Rate Base - coal'!V59-'Rate Base - coal'!V19)*1000</f>
        <v>-4858787.37</v>
      </c>
      <c r="X14" s="124">
        <f>-('Rate Base - coal'!W59-'Rate Base - coal'!W19)*1000</f>
        <v>-2429938.27</v>
      </c>
      <c r="Y14" s="124">
        <f>-('Rate Base - coal'!X59-'Rate Base - coal'!X19)*1000</f>
        <v>0</v>
      </c>
      <c r="Z14" s="124">
        <f>-('Rate Base - coal'!Y59-'Rate Base - coal'!Y19)*1000</f>
        <v>0</v>
      </c>
      <c r="AA14" s="124">
        <f>-('Rate Base - coal'!Z59-'Rate Base - coal'!Z19)*1000</f>
        <v>0</v>
      </c>
      <c r="AB14" s="124">
        <f>-('Rate Base - coal'!AA59-'Rate Base - coal'!AA19)*1000</f>
        <v>0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-6758833.5816604821</v>
      </c>
      <c r="E16" s="33">
        <f>SUM(E11:E14)</f>
        <v>-10265337.403344166</v>
      </c>
      <c r="F16" s="33">
        <f>SUM(F11:F14)</f>
        <v>-9407131.1884142421</v>
      </c>
      <c r="G16" s="33">
        <f>SUM(G11:G14)</f>
        <v>-8598314.793730069</v>
      </c>
      <c r="H16" s="33">
        <f t="shared" ref="H16:X16" si="2">SUM(H11:H14)</f>
        <v>-7832090.7823139504</v>
      </c>
      <c r="I16" s="33">
        <f t="shared" si="2"/>
        <v>-7108196.7371881958</v>
      </c>
      <c r="J16" s="33">
        <f t="shared" si="2"/>
        <v>-6420960.8381775683</v>
      </c>
      <c r="K16" s="33">
        <f t="shared" si="2"/>
        <v>-5770157.1151068276</v>
      </c>
      <c r="L16" s="33">
        <f t="shared" si="2"/>
        <v>-5453076.7736655772</v>
      </c>
      <c r="M16" s="33">
        <f t="shared" si="2"/>
        <v>-5200264.7515848186</v>
      </c>
      <c r="N16" s="33">
        <f t="shared" si="2"/>
        <v>-5168828.7950717453</v>
      </c>
      <c r="O16" s="33">
        <f t="shared" si="2"/>
        <v>-5135221.7879191628</v>
      </c>
      <c r="P16" s="33">
        <f t="shared" si="2"/>
        <v>-5103785.8314060885</v>
      </c>
      <c r="Q16" s="33" t="e">
        <f t="shared" si="2"/>
        <v>#REF!</v>
      </c>
      <c r="R16" s="33" t="e">
        <f t="shared" si="2"/>
        <v>#REF!</v>
      </c>
      <c r="S16" s="33" t="e">
        <f t="shared" si="2"/>
        <v>#REF!</v>
      </c>
      <c r="T16" s="33" t="e">
        <f t="shared" si="2"/>
        <v>#REF!</v>
      </c>
      <c r="U16" s="33" t="e">
        <f t="shared" si="2"/>
        <v>#REF!</v>
      </c>
      <c r="V16" s="33" t="e">
        <f t="shared" si="2"/>
        <v>#REF!</v>
      </c>
      <c r="W16" s="33" t="e">
        <f t="shared" si="2"/>
        <v>#REF!</v>
      </c>
      <c r="X16" s="33" t="e">
        <f t="shared" si="2"/>
        <v>#REF!</v>
      </c>
      <c r="Y16" s="33" t="e">
        <f t="shared" ref="Y16:AK16" si="3">SUM(Y11:Y14)</f>
        <v>#REF!</v>
      </c>
      <c r="Z16" s="33" t="e">
        <f t="shared" si="3"/>
        <v>#REF!</v>
      </c>
      <c r="AA16" s="33" t="e">
        <f t="shared" si="3"/>
        <v>#REF!</v>
      </c>
      <c r="AB16" s="33" t="e">
        <f t="shared" si="3"/>
        <v>#REF!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5.0065000000000005E-2</v>
      </c>
      <c r="E18" s="126">
        <f>Input!$B$34</f>
        <v>5.0065000000000005E-2</v>
      </c>
      <c r="F18" s="126">
        <f>Input!$B$34</f>
        <v>5.0065000000000005E-2</v>
      </c>
      <c r="G18" s="126">
        <f>Input!$B$34</f>
        <v>5.0065000000000005E-2</v>
      </c>
      <c r="H18" s="126">
        <f>Input!$B$34</f>
        <v>5.0065000000000005E-2</v>
      </c>
      <c r="I18" s="126">
        <f>Input!$B$34</f>
        <v>5.0065000000000005E-2</v>
      </c>
      <c r="J18" s="126">
        <f>Input!$B$34</f>
        <v>5.0065000000000005E-2</v>
      </c>
      <c r="K18" s="126">
        <f>Input!$B$34</f>
        <v>5.0065000000000005E-2</v>
      </c>
      <c r="L18" s="126">
        <f>Input!$B$34</f>
        <v>5.0065000000000005E-2</v>
      </c>
      <c r="M18" s="126">
        <f>Input!$B$34</f>
        <v>5.0065000000000005E-2</v>
      </c>
      <c r="N18" s="126">
        <f>Input!$B$34</f>
        <v>5.0065000000000005E-2</v>
      </c>
      <c r="O18" s="126">
        <f>Input!$B$34</f>
        <v>5.0065000000000005E-2</v>
      </c>
      <c r="P18" s="126">
        <f>Input!$B$34</f>
        <v>5.0065000000000005E-2</v>
      </c>
      <c r="Q18" s="126">
        <f>Input!$B$34</f>
        <v>5.0065000000000005E-2</v>
      </c>
      <c r="R18" s="126">
        <f>Input!$B$34</f>
        <v>5.0065000000000005E-2</v>
      </c>
      <c r="S18" s="126">
        <f>Input!$B$34</f>
        <v>5.0065000000000005E-2</v>
      </c>
      <c r="T18" s="126">
        <f>Input!$B$34</f>
        <v>5.0065000000000005E-2</v>
      </c>
      <c r="U18" s="126">
        <f>Input!$B$34</f>
        <v>5.0065000000000005E-2</v>
      </c>
      <c r="V18" s="126">
        <f>Input!$B$34</f>
        <v>5.0065000000000005E-2</v>
      </c>
      <c r="W18" s="126">
        <f>Input!$B$34</f>
        <v>5.0065000000000005E-2</v>
      </c>
      <c r="X18" s="126">
        <f>Input!$B$34</f>
        <v>5.0065000000000005E-2</v>
      </c>
      <c r="Y18" s="126">
        <f>Input!$B$34</f>
        <v>5.0065000000000005E-2</v>
      </c>
      <c r="Z18" s="126">
        <f>Input!$B$34</f>
        <v>5.0065000000000005E-2</v>
      </c>
      <c r="AA18" s="126">
        <f>Input!$B$34</f>
        <v>5.0065000000000005E-2</v>
      </c>
      <c r="AB18" s="126">
        <f>Input!$B$34</f>
        <v>5.0065000000000005E-2</v>
      </c>
      <c r="AC18" s="126">
        <f>Input!$B$34</f>
        <v>5.0065000000000005E-2</v>
      </c>
      <c r="AD18" s="126">
        <f>Input!$B$34</f>
        <v>5.0065000000000005E-2</v>
      </c>
      <c r="AE18" s="126">
        <f>Input!$B$34</f>
        <v>5.0065000000000005E-2</v>
      </c>
      <c r="AF18" s="126">
        <f>Input!$B$34</f>
        <v>5.0065000000000005E-2</v>
      </c>
      <c r="AG18" s="126">
        <f>Input!$B$34</f>
        <v>5.0065000000000005E-2</v>
      </c>
      <c r="AH18" s="126">
        <f>Input!$B$34</f>
        <v>5.0065000000000005E-2</v>
      </c>
      <c r="AI18" s="126">
        <f>Input!$B$34</f>
        <v>5.0065000000000005E-2</v>
      </c>
      <c r="AJ18" s="126">
        <f>Input!$B$34</f>
        <v>5.0065000000000005E-2</v>
      </c>
      <c r="AK18" s="126">
        <f>Input!$B$34</f>
        <v>5.0065000000000005E-2</v>
      </c>
      <c r="AL18" s="126">
        <f>Input!$B$34</f>
        <v>5.0065000000000005E-2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-338381.00326583209</v>
      </c>
      <c r="E20" s="132">
        <f>E16*E18</f>
        <v>-513934.11709842569</v>
      </c>
      <c r="F20" s="132">
        <f>F16*F18</f>
        <v>-470968.02294795908</v>
      </c>
      <c r="G20" s="132">
        <f>G16*G18</f>
        <v>-430474.63014809595</v>
      </c>
      <c r="H20" s="132">
        <f t="shared" ref="H20:X20" si="4">H16*H18</f>
        <v>-392113.62501654797</v>
      </c>
      <c r="I20" s="132">
        <f t="shared" si="4"/>
        <v>-355871.86964732705</v>
      </c>
      <c r="J20" s="132">
        <f t="shared" si="4"/>
        <v>-321465.40436335996</v>
      </c>
      <c r="K20" s="132">
        <f t="shared" si="4"/>
        <v>-288882.91596782336</v>
      </c>
      <c r="L20" s="132">
        <f t="shared" si="4"/>
        <v>-273008.28867356718</v>
      </c>
      <c r="M20" s="132">
        <f t="shared" si="4"/>
        <v>-260351.25478809397</v>
      </c>
      <c r="N20" s="132">
        <f t="shared" si="4"/>
        <v>-258777.41362526696</v>
      </c>
      <c r="O20" s="132">
        <f t="shared" si="4"/>
        <v>-257094.87881217292</v>
      </c>
      <c r="P20" s="132">
        <f t="shared" si="4"/>
        <v>-255521.03764934585</v>
      </c>
      <c r="Q20" s="132" t="e">
        <f t="shared" si="4"/>
        <v>#REF!</v>
      </c>
      <c r="R20" s="132" t="e">
        <f t="shared" si="4"/>
        <v>#REF!</v>
      </c>
      <c r="S20" s="132" t="e">
        <f t="shared" si="4"/>
        <v>#REF!</v>
      </c>
      <c r="T20" s="132" t="e">
        <f t="shared" si="4"/>
        <v>#REF!</v>
      </c>
      <c r="U20" s="132" t="e">
        <f t="shared" si="4"/>
        <v>#REF!</v>
      </c>
      <c r="V20" s="132" t="e">
        <f t="shared" si="4"/>
        <v>#REF!</v>
      </c>
      <c r="W20" s="132" t="e">
        <f t="shared" si="4"/>
        <v>#REF!</v>
      </c>
      <c r="X20" s="132" t="e">
        <f t="shared" si="4"/>
        <v>#REF!</v>
      </c>
      <c r="Y20" s="132" t="e">
        <f t="shared" ref="Y20:AK20" si="5">Y16*Y18</f>
        <v>#REF!</v>
      </c>
      <c r="Z20" s="132" t="e">
        <f t="shared" si="5"/>
        <v>#REF!</v>
      </c>
      <c r="AA20" s="132" t="e">
        <f t="shared" si="5"/>
        <v>#REF!</v>
      </c>
      <c r="AB20" s="132" t="e">
        <f t="shared" si="5"/>
        <v>#REF!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19146531.141949236</v>
      </c>
      <c r="E22" s="124">
        <f>'OPCO Rev Req'!C28</f>
        <v>18302004.160759997</v>
      </c>
      <c r="F22" s="124">
        <f>'OPCO Rev Req'!D28</f>
        <v>17469751.848821349</v>
      </c>
      <c r="G22" s="124">
        <f>'OPCO Rev Req'!E28</f>
        <v>16648823.032501319</v>
      </c>
      <c r="H22" s="124">
        <f>'OPCO Rev Req'!F28</f>
        <v>15838402.420115378</v>
      </c>
      <c r="I22" s="124">
        <f>'OPCO Rev Req'!G28</f>
        <v>15037674.71997897</v>
      </c>
      <c r="J22" s="124">
        <f>'OPCO Rev Req'!H28</f>
        <v>14245937.875363747</v>
      </c>
      <c r="K22" s="124">
        <f>'OPCO Rev Req'!I28</f>
        <v>13462489.829541363</v>
      </c>
      <c r="L22" s="124">
        <f>'OPCO Rev Req'!J28</f>
        <v>12680400.603193205</v>
      </c>
      <c r="M22" s="124">
        <f>'OPCO Rev Req'!K28</f>
        <v>11898334.02383629</v>
      </c>
      <c r="N22" s="124">
        <f>'OPCO Rev Req'!L28</f>
        <v>959870.0765993516</v>
      </c>
      <c r="O22" s="124">
        <f>'OPCO Rev Req'!M28</f>
        <v>858841.84869000572</v>
      </c>
      <c r="P22" s="124">
        <f>'OPCO Rev Req'!N28</f>
        <v>757790.97378942289</v>
      </c>
      <c r="Q22" s="124" t="e">
        <f>'OPCO Rev Req'!#REF!</f>
        <v>#REF!</v>
      </c>
      <c r="R22" s="124" t="e">
        <f>'OPCO Rev Req'!#REF!</f>
        <v>#REF!</v>
      </c>
      <c r="S22" s="124" t="e">
        <f>'OPCO Rev Req'!#REF!</f>
        <v>#REF!</v>
      </c>
      <c r="T22" s="124" t="e">
        <f>'OPCO Rev Req'!#REF!</f>
        <v>#REF!</v>
      </c>
      <c r="U22" s="124" t="e">
        <f>'OPCO Rev Req'!#REF!</f>
        <v>#REF!</v>
      </c>
      <c r="V22" s="124" t="e">
        <f>'OPCO Rev Req'!#REF!</f>
        <v>#REF!</v>
      </c>
      <c r="W22" s="124" t="e">
        <f>'OPCO Rev Req'!#REF!</f>
        <v>#REF!</v>
      </c>
      <c r="X22" s="124" t="e">
        <f>'OPCO Rev Req'!#REF!</f>
        <v>#REF!</v>
      </c>
      <c r="Y22" s="124" t="e">
        <f>'OPCO Rev Req'!#REF!</f>
        <v>#REF!</v>
      </c>
      <c r="Z22" s="124" t="e">
        <f>'OPCO Rev Req'!#REF!</f>
        <v>#REF!</v>
      </c>
      <c r="AA22" s="124" t="e">
        <f>'OPCO Rev Req'!#REF!</f>
        <v>#REF!</v>
      </c>
      <c r="AB22" s="124" t="e">
        <f>'OPCO Rev Req'!#REF!</f>
        <v>#REF!</v>
      </c>
      <c r="AC22" s="124">
        <f>'OPCO Rev Req'!O28</f>
        <v>0</v>
      </c>
      <c r="AD22" s="124">
        <f>'OPCO Rev Req'!P28</f>
        <v>0</v>
      </c>
      <c r="AE22" s="124">
        <f>'OPCO Rev Req'!Q28</f>
        <v>0</v>
      </c>
      <c r="AF22" s="124">
        <f>'OPCO Rev Req'!R28</f>
        <v>0</v>
      </c>
      <c r="AG22" s="124">
        <f>'OPCO Rev Req'!S28</f>
        <v>0</v>
      </c>
      <c r="AH22" s="124">
        <f>'OPCO Rev Req'!T28</f>
        <v>0</v>
      </c>
      <c r="AI22" s="124">
        <f>'OPCO Rev Req'!U28</f>
        <v>0</v>
      </c>
      <c r="AJ22" s="124">
        <f>'OPCO Rev Req'!V28</f>
        <v>0</v>
      </c>
      <c r="AK22" s="124">
        <f>'OPCO Rev Req'!W28</f>
        <v>0</v>
      </c>
      <c r="AL22" s="124">
        <f>'OPCO Rev Req'!X28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5580385.0602887534</v>
      </c>
      <c r="E24" s="127">
        <f t="shared" si="6"/>
        <v>5007684.9874158315</v>
      </c>
      <c r="F24" s="127">
        <f t="shared" si="6"/>
        <v>4443308.7504071072</v>
      </c>
      <c r="G24" s="127">
        <f t="shared" si="6"/>
        <v>3886611.3287712503</v>
      </c>
      <c r="H24" s="127">
        <f t="shared" si="6"/>
        <v>3337039.8478014264</v>
      </c>
      <c r="I24" s="127">
        <f t="shared" si="6"/>
        <v>2794041.432790773</v>
      </c>
      <c r="J24" s="127">
        <f t="shared" si="6"/>
        <v>2257139.9971861783</v>
      </c>
      <c r="K24" s="127">
        <f t="shared" si="6"/>
        <v>1725859.4544345345</v>
      </c>
      <c r="L24" s="127">
        <f t="shared" si="6"/>
        <v>1195500.3695276268</v>
      </c>
      <c r="M24" s="127">
        <f t="shared" si="6"/>
        <v>665156.64225147106</v>
      </c>
      <c r="N24" s="127">
        <f t="shared" si="6"/>
        <v>650917.82152760681</v>
      </c>
      <c r="O24" s="127">
        <f t="shared" si="6"/>
        <v>582407.43077084329</v>
      </c>
      <c r="P24" s="127">
        <f t="shared" si="6"/>
        <v>513881.68238333444</v>
      </c>
      <c r="Q24" s="127" t="e">
        <f t="shared" si="6"/>
        <v>#REF!</v>
      </c>
      <c r="R24" s="127" t="e">
        <f t="shared" si="6"/>
        <v>#REF!</v>
      </c>
      <c r="S24" s="127" t="e">
        <f t="shared" si="6"/>
        <v>#REF!</v>
      </c>
      <c r="T24" s="127" t="e">
        <f t="shared" si="6"/>
        <v>#REF!</v>
      </c>
      <c r="U24" s="127" t="e">
        <f t="shared" si="6"/>
        <v>#REF!</v>
      </c>
      <c r="V24" s="127" t="e">
        <f t="shared" si="6"/>
        <v>#REF!</v>
      </c>
      <c r="W24" s="127" t="e">
        <f t="shared" si="6"/>
        <v>#REF!</v>
      </c>
      <c r="X24" s="127" t="e">
        <f t="shared" si="6"/>
        <v>#REF!</v>
      </c>
      <c r="Y24" s="127" t="e">
        <f t="shared" ref="Y24:AK24" si="7">Y22+Y11</f>
        <v>#REF!</v>
      </c>
      <c r="Z24" s="127" t="e">
        <f t="shared" si="7"/>
        <v>#REF!</v>
      </c>
      <c r="AA24" s="127" t="e">
        <f t="shared" si="7"/>
        <v>#REF!</v>
      </c>
      <c r="AB24" s="127" t="e">
        <f t="shared" si="7"/>
        <v>#REF!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12387697.560288753</v>
      </c>
      <c r="E26" s="127">
        <f t="shared" si="8"/>
        <v>8036666.7574158311</v>
      </c>
      <c r="F26" s="127">
        <f t="shared" si="8"/>
        <v>8062620.6604071073</v>
      </c>
      <c r="G26" s="127">
        <f t="shared" si="8"/>
        <v>8050508.2387712505</v>
      </c>
      <c r="H26" s="127">
        <f t="shared" si="8"/>
        <v>8006311.6378014274</v>
      </c>
      <c r="I26" s="127">
        <f t="shared" si="8"/>
        <v>7929477.9827907737</v>
      </c>
      <c r="J26" s="127">
        <f t="shared" si="8"/>
        <v>7824977.0371861784</v>
      </c>
      <c r="K26" s="127">
        <f t="shared" si="8"/>
        <v>7692332.7144345352</v>
      </c>
      <c r="L26" s="127">
        <f t="shared" si="8"/>
        <v>7227323.8295276277</v>
      </c>
      <c r="M26" s="127">
        <f t="shared" si="8"/>
        <v>6698069.2722514719</v>
      </c>
      <c r="N26" s="127">
        <f t="shared" si="8"/>
        <v>-4208958.7184723932</v>
      </c>
      <c r="O26" s="127">
        <f t="shared" si="8"/>
        <v>-4276379.9392291568</v>
      </c>
      <c r="P26" s="127">
        <f t="shared" si="8"/>
        <v>-4345994.8576166658</v>
      </c>
      <c r="Q26" s="127" t="e">
        <f t="shared" si="8"/>
        <v>#REF!</v>
      </c>
      <c r="R26" s="127" t="e">
        <f t="shared" si="8"/>
        <v>#REF!</v>
      </c>
      <c r="S26" s="127" t="e">
        <f t="shared" si="8"/>
        <v>#REF!</v>
      </c>
      <c r="T26" s="127" t="e">
        <f t="shared" si="8"/>
        <v>#REF!</v>
      </c>
      <c r="U26" s="127" t="e">
        <f t="shared" si="8"/>
        <v>#REF!</v>
      </c>
      <c r="V26" s="127" t="e">
        <f t="shared" si="8"/>
        <v>#REF!</v>
      </c>
      <c r="W26" s="127" t="e">
        <f t="shared" si="8"/>
        <v>#REF!</v>
      </c>
      <c r="X26" s="127" t="e">
        <f t="shared" si="8"/>
        <v>#REF!</v>
      </c>
      <c r="Y26" s="127" t="e">
        <f t="shared" ref="Y26:AK26" si="9">Y16+Y22</f>
        <v>#REF!</v>
      </c>
      <c r="Z26" s="127" t="e">
        <f t="shared" si="9"/>
        <v>#REF!</v>
      </c>
      <c r="AA26" s="127" t="e">
        <f t="shared" si="9"/>
        <v>#REF!</v>
      </c>
      <c r="AB26" s="127" t="e">
        <f t="shared" si="9"/>
        <v>#REF!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620190.07835585647</v>
      </c>
      <c r="E28" s="132">
        <f t="shared" si="10"/>
        <v>402355.72121002362</v>
      </c>
      <c r="F28" s="132">
        <f t="shared" si="10"/>
        <v>403655.10336328187</v>
      </c>
      <c r="G28" s="132">
        <f t="shared" si="10"/>
        <v>403048.6949740827</v>
      </c>
      <c r="H28" s="132">
        <f t="shared" si="10"/>
        <v>400835.9921465285</v>
      </c>
      <c r="I28" s="132">
        <f t="shared" si="10"/>
        <v>396989.31520842016</v>
      </c>
      <c r="J28" s="132">
        <f t="shared" si="10"/>
        <v>391757.47536672605</v>
      </c>
      <c r="K28" s="132">
        <f t="shared" si="10"/>
        <v>385116.63734816504</v>
      </c>
      <c r="L28" s="132">
        <f t="shared" si="10"/>
        <v>361835.96752530074</v>
      </c>
      <c r="M28" s="132">
        <f t="shared" si="10"/>
        <v>335338.83811526996</v>
      </c>
      <c r="N28" s="132">
        <f t="shared" si="10"/>
        <v>-210721.51824032038</v>
      </c>
      <c r="O28" s="132">
        <f t="shared" si="10"/>
        <v>-214096.96165750775</v>
      </c>
      <c r="P28" s="132">
        <f t="shared" si="10"/>
        <v>-217582.23254657839</v>
      </c>
      <c r="Q28" s="132" t="e">
        <f t="shared" si="10"/>
        <v>#REF!</v>
      </c>
      <c r="R28" s="132" t="e">
        <f t="shared" si="10"/>
        <v>#REF!</v>
      </c>
      <c r="S28" s="132" t="e">
        <f t="shared" si="10"/>
        <v>#REF!</v>
      </c>
      <c r="T28" s="132" t="e">
        <f t="shared" si="10"/>
        <v>#REF!</v>
      </c>
      <c r="U28" s="132" t="e">
        <f t="shared" si="10"/>
        <v>#REF!</v>
      </c>
      <c r="V28" s="132" t="e">
        <f t="shared" si="10"/>
        <v>#REF!</v>
      </c>
      <c r="W28" s="132" t="e">
        <f t="shared" si="10"/>
        <v>#REF!</v>
      </c>
      <c r="X28" s="132" t="e">
        <f t="shared" si="10"/>
        <v>#REF!</v>
      </c>
      <c r="Y28" s="132" t="e">
        <f t="shared" ref="Y28:AK28" si="11">Y18*Y26</f>
        <v>#REF!</v>
      </c>
      <c r="Z28" s="132" t="e">
        <f t="shared" si="11"/>
        <v>#REF!</v>
      </c>
      <c r="AA28" s="132" t="e">
        <f t="shared" si="11"/>
        <v>#REF!</v>
      </c>
      <c r="AB28" s="132" t="e">
        <f t="shared" si="11"/>
        <v>#REF!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D30" sqref="D30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e">
        <f>SIT!Q2</f>
        <v>#REF!</v>
      </c>
      <c r="R1" s="129" t="e">
        <f>SIT!R2</f>
        <v>#REF!</v>
      </c>
      <c r="S1" s="129" t="e">
        <f>SIT!S2</f>
        <v>#REF!</v>
      </c>
      <c r="T1" s="129" t="e">
        <f>SIT!T2</f>
        <v>#REF!</v>
      </c>
      <c r="U1" s="129" t="e">
        <f>SIT!U2</f>
        <v>#REF!</v>
      </c>
      <c r="V1" s="129" t="e">
        <f>SIT!V2</f>
        <v>#REF!</v>
      </c>
      <c r="W1" s="129" t="e">
        <f>SIT!W2</f>
        <v>#REF!</v>
      </c>
      <c r="X1" s="129" t="e">
        <f>SIT!X2</f>
        <v>#REF!</v>
      </c>
      <c r="Y1" s="129" t="e">
        <f>SIT!Y2</f>
        <v>#REF!</v>
      </c>
      <c r="Z1" s="129" t="e">
        <f>SIT!Z2</f>
        <v>#REF!</v>
      </c>
      <c r="AA1" s="129" t="e">
        <f>SIT!AA2</f>
        <v>#REF!</v>
      </c>
      <c r="AB1" s="129" t="e">
        <f>SIT!AB2</f>
        <v>#REF!</v>
      </c>
      <c r="AC1" s="129" t="e">
        <f>SIT!AC2</f>
        <v>#REF!</v>
      </c>
      <c r="AD1" s="129" t="e">
        <f>SIT!AD2</f>
        <v>#REF!</v>
      </c>
      <c r="AE1" s="129" t="e">
        <f>SIT!AE2</f>
        <v>#REF!</v>
      </c>
      <c r="AF1" s="129" t="e">
        <f>SIT!AF2</f>
        <v>#REF!</v>
      </c>
      <c r="AG1" s="129" t="e">
        <f>SIT!AG2</f>
        <v>#REF!</v>
      </c>
      <c r="AH1" s="129" t="e">
        <f>SIT!AH2</f>
        <v>#REF!</v>
      </c>
      <c r="AI1" s="129" t="e">
        <f>SIT!AI2</f>
        <v>#REF!</v>
      </c>
      <c r="AJ1" s="129" t="e">
        <f>SIT!AJ2</f>
        <v>#REF!</v>
      </c>
      <c r="AK1" s="129" t="e">
        <f>SIT!AK2</f>
        <v>#REF!</v>
      </c>
      <c r="AL1" s="129" t="e">
        <f>SIT!AL2</f>
        <v>#REF!</v>
      </c>
    </row>
    <row r="2" spans="1:38">
      <c r="A2" s="25" t="s">
        <v>41</v>
      </c>
      <c r="B2" s="25"/>
      <c r="C2" s="25"/>
      <c r="D2" s="128">
        <f>SIT!D3</f>
        <v>2028</v>
      </c>
      <c r="E2" s="128">
        <f>SIT!E3</f>
        <v>2029</v>
      </c>
      <c r="F2" s="128">
        <f>SIT!F3</f>
        <v>2030</v>
      </c>
      <c r="G2" s="128">
        <f>SIT!G3</f>
        <v>2031</v>
      </c>
      <c r="H2" s="128">
        <f>SIT!H3</f>
        <v>2032</v>
      </c>
      <c r="I2" s="128">
        <f>SIT!I3</f>
        <v>2033</v>
      </c>
      <c r="J2" s="128">
        <f>SIT!J3</f>
        <v>2034</v>
      </c>
      <c r="K2" s="128">
        <f>SIT!K3</f>
        <v>2035</v>
      </c>
      <c r="L2" s="128">
        <f>SIT!L3</f>
        <v>2036</v>
      </c>
      <c r="M2" s="128">
        <f>SIT!M3</f>
        <v>2037</v>
      </c>
      <c r="N2" s="128">
        <f>SIT!N3</f>
        <v>2038</v>
      </c>
      <c r="O2" s="128">
        <f>SIT!O3</f>
        <v>2039</v>
      </c>
      <c r="P2" s="128">
        <f>SIT!P3</f>
        <v>2040</v>
      </c>
      <c r="Q2" s="128" t="e">
        <f>SIT!Q3</f>
        <v>#REF!</v>
      </c>
      <c r="R2" s="128" t="e">
        <f>SIT!R3</f>
        <v>#REF!</v>
      </c>
      <c r="S2" s="128" t="e">
        <f>SIT!S3</f>
        <v>#REF!</v>
      </c>
      <c r="T2" s="128" t="e">
        <f>SIT!T3</f>
        <v>#REF!</v>
      </c>
      <c r="U2" s="128" t="e">
        <f>SIT!U3</f>
        <v>#REF!</v>
      </c>
      <c r="V2" s="128" t="e">
        <f>SIT!V3</f>
        <v>#REF!</v>
      </c>
      <c r="W2" s="128" t="e">
        <f>SIT!W3</f>
        <v>#REF!</v>
      </c>
      <c r="X2" s="128" t="e">
        <f>SIT!X3</f>
        <v>#REF!</v>
      </c>
      <c r="Y2" s="128" t="e">
        <f>SIT!Y3</f>
        <v>#REF!</v>
      </c>
      <c r="Z2" s="128" t="e">
        <f>SIT!Z3</f>
        <v>#REF!</v>
      </c>
      <c r="AA2" s="128" t="e">
        <f>SIT!AA3</f>
        <v>#REF!</v>
      </c>
      <c r="AB2" s="128" t="e">
        <f>SIT!AB3</f>
        <v>#REF!</v>
      </c>
      <c r="AC2" s="128" t="e">
        <f>SIT!AC3</f>
        <v>#REF!</v>
      </c>
      <c r="AD2" s="128" t="e">
        <f>SIT!AD3</f>
        <v>#REF!</v>
      </c>
      <c r="AE2" s="128" t="e">
        <f>SIT!AE3</f>
        <v>#REF!</v>
      </c>
      <c r="AF2" s="128" t="e">
        <f>SIT!AF3</f>
        <v>#REF!</v>
      </c>
      <c r="AG2" s="128" t="e">
        <f>SIT!AG3</f>
        <v>#REF!</v>
      </c>
      <c r="AH2" s="128" t="e">
        <f>SIT!AH3</f>
        <v>#REF!</v>
      </c>
      <c r="AI2" s="128" t="e">
        <f>SIT!AI3</f>
        <v>#REF!</v>
      </c>
      <c r="AJ2" s="128" t="e">
        <f>SIT!AJ3</f>
        <v>#REF!</v>
      </c>
      <c r="AK2" s="128" t="e">
        <f>SIT!AK3</f>
        <v>#REF!</v>
      </c>
      <c r="AL2" s="128" t="e">
        <f>SIT!AL3</f>
        <v>#REF!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 t="e">
        <f>'OPCO Rev Req'!#REF!</f>
        <v>#REF!</v>
      </c>
      <c r="R6" s="28" t="e">
        <f>'OPCO Rev Req'!#REF!</f>
        <v>#REF!</v>
      </c>
      <c r="S6" s="28" t="e">
        <f>'OPCO Rev Req'!#REF!</f>
        <v>#REF!</v>
      </c>
      <c r="T6" s="28" t="e">
        <f>'OPCO Rev Req'!#REF!</f>
        <v>#REF!</v>
      </c>
      <c r="U6" s="28" t="e">
        <f>'OPCO Rev Req'!#REF!</f>
        <v>#REF!</v>
      </c>
      <c r="V6" s="28" t="e">
        <f>'OPCO Rev Req'!#REF!</f>
        <v>#REF!</v>
      </c>
      <c r="W6" s="28" t="e">
        <f>'OPCO Rev Req'!#REF!</f>
        <v>#REF!</v>
      </c>
      <c r="X6" s="28" t="e">
        <f>'OPCO Rev Req'!#REF!</f>
        <v>#REF!</v>
      </c>
      <c r="Y6" s="28" t="e">
        <f>'OPCO Rev Req'!#REF!</f>
        <v>#REF!</v>
      </c>
      <c r="Z6" s="28" t="e">
        <f>'OPCO Rev Req'!#REF!</f>
        <v>#REF!</v>
      </c>
      <c r="AA6" s="28" t="e">
        <f>'OPCO Rev Req'!#REF!</f>
        <v>#REF!</v>
      </c>
      <c r="AB6" s="28" t="e">
        <f>'OPCO Rev Req'!#REF!</f>
        <v>#REF!</v>
      </c>
      <c r="AC6" s="28">
        <f>'OPCO Rev Req'!O13</f>
        <v>0</v>
      </c>
      <c r="AD6" s="28">
        <f>'OPCO Rev Req'!P13</f>
        <v>0</v>
      </c>
      <c r="AE6" s="28">
        <f>'OPCO Rev Req'!Q13</f>
        <v>0</v>
      </c>
      <c r="AF6" s="28">
        <f>'OPCO Rev Req'!R13</f>
        <v>0</v>
      </c>
      <c r="AG6" s="28">
        <f>'OPCO Rev Req'!S13</f>
        <v>0</v>
      </c>
      <c r="AH6" s="28">
        <f>'OPCO Rev Req'!T13</f>
        <v>0</v>
      </c>
      <c r="AI6" s="28">
        <f>'OPCO Rev Req'!U13</f>
        <v>0</v>
      </c>
      <c r="AJ6" s="28">
        <f>'OPCO Rev Req'!V13</f>
        <v>0</v>
      </c>
      <c r="AK6" s="28">
        <f>'OPCO Rev Req'!W13</f>
        <v>0</v>
      </c>
      <c r="AL6" s="28">
        <f>'OPCO Rev Req'!X13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10891700</v>
      </c>
      <c r="E7" s="28">
        <f>'OPCO Rev Req'!C14</f>
        <v>10891700</v>
      </c>
      <c r="F7" s="28">
        <f>'OPCO Rev Req'!D14</f>
        <v>10891700</v>
      </c>
      <c r="G7" s="28">
        <f>'OPCO Rev Req'!E14</f>
        <v>10891700</v>
      </c>
      <c r="H7" s="28">
        <f>'OPCO Rev Req'!F14</f>
        <v>10891700</v>
      </c>
      <c r="I7" s="28">
        <f>'OPCO Rev Req'!G14</f>
        <v>10891700</v>
      </c>
      <c r="J7" s="28">
        <f>'OPCO Rev Req'!H14</f>
        <v>10891700</v>
      </c>
      <c r="K7" s="28">
        <f>'OPCO Rev Req'!I14</f>
        <v>10891700</v>
      </c>
      <c r="L7" s="28">
        <f>'OPCO Rev Req'!J14</f>
        <v>10891700</v>
      </c>
      <c r="M7" s="28">
        <f>'OPCO Rev Req'!K14</f>
        <v>10891700</v>
      </c>
      <c r="N7" s="28">
        <f>'OPCO Rev Req'!L14</f>
        <v>0</v>
      </c>
      <c r="O7" s="28">
        <f>'OPCO Rev Req'!M14</f>
        <v>0</v>
      </c>
      <c r="P7" s="28">
        <f>'OPCO Rev Req'!N14</f>
        <v>0</v>
      </c>
      <c r="Q7" s="28" t="e">
        <f>'OPCO Rev Req'!#REF!</f>
        <v>#REF!</v>
      </c>
      <c r="R7" s="28" t="e">
        <f>'OPCO Rev Req'!#REF!</f>
        <v>#REF!</v>
      </c>
      <c r="S7" s="28" t="e">
        <f>'OPCO Rev Req'!#REF!</f>
        <v>#REF!</v>
      </c>
      <c r="T7" s="28" t="e">
        <f>'OPCO Rev Req'!#REF!</f>
        <v>#REF!</v>
      </c>
      <c r="U7" s="28" t="e">
        <f>'OPCO Rev Req'!#REF!</f>
        <v>#REF!</v>
      </c>
      <c r="V7" s="28" t="e">
        <f>'OPCO Rev Req'!#REF!</f>
        <v>#REF!</v>
      </c>
      <c r="W7" s="28" t="e">
        <f>'OPCO Rev Req'!#REF!</f>
        <v>#REF!</v>
      </c>
      <c r="X7" s="28" t="e">
        <f>'OPCO Rev Req'!#REF!</f>
        <v>#REF!</v>
      </c>
      <c r="Y7" s="28" t="e">
        <f>'OPCO Rev Req'!#REF!</f>
        <v>#REF!</v>
      </c>
      <c r="Z7" s="28" t="e">
        <f>'OPCO Rev Req'!#REF!</f>
        <v>#REF!</v>
      </c>
      <c r="AA7" s="28" t="e">
        <f>'OPCO Rev Req'!#REF!</f>
        <v>#REF!</v>
      </c>
      <c r="AB7" s="28" t="e">
        <f>'OPCO Rev Req'!#REF!</f>
        <v>#REF!</v>
      </c>
      <c r="AC7" s="28">
        <f>'OPCO Rev Req'!O14</f>
        <v>0</v>
      </c>
      <c r="AD7" s="28">
        <f>'OPCO Rev Req'!P14</f>
        <v>0</v>
      </c>
      <c r="AE7" s="28">
        <f>'OPCO Rev Req'!Q14</f>
        <v>0</v>
      </c>
      <c r="AF7" s="28">
        <f>'OPCO Rev Req'!R14</f>
        <v>0</v>
      </c>
      <c r="AG7" s="28">
        <f>'OPCO Rev Req'!S14</f>
        <v>0</v>
      </c>
      <c r="AH7" s="28">
        <f>'OPCO Rev Req'!T14</f>
        <v>0</v>
      </c>
      <c r="AI7" s="28">
        <f>'OPCO Rev Req'!U14</f>
        <v>0</v>
      </c>
      <c r="AJ7" s="28">
        <f>'OPCO Rev Req'!V14</f>
        <v>0</v>
      </c>
      <c r="AK7" s="28">
        <f>'OPCO Rev Req'!W14</f>
        <v>0</v>
      </c>
      <c r="AL7" s="28">
        <f>'OPCO Rev Req'!X14</f>
        <v>0</v>
      </c>
    </row>
    <row r="8" spans="1:38">
      <c r="A8" s="27">
        <v>4</v>
      </c>
      <c r="B8" s="24"/>
      <c r="C8" s="24" t="s">
        <v>55</v>
      </c>
      <c r="D8" s="30">
        <f>SIT!D20</f>
        <v>-338381.00326583209</v>
      </c>
      <c r="E8" s="30">
        <f>SIT!E20</f>
        <v>-513934.11709842569</v>
      </c>
      <c r="F8" s="30">
        <f>SIT!F20</f>
        <v>-470968.02294795908</v>
      </c>
      <c r="G8" s="30">
        <f>SIT!G20</f>
        <v>-430474.63014809595</v>
      </c>
      <c r="H8" s="30">
        <f>SIT!H20</f>
        <v>-392113.62501654797</v>
      </c>
      <c r="I8" s="30">
        <f>SIT!I20</f>
        <v>-355871.86964732705</v>
      </c>
      <c r="J8" s="30">
        <f>SIT!J20</f>
        <v>-321465.40436335996</v>
      </c>
      <c r="K8" s="30">
        <f>SIT!K20</f>
        <v>-288882.91596782336</v>
      </c>
      <c r="L8" s="30">
        <f>SIT!L20</f>
        <v>-273008.28867356718</v>
      </c>
      <c r="M8" s="30">
        <f>SIT!M20</f>
        <v>-260351.25478809397</v>
      </c>
      <c r="N8" s="30">
        <f>SIT!N20</f>
        <v>-258777.41362526696</v>
      </c>
      <c r="O8" s="30">
        <f>SIT!O20</f>
        <v>-257094.87881217292</v>
      </c>
      <c r="P8" s="30">
        <f>SIT!P20</f>
        <v>-255521.03764934585</v>
      </c>
      <c r="Q8" s="30" t="e">
        <f>SIT!Q20</f>
        <v>#REF!</v>
      </c>
      <c r="R8" s="30" t="e">
        <f>SIT!R20</f>
        <v>#REF!</v>
      </c>
      <c r="S8" s="30" t="e">
        <f>SIT!S20</f>
        <v>#REF!</v>
      </c>
      <c r="T8" s="30" t="e">
        <f>SIT!T20</f>
        <v>#REF!</v>
      </c>
      <c r="U8" s="30" t="e">
        <f>SIT!U20</f>
        <v>#REF!</v>
      </c>
      <c r="V8" s="30" t="e">
        <f>SIT!V20</f>
        <v>#REF!</v>
      </c>
      <c r="W8" s="30" t="e">
        <f>SIT!W20</f>
        <v>#REF!</v>
      </c>
      <c r="X8" s="30" t="e">
        <f>SIT!X20</f>
        <v>#REF!</v>
      </c>
      <c r="Y8" s="30" t="e">
        <f>SIT!Y20</f>
        <v>#REF!</v>
      </c>
      <c r="Z8" s="30" t="e">
        <f>SIT!Z20</f>
        <v>#REF!</v>
      </c>
      <c r="AA8" s="30" t="e">
        <f>SIT!AA20</f>
        <v>#REF!</v>
      </c>
      <c r="AB8" s="30" t="e">
        <f>SIT!AB20</f>
        <v>#REF!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2674446.0816604821</v>
      </c>
      <c r="E10" s="29">
        <f>SIT!E9</f>
        <v>2402619.173344166</v>
      </c>
      <c r="F10" s="29">
        <f>SIT!F9</f>
        <v>2134743.0984142423</v>
      </c>
      <c r="G10" s="29">
        <f>SIT!G9</f>
        <v>1870511.7037300691</v>
      </c>
      <c r="H10" s="29">
        <f>SIT!H9</f>
        <v>1609662.572313952</v>
      </c>
      <c r="I10" s="29">
        <f>SIT!I9</f>
        <v>1351933.2871881973</v>
      </c>
      <c r="J10" s="29">
        <f>SIT!J9</f>
        <v>1097097.8781775679</v>
      </c>
      <c r="K10" s="29">
        <f>SIT!K9</f>
        <v>844930.37510682771</v>
      </c>
      <c r="L10" s="29">
        <f>SIT!L9</f>
        <v>593200.23366557725</v>
      </c>
      <c r="M10" s="29">
        <f>SIT!M9</f>
        <v>341477.38158481859</v>
      </c>
      <c r="N10" s="29">
        <f>SIT!N9</f>
        <v>308952.25507174479</v>
      </c>
      <c r="O10" s="29">
        <f>SIT!O9</f>
        <v>276434.41791916237</v>
      </c>
      <c r="P10" s="29">
        <f>SIT!P9</f>
        <v>243909.29140608845</v>
      </c>
      <c r="Q10" s="29" t="e">
        <f>SIT!Q9</f>
        <v>#REF!</v>
      </c>
      <c r="R10" s="29" t="e">
        <f>SIT!R9</f>
        <v>#REF!</v>
      </c>
      <c r="S10" s="29" t="e">
        <f>SIT!S9</f>
        <v>#REF!</v>
      </c>
      <c r="T10" s="29" t="e">
        <f>SIT!T9</f>
        <v>#REF!</v>
      </c>
      <c r="U10" s="29" t="e">
        <f>SIT!U9</f>
        <v>#REF!</v>
      </c>
      <c r="V10" s="29" t="e">
        <f>SIT!V9</f>
        <v>#REF!</v>
      </c>
      <c r="W10" s="29" t="e">
        <f>SIT!W9</f>
        <v>#REF!</v>
      </c>
      <c r="X10" s="29" t="e">
        <f>SIT!X9</f>
        <v>#REF!</v>
      </c>
      <c r="Y10" s="29" t="e">
        <f>SIT!Y9</f>
        <v>#REF!</v>
      </c>
      <c r="Z10" s="29" t="e">
        <f>SIT!Z9</f>
        <v>#REF!</v>
      </c>
      <c r="AA10" s="29" t="e">
        <f>SIT!AA9</f>
        <v>#REF!</v>
      </c>
      <c r="AB10" s="29" t="e">
        <f>SIT!AB9</f>
        <v>#REF!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-13227765.078394651</v>
      </c>
      <c r="E12" s="31">
        <f t="shared" ref="E12:N12" si="0">E4-E6-E7-E8-E9-E10</f>
        <v>-12780385.056245741</v>
      </c>
      <c r="F12" s="31">
        <f t="shared" si="0"/>
        <v>-12555475.075466283</v>
      </c>
      <c r="G12" s="31">
        <f t="shared" si="0"/>
        <v>-12331737.073581973</v>
      </c>
      <c r="H12" s="31">
        <f t="shared" si="0"/>
        <v>-12109248.947297404</v>
      </c>
      <c r="I12" s="31">
        <f t="shared" si="0"/>
        <v>-11887761.417540869</v>
      </c>
      <c r="J12" s="31">
        <f t="shared" si="0"/>
        <v>-11667332.473814208</v>
      </c>
      <c r="K12" s="31">
        <f t="shared" si="0"/>
        <v>-11447747.459139004</v>
      </c>
      <c r="L12" s="31">
        <f t="shared" si="0"/>
        <v>-11211891.944992011</v>
      </c>
      <c r="M12" s="31">
        <f t="shared" si="0"/>
        <v>-10972826.126796726</v>
      </c>
      <c r="N12" s="31">
        <f t="shared" si="0"/>
        <v>-50174.841446477833</v>
      </c>
      <c r="O12" s="31">
        <f t="shared" ref="O12:X12" si="1">O4-O6-O7-O8-O9-O10</f>
        <v>-19339.539106989454</v>
      </c>
      <c r="P12" s="31">
        <f t="shared" si="1"/>
        <v>11611.746243257396</v>
      </c>
      <c r="Q12" s="31" t="e">
        <f t="shared" si="1"/>
        <v>#REF!</v>
      </c>
      <c r="R12" s="31" t="e">
        <f t="shared" si="1"/>
        <v>#REF!</v>
      </c>
      <c r="S12" s="31" t="e">
        <f t="shared" si="1"/>
        <v>#REF!</v>
      </c>
      <c r="T12" s="31" t="e">
        <f t="shared" si="1"/>
        <v>#REF!</v>
      </c>
      <c r="U12" s="31" t="e">
        <f t="shared" si="1"/>
        <v>#REF!</v>
      </c>
      <c r="V12" s="31" t="e">
        <f t="shared" si="1"/>
        <v>#REF!</v>
      </c>
      <c r="W12" s="31" t="e">
        <f t="shared" si="1"/>
        <v>#REF!</v>
      </c>
      <c r="X12" s="31" t="e">
        <f t="shared" si="1"/>
        <v>#REF!</v>
      </c>
      <c r="Y12" s="31" t="e">
        <f t="shared" ref="Y12:AL12" si="2">Y4-Y6-Y7-Y8-Y9-Y10</f>
        <v>#REF!</v>
      </c>
      <c r="Z12" s="31" t="e">
        <f t="shared" si="2"/>
        <v>#REF!</v>
      </c>
      <c r="AA12" s="31" t="e">
        <f t="shared" si="2"/>
        <v>#REF!</v>
      </c>
      <c r="AB12" s="31" t="e">
        <f t="shared" si="2"/>
        <v>#REF!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6807312.5000000009</v>
      </c>
      <c r="E15" s="34">
        <f>SIT!E14</f>
        <v>3028981.7700000005</v>
      </c>
      <c r="F15" s="34">
        <f>SIT!F14</f>
        <v>3619311.9100000011</v>
      </c>
      <c r="G15" s="34">
        <f>SIT!G14</f>
        <v>4163896.9100000011</v>
      </c>
      <c r="H15" s="34">
        <f>SIT!H14</f>
        <v>4669271.790000001</v>
      </c>
      <c r="I15" s="34">
        <f>SIT!I14</f>
        <v>5135436.5500000007</v>
      </c>
      <c r="J15" s="34">
        <f>SIT!J14</f>
        <v>5567837.04</v>
      </c>
      <c r="K15" s="34">
        <f>SIT!K14</f>
        <v>5966473.2600000007</v>
      </c>
      <c r="L15" s="34">
        <f>SIT!L14</f>
        <v>6031823.4600000009</v>
      </c>
      <c r="M15" s="34">
        <f>SIT!M14</f>
        <v>6032912.6300000008</v>
      </c>
      <c r="N15" s="34">
        <f>SIT!N14</f>
        <v>-4859876.54</v>
      </c>
      <c r="O15" s="34">
        <f>SIT!O14</f>
        <v>-4858787.37</v>
      </c>
      <c r="P15" s="34">
        <f>SIT!P14</f>
        <v>-4859876.54</v>
      </c>
      <c r="Q15" s="34">
        <f>SIT!Q14</f>
        <v>-4858787.37</v>
      </c>
      <c r="R15" s="34">
        <f>SIT!R14</f>
        <v>-4859876.54</v>
      </c>
      <c r="S15" s="34">
        <f>SIT!S14</f>
        <v>-4858787.37</v>
      </c>
      <c r="T15" s="34">
        <f>SIT!T14</f>
        <v>-4859876.54</v>
      </c>
      <c r="U15" s="34">
        <f>SIT!U14</f>
        <v>-4858787.37</v>
      </c>
      <c r="V15" s="34">
        <f>SIT!V14</f>
        <v>-4859876.54</v>
      </c>
      <c r="W15" s="34">
        <f>SIT!W14</f>
        <v>-4858787.37</v>
      </c>
      <c r="X15" s="34">
        <f>SIT!X14</f>
        <v>-2429938.27</v>
      </c>
      <c r="Y15" s="34">
        <f>SIT!Y14</f>
        <v>0</v>
      </c>
      <c r="Z15" s="34">
        <f>SIT!Z14</f>
        <v>0</v>
      </c>
      <c r="AA15" s="34">
        <f>SIT!AA14</f>
        <v>0</v>
      </c>
      <c r="AB15" s="34">
        <f>SIT!AB14</f>
        <v>0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-6420452.5783946505</v>
      </c>
      <c r="E17" s="35">
        <f t="shared" ref="E17:N17" si="3">SUM(E12:E15)</f>
        <v>-9751403.286245741</v>
      </c>
      <c r="F17" s="35">
        <f t="shared" si="3"/>
        <v>-8936163.1654662825</v>
      </c>
      <c r="G17" s="35">
        <f t="shared" si="3"/>
        <v>-8167840.163581972</v>
      </c>
      <c r="H17" s="35">
        <f t="shared" si="3"/>
        <v>-7439977.1572974026</v>
      </c>
      <c r="I17" s="35">
        <f t="shared" si="3"/>
        <v>-6752324.867540868</v>
      </c>
      <c r="J17" s="35">
        <f t="shared" si="3"/>
        <v>-6099495.433814208</v>
      </c>
      <c r="K17" s="35">
        <f t="shared" si="3"/>
        <v>-5481274.1991390036</v>
      </c>
      <c r="L17" s="35">
        <f t="shared" si="3"/>
        <v>-5180068.4849920105</v>
      </c>
      <c r="M17" s="35">
        <f t="shared" si="3"/>
        <v>-4939913.4967967253</v>
      </c>
      <c r="N17" s="35">
        <f t="shared" si="3"/>
        <v>-4910051.381446478</v>
      </c>
      <c r="O17" s="35">
        <f t="shared" ref="O17:X17" si="4">SUM(O12:O15)</f>
        <v>-4878126.9091069894</v>
      </c>
      <c r="P17" s="35">
        <f t="shared" si="4"/>
        <v>-4848264.793756743</v>
      </c>
      <c r="Q17" s="35" t="e">
        <f t="shared" si="4"/>
        <v>#REF!</v>
      </c>
      <c r="R17" s="35" t="e">
        <f t="shared" si="4"/>
        <v>#REF!</v>
      </c>
      <c r="S17" s="35" t="e">
        <f t="shared" si="4"/>
        <v>#REF!</v>
      </c>
      <c r="T17" s="35" t="e">
        <f t="shared" si="4"/>
        <v>#REF!</v>
      </c>
      <c r="U17" s="35" t="e">
        <f t="shared" si="4"/>
        <v>#REF!</v>
      </c>
      <c r="V17" s="35" t="e">
        <f t="shared" si="4"/>
        <v>#REF!</v>
      </c>
      <c r="W17" s="35" t="e">
        <f t="shared" si="4"/>
        <v>#REF!</v>
      </c>
      <c r="X17" s="35" t="e">
        <f t="shared" si="4"/>
        <v>#REF!</v>
      </c>
      <c r="Y17" s="35" t="e">
        <f t="shared" ref="Y17:AL17" si="5">SUM(Y12:Y15)</f>
        <v>#REF!</v>
      </c>
      <c r="Z17" s="35" t="e">
        <f t="shared" si="5"/>
        <v>#REF!</v>
      </c>
      <c r="AA17" s="35" t="e">
        <f t="shared" si="5"/>
        <v>#REF!</v>
      </c>
      <c r="AB17" s="35" t="e">
        <f t="shared" si="5"/>
        <v>#REF!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-1348295.0414628766</v>
      </c>
      <c r="E21" s="35">
        <f t="shared" ref="E21:N21" si="6">E19*E17</f>
        <v>-2047794.6901116055</v>
      </c>
      <c r="F21" s="35">
        <f t="shared" si="6"/>
        <v>-1876594.2647479193</v>
      </c>
      <c r="G21" s="35">
        <f t="shared" si="6"/>
        <v>-1715246.434352214</v>
      </c>
      <c r="H21" s="35">
        <f t="shared" si="6"/>
        <v>-1562395.2030324545</v>
      </c>
      <c r="I21" s="35">
        <f t="shared" si="6"/>
        <v>-1417988.2221835821</v>
      </c>
      <c r="J21" s="35">
        <f t="shared" si="6"/>
        <v>-1280894.0411009837</v>
      </c>
      <c r="K21" s="35">
        <f t="shared" si="6"/>
        <v>-1151067.5818191906</v>
      </c>
      <c r="L21" s="35">
        <f t="shared" si="6"/>
        <v>-1087814.3818483222</v>
      </c>
      <c r="M21" s="35">
        <f t="shared" si="6"/>
        <v>-1037381.8343273123</v>
      </c>
      <c r="N21" s="35">
        <f t="shared" si="6"/>
        <v>-1031110.7901037603</v>
      </c>
      <c r="O21" s="35">
        <f t="shared" ref="O21:X21" si="7">O19*O17</f>
        <v>-1024406.6509124677</v>
      </c>
      <c r="P21" s="35">
        <f t="shared" si="7"/>
        <v>-1018135.606688916</v>
      </c>
      <c r="Q21" s="35" t="e">
        <f t="shared" si="7"/>
        <v>#REF!</v>
      </c>
      <c r="R21" s="35" t="e">
        <f t="shared" si="7"/>
        <v>#REF!</v>
      </c>
      <c r="S21" s="35" t="e">
        <f t="shared" si="7"/>
        <v>#REF!</v>
      </c>
      <c r="T21" s="35" t="e">
        <f t="shared" si="7"/>
        <v>#REF!</v>
      </c>
      <c r="U21" s="35" t="e">
        <f t="shared" si="7"/>
        <v>#REF!</v>
      </c>
      <c r="V21" s="35" t="e">
        <f t="shared" si="7"/>
        <v>#REF!</v>
      </c>
      <c r="W21" s="35" t="e">
        <f t="shared" si="7"/>
        <v>#REF!</v>
      </c>
      <c r="X21" s="35" t="e">
        <f t="shared" si="7"/>
        <v>#REF!</v>
      </c>
      <c r="Y21" s="35" t="e">
        <f t="shared" ref="Y21:AL21" si="8">Y19*Y17</f>
        <v>#REF!</v>
      </c>
      <c r="Z21" s="35" t="e">
        <f t="shared" si="8"/>
        <v>#REF!</v>
      </c>
      <c r="AA21" s="35" t="e">
        <f t="shared" si="8"/>
        <v>#REF!</v>
      </c>
      <c r="AB21" s="35" t="e">
        <f t="shared" si="8"/>
        <v>#REF!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-1348295.0414628766</v>
      </c>
      <c r="E25" s="132">
        <f t="shared" ref="E25:N25" si="9">E21</f>
        <v>-2047794.6901116055</v>
      </c>
      <c r="F25" s="132">
        <f t="shared" si="9"/>
        <v>-1876594.2647479193</v>
      </c>
      <c r="G25" s="132">
        <f t="shared" si="9"/>
        <v>-1715246.434352214</v>
      </c>
      <c r="H25" s="132">
        <f t="shared" si="9"/>
        <v>-1562395.2030324545</v>
      </c>
      <c r="I25" s="132">
        <f t="shared" si="9"/>
        <v>-1417988.2221835821</v>
      </c>
      <c r="J25" s="132">
        <f t="shared" si="9"/>
        <v>-1280894.0411009837</v>
      </c>
      <c r="K25" s="132">
        <f t="shared" si="9"/>
        <v>-1151067.5818191906</v>
      </c>
      <c r="L25" s="132">
        <f t="shared" si="9"/>
        <v>-1087814.3818483222</v>
      </c>
      <c r="M25" s="132">
        <f t="shared" si="9"/>
        <v>-1037381.8343273123</v>
      </c>
      <c r="N25" s="132">
        <f t="shared" si="9"/>
        <v>-1031110.7901037603</v>
      </c>
      <c r="O25" s="132">
        <f t="shared" ref="O25:X25" si="10">O21</f>
        <v>-1024406.6509124677</v>
      </c>
      <c r="P25" s="132">
        <f t="shared" si="10"/>
        <v>-1018135.606688916</v>
      </c>
      <c r="Q25" s="132" t="e">
        <f t="shared" si="10"/>
        <v>#REF!</v>
      </c>
      <c r="R25" s="132" t="e">
        <f t="shared" si="10"/>
        <v>#REF!</v>
      </c>
      <c r="S25" s="132" t="e">
        <f t="shared" si="10"/>
        <v>#REF!</v>
      </c>
      <c r="T25" s="132" t="e">
        <f t="shared" si="10"/>
        <v>#REF!</v>
      </c>
      <c r="U25" s="132" t="e">
        <f t="shared" si="10"/>
        <v>#REF!</v>
      </c>
      <c r="V25" s="132" t="e">
        <f t="shared" si="10"/>
        <v>#REF!</v>
      </c>
      <c r="W25" s="132" t="e">
        <f t="shared" si="10"/>
        <v>#REF!</v>
      </c>
      <c r="X25" s="132" t="e">
        <f t="shared" si="10"/>
        <v>#REF!</v>
      </c>
      <c r="Y25" s="132" t="e">
        <f t="shared" ref="Y25:AL25" si="11">Y21</f>
        <v>#REF!</v>
      </c>
      <c r="Z25" s="132" t="e">
        <f t="shared" si="11"/>
        <v>#REF!</v>
      </c>
      <c r="AA25" s="132" t="e">
        <f t="shared" si="11"/>
        <v>#REF!</v>
      </c>
      <c r="AB25" s="132" t="e">
        <f t="shared" si="11"/>
        <v>#REF!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19146531.141949236</v>
      </c>
      <c r="E27" s="124">
        <f>'OPCO Rev Req'!C28</f>
        <v>18302004.160759997</v>
      </c>
      <c r="F27" s="124">
        <f>'OPCO Rev Req'!D28</f>
        <v>17469751.848821349</v>
      </c>
      <c r="G27" s="124">
        <f>'OPCO Rev Req'!E28</f>
        <v>16648823.032501319</v>
      </c>
      <c r="H27" s="124">
        <f>'OPCO Rev Req'!F28</f>
        <v>15838402.420115378</v>
      </c>
      <c r="I27" s="124">
        <f>'OPCO Rev Req'!G28</f>
        <v>15037674.71997897</v>
      </c>
      <c r="J27" s="124">
        <f>'OPCO Rev Req'!H28</f>
        <v>14245937.875363747</v>
      </c>
      <c r="K27" s="124">
        <f>'OPCO Rev Req'!I28</f>
        <v>13462489.829541363</v>
      </c>
      <c r="L27" s="124">
        <f>'OPCO Rev Req'!J28</f>
        <v>12680400.603193205</v>
      </c>
      <c r="M27" s="124">
        <f>'OPCO Rev Req'!K28</f>
        <v>11898334.02383629</v>
      </c>
      <c r="N27" s="124">
        <f>'OPCO Rev Req'!L28</f>
        <v>959870.0765993516</v>
      </c>
      <c r="O27" s="124">
        <f>'OPCO Rev Req'!M28</f>
        <v>858841.84869000572</v>
      </c>
      <c r="P27" s="124">
        <f>'OPCO Rev Req'!N28</f>
        <v>757790.97378942289</v>
      </c>
      <c r="Q27" s="124" t="e">
        <f>'OPCO Rev Req'!#REF!</f>
        <v>#REF!</v>
      </c>
      <c r="R27" s="124" t="e">
        <f>'OPCO Rev Req'!#REF!</f>
        <v>#REF!</v>
      </c>
      <c r="S27" s="124" t="e">
        <f>'OPCO Rev Req'!#REF!</f>
        <v>#REF!</v>
      </c>
      <c r="T27" s="124" t="e">
        <f>'OPCO Rev Req'!#REF!</f>
        <v>#REF!</v>
      </c>
      <c r="U27" s="124" t="e">
        <f>'OPCO Rev Req'!#REF!</f>
        <v>#REF!</v>
      </c>
      <c r="V27" s="124" t="e">
        <f>'OPCO Rev Req'!#REF!</f>
        <v>#REF!</v>
      </c>
      <c r="W27" s="124" t="e">
        <f>'OPCO Rev Req'!#REF!</f>
        <v>#REF!</v>
      </c>
      <c r="X27" s="124" t="e">
        <f>'OPCO Rev Req'!#REF!</f>
        <v>#REF!</v>
      </c>
      <c r="Y27" s="124" t="e">
        <f>'OPCO Rev Req'!#REF!</f>
        <v>#REF!</v>
      </c>
      <c r="Z27" s="124" t="e">
        <f>'OPCO Rev Req'!#REF!</f>
        <v>#REF!</v>
      </c>
      <c r="AA27" s="124" t="e">
        <f>'OPCO Rev Req'!#REF!</f>
        <v>#REF!</v>
      </c>
      <c r="AB27" s="124" t="e">
        <f>'OPCO Rev Req'!#REF!</f>
        <v>#REF!</v>
      </c>
      <c r="AC27" s="124">
        <f>'OPCO Rev Req'!O28</f>
        <v>0</v>
      </c>
      <c r="AD27" s="124">
        <f>'OPCO Rev Req'!P28</f>
        <v>0</v>
      </c>
      <c r="AE27" s="124">
        <f>'OPCO Rev Req'!Q28</f>
        <v>0</v>
      </c>
      <c r="AF27" s="124">
        <f>'OPCO Rev Req'!R28</f>
        <v>0</v>
      </c>
      <c r="AG27" s="124">
        <f>'OPCO Rev Req'!S28</f>
        <v>0</v>
      </c>
      <c r="AH27" s="124">
        <f>'OPCO Rev Req'!T28</f>
        <v>0</v>
      </c>
      <c r="AI27" s="124">
        <f>'OPCO Rev Req'!U28</f>
        <v>0</v>
      </c>
      <c r="AJ27" s="124">
        <f>'OPCO Rev Req'!V28</f>
        <v>0</v>
      </c>
      <c r="AK27" s="124">
        <f>'OPCO Rev Req'!W28</f>
        <v>0</v>
      </c>
      <c r="AL27" s="124">
        <f>'OPCO Rev Req'!X28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12726078.563554585</v>
      </c>
      <c r="E29" s="127">
        <f t="shared" ref="E29:X29" si="12">E27+E17</f>
        <v>8550600.8745142557</v>
      </c>
      <c r="F29" s="127">
        <f t="shared" si="12"/>
        <v>8533588.6833550669</v>
      </c>
      <c r="G29" s="127">
        <f t="shared" si="12"/>
        <v>8480982.8689193465</v>
      </c>
      <c r="H29" s="127">
        <f t="shared" si="12"/>
        <v>8398425.2628179751</v>
      </c>
      <c r="I29" s="127">
        <f t="shared" si="12"/>
        <v>8285349.8524381015</v>
      </c>
      <c r="J29" s="127">
        <f t="shared" si="12"/>
        <v>8146442.4415495386</v>
      </c>
      <c r="K29" s="127">
        <f t="shared" si="12"/>
        <v>7981215.6304023592</v>
      </c>
      <c r="L29" s="127">
        <f t="shared" si="12"/>
        <v>7500332.1182011943</v>
      </c>
      <c r="M29" s="127">
        <f t="shared" si="12"/>
        <v>6958420.5270395651</v>
      </c>
      <c r="N29" s="127">
        <f t="shared" si="12"/>
        <v>-3950181.3048471264</v>
      </c>
      <c r="O29" s="127">
        <f t="shared" si="12"/>
        <v>-4019285.0604169834</v>
      </c>
      <c r="P29" s="127">
        <f t="shared" si="12"/>
        <v>-4090473.8199673202</v>
      </c>
      <c r="Q29" s="127" t="e">
        <f t="shared" si="12"/>
        <v>#REF!</v>
      </c>
      <c r="R29" s="127" t="e">
        <f t="shared" si="12"/>
        <v>#REF!</v>
      </c>
      <c r="S29" s="127" t="e">
        <f t="shared" si="12"/>
        <v>#REF!</v>
      </c>
      <c r="T29" s="127" t="e">
        <f t="shared" si="12"/>
        <v>#REF!</v>
      </c>
      <c r="U29" s="127" t="e">
        <f t="shared" si="12"/>
        <v>#REF!</v>
      </c>
      <c r="V29" s="127" t="e">
        <f t="shared" si="12"/>
        <v>#REF!</v>
      </c>
      <c r="W29" s="127" t="e">
        <f t="shared" si="12"/>
        <v>#REF!</v>
      </c>
      <c r="X29" s="127" t="e">
        <f t="shared" si="12"/>
        <v>#REF!</v>
      </c>
      <c r="Y29" s="127" t="e">
        <f t="shared" ref="Y29:AL29" si="13">Y27+Y17</f>
        <v>#REF!</v>
      </c>
      <c r="Z29" s="127" t="e">
        <f t="shared" si="13"/>
        <v>#REF!</v>
      </c>
      <c r="AA29" s="127" t="e">
        <f t="shared" si="13"/>
        <v>#REF!</v>
      </c>
      <c r="AB29" s="127" t="e">
        <f t="shared" si="13"/>
        <v>#REF!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2672476.4983464628</v>
      </c>
      <c r="E31" s="132">
        <f t="shared" ref="E31:X31" si="14">E29*E19</f>
        <v>1795626.1836479937</v>
      </c>
      <c r="F31" s="132">
        <f t="shared" si="14"/>
        <v>1792053.6235045639</v>
      </c>
      <c r="G31" s="132">
        <f t="shared" si="14"/>
        <v>1781006.4024730627</v>
      </c>
      <c r="H31" s="132">
        <f t="shared" si="14"/>
        <v>1763669.3051917746</v>
      </c>
      <c r="I31" s="132">
        <f t="shared" si="14"/>
        <v>1739923.4690120013</v>
      </c>
      <c r="J31" s="132">
        <f t="shared" si="14"/>
        <v>1710752.912725403</v>
      </c>
      <c r="K31" s="132">
        <f t="shared" si="14"/>
        <v>1676055.2823844953</v>
      </c>
      <c r="L31" s="132">
        <f t="shared" si="14"/>
        <v>1575069.7448222507</v>
      </c>
      <c r="M31" s="132">
        <f t="shared" si="14"/>
        <v>1461268.3106783086</v>
      </c>
      <c r="N31" s="132">
        <f t="shared" si="14"/>
        <v>-829538.07401789655</v>
      </c>
      <c r="O31" s="132">
        <f t="shared" si="14"/>
        <v>-844049.86268756643</v>
      </c>
      <c r="P31" s="132">
        <f t="shared" si="14"/>
        <v>-858999.50219313719</v>
      </c>
      <c r="Q31" s="132" t="e">
        <f t="shared" si="14"/>
        <v>#REF!</v>
      </c>
      <c r="R31" s="132" t="e">
        <f t="shared" si="14"/>
        <v>#REF!</v>
      </c>
      <c r="S31" s="132" t="e">
        <f t="shared" si="14"/>
        <v>#REF!</v>
      </c>
      <c r="T31" s="132" t="e">
        <f t="shared" si="14"/>
        <v>#REF!</v>
      </c>
      <c r="U31" s="132" t="e">
        <f t="shared" si="14"/>
        <v>#REF!</v>
      </c>
      <c r="V31" s="132" t="e">
        <f t="shared" si="14"/>
        <v>#REF!</v>
      </c>
      <c r="W31" s="132" t="e">
        <f t="shared" si="14"/>
        <v>#REF!</v>
      </c>
      <c r="X31" s="132" t="e">
        <f t="shared" si="14"/>
        <v>#REF!</v>
      </c>
      <c r="Y31" s="132" t="e">
        <f t="shared" ref="Y31:AL31" si="15">Y29*Y19</f>
        <v>#REF!</v>
      </c>
      <c r="Z31" s="132" t="e">
        <f t="shared" si="15"/>
        <v>#REF!</v>
      </c>
      <c r="AA31" s="132" t="e">
        <f t="shared" si="15"/>
        <v>#REF!</v>
      </c>
      <c r="AB31" s="132" t="e">
        <f t="shared" si="15"/>
        <v>#REF!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T30"/>
  <sheetViews>
    <sheetView zoomScaleNormal="100" workbookViewId="0">
      <selection activeCell="D30" sqref="D30"/>
    </sheetView>
  </sheetViews>
  <sheetFormatPr defaultRowHeight="12.75"/>
  <cols>
    <col min="2" max="2" width="13.85546875" bestFit="1" customWidth="1"/>
    <col min="3" max="3" width="11" customWidth="1"/>
    <col min="4" max="6" width="14.85546875" bestFit="1" customWidth="1"/>
    <col min="7" max="7" width="14.85546875" customWidth="1"/>
    <col min="8" max="8" width="13.28515625" bestFit="1" customWidth="1"/>
    <col min="14" max="14" width="11.140625" bestFit="1" customWidth="1"/>
    <col min="20" max="20" width="12.140625" bestFit="1" customWidth="1"/>
  </cols>
  <sheetData>
    <row r="3" spans="2:14">
      <c r="C3">
        <v>2025</v>
      </c>
      <c r="D3">
        <v>2026</v>
      </c>
      <c r="E3">
        <v>2027</v>
      </c>
      <c r="F3">
        <v>2028</v>
      </c>
      <c r="G3">
        <v>2029</v>
      </c>
    </row>
    <row r="4" spans="2:14">
      <c r="B4" t="s">
        <v>315</v>
      </c>
      <c r="C4" s="153">
        <v>0</v>
      </c>
      <c r="D4" s="210">
        <v>45381219.039414175</v>
      </c>
      <c r="E4" s="153">
        <f>15390911.0488908+28917000</f>
        <v>44307911.048890799</v>
      </c>
      <c r="F4" s="153">
        <v>19227869.911695026</v>
      </c>
      <c r="G4" s="153">
        <v>0</v>
      </c>
      <c r="H4" s="127">
        <f>SUM(C4:G4)</f>
        <v>108917000</v>
      </c>
      <c r="I4" s="205"/>
    </row>
    <row r="5" spans="2:14">
      <c r="C5" s="208"/>
      <c r="D5" s="208"/>
      <c r="E5" s="208"/>
      <c r="F5" s="208"/>
      <c r="G5" s="208"/>
      <c r="H5" s="127"/>
    </row>
    <row r="6" spans="2:14">
      <c r="C6" s="153"/>
      <c r="D6" s="153"/>
      <c r="E6" s="153"/>
      <c r="F6" s="153"/>
      <c r="G6" s="153"/>
    </row>
    <row r="9" spans="2:14">
      <c r="B9" t="s">
        <v>319</v>
      </c>
      <c r="E9" s="211">
        <v>329</v>
      </c>
      <c r="G9" s="212" t="s">
        <v>320</v>
      </c>
    </row>
    <row r="10" spans="2:14">
      <c r="B10" s="198">
        <v>630.79744444444441</v>
      </c>
      <c r="E10" s="153">
        <f>B10*E9*365</f>
        <v>75749311.1161111</v>
      </c>
    </row>
    <row r="13" spans="2:14">
      <c r="B13" t="s">
        <v>349</v>
      </c>
    </row>
    <row r="15" spans="2:14">
      <c r="B15" s="242"/>
      <c r="C15" s="248" t="s">
        <v>307</v>
      </c>
      <c r="D15" s="248"/>
      <c r="E15" s="248"/>
      <c r="F15" s="248" t="s">
        <v>308</v>
      </c>
      <c r="G15" s="248"/>
      <c r="H15" s="248"/>
      <c r="I15" s="248" t="s">
        <v>309</v>
      </c>
      <c r="J15" s="248"/>
      <c r="K15" s="248"/>
      <c r="L15" s="242"/>
      <c r="M15" s="242"/>
      <c r="N15" s="242"/>
    </row>
    <row r="16" spans="2:14">
      <c r="B16" s="243" t="s">
        <v>350</v>
      </c>
      <c r="C16" s="243" t="s">
        <v>304</v>
      </c>
      <c r="D16" s="243" t="s">
        <v>305</v>
      </c>
      <c r="E16" s="243" t="s">
        <v>4</v>
      </c>
      <c r="F16" s="243" t="s">
        <v>304</v>
      </c>
      <c r="G16" s="243" t="s">
        <v>305</v>
      </c>
      <c r="H16" s="243" t="s">
        <v>4</v>
      </c>
      <c r="I16" s="243" t="s">
        <v>304</v>
      </c>
      <c r="J16" s="243" t="s">
        <v>305</v>
      </c>
      <c r="K16" s="243" t="s">
        <v>4</v>
      </c>
      <c r="L16" s="242"/>
      <c r="M16" s="242"/>
      <c r="N16" s="242"/>
    </row>
    <row r="17" spans="2:20">
      <c r="B17" s="244">
        <v>46357</v>
      </c>
      <c r="C17" s="245">
        <v>200.08500000000001</v>
      </c>
      <c r="D17" s="246">
        <v>167.785</v>
      </c>
      <c r="E17" s="246">
        <f t="shared" ref="E17:E29" si="0">SUM(C17:D17)</f>
        <v>367.87</v>
      </c>
      <c r="F17" s="246">
        <v>10767.434999999999</v>
      </c>
      <c r="G17" s="246">
        <v>9131.0349999999999</v>
      </c>
      <c r="H17" s="246">
        <f t="shared" ref="H17:H29" si="1">SUM(F17:G17)</f>
        <v>19898.47</v>
      </c>
      <c r="I17" s="246">
        <v>7940.5050000000001</v>
      </c>
      <c r="J17" s="246">
        <v>6559.3450000000003</v>
      </c>
      <c r="K17" s="246">
        <f t="shared" ref="K17:K29" si="2">SUM(I17:J17)</f>
        <v>14499.85</v>
      </c>
      <c r="L17" s="243" t="s">
        <v>351</v>
      </c>
      <c r="M17" s="243" t="s">
        <v>352</v>
      </c>
      <c r="N17" s="243" t="s">
        <v>353</v>
      </c>
    </row>
    <row r="18" spans="2:20">
      <c r="B18" s="244">
        <v>46388</v>
      </c>
      <c r="C18" s="245">
        <v>133.91999999999999</v>
      </c>
      <c r="D18" s="246">
        <v>161.655</v>
      </c>
      <c r="E18" s="246">
        <f t="shared" si="0"/>
        <v>295.57499999999999</v>
      </c>
      <c r="F18" s="246">
        <v>8057.98</v>
      </c>
      <c r="G18" s="246">
        <v>10647.29</v>
      </c>
      <c r="H18" s="246">
        <f t="shared" si="1"/>
        <v>18705.27</v>
      </c>
      <c r="I18" s="246">
        <v>5333.4849999999997</v>
      </c>
      <c r="J18" s="246">
        <v>6216.8450000000003</v>
      </c>
      <c r="K18" s="246">
        <f t="shared" si="2"/>
        <v>11550.33</v>
      </c>
      <c r="L18" s="247">
        <f>G18-J18</f>
        <v>4430.4450000000006</v>
      </c>
      <c r="M18" s="247">
        <f>L18*2</f>
        <v>8860.8900000000012</v>
      </c>
      <c r="N18" s="247">
        <f>M18*1000</f>
        <v>8860890.0000000019</v>
      </c>
    </row>
    <row r="19" spans="2:20">
      <c r="B19" s="244">
        <v>46419</v>
      </c>
      <c r="C19" s="245">
        <v>66.515000000000001</v>
      </c>
      <c r="D19" s="246">
        <v>174.96</v>
      </c>
      <c r="E19" s="246">
        <f t="shared" si="0"/>
        <v>241.47500000000002</v>
      </c>
      <c r="F19" s="246">
        <v>3629.23</v>
      </c>
      <c r="G19" s="246">
        <v>8745.0750000000007</v>
      </c>
      <c r="H19" s="246">
        <f t="shared" si="1"/>
        <v>12374.305</v>
      </c>
      <c r="I19" s="246">
        <v>2642.5749999999998</v>
      </c>
      <c r="J19" s="246">
        <v>6744.5050000000001</v>
      </c>
      <c r="K19" s="246">
        <f t="shared" si="2"/>
        <v>9387.08</v>
      </c>
      <c r="L19" s="247">
        <f t="shared" ref="L19:L29" si="3">G19-J19</f>
        <v>2000.5700000000006</v>
      </c>
      <c r="M19" s="247">
        <f t="shared" ref="M19:M29" si="4">L19*2</f>
        <v>4001.1400000000012</v>
      </c>
      <c r="N19" s="247">
        <f t="shared" ref="N19:N29" si="5">M19*1000</f>
        <v>4001140.0000000014</v>
      </c>
    </row>
    <row r="20" spans="2:20">
      <c r="B20" s="244">
        <v>46447</v>
      </c>
      <c r="C20" s="245">
        <v>123.86</v>
      </c>
      <c r="D20" s="246">
        <v>7.9850000000000003</v>
      </c>
      <c r="E20" s="246">
        <f t="shared" si="0"/>
        <v>131.845</v>
      </c>
      <c r="F20" s="246">
        <v>6058.1350000000002</v>
      </c>
      <c r="G20" s="246">
        <v>390.51</v>
      </c>
      <c r="H20" s="246">
        <f t="shared" si="1"/>
        <v>6448.6450000000004</v>
      </c>
      <c r="I20" s="246">
        <v>4865.2849999999999</v>
      </c>
      <c r="J20" s="246">
        <v>301.75</v>
      </c>
      <c r="K20" s="246">
        <f t="shared" si="2"/>
        <v>5167.0349999999999</v>
      </c>
      <c r="L20" s="247">
        <f t="shared" si="3"/>
        <v>88.759999999999991</v>
      </c>
      <c r="M20" s="247">
        <f t="shared" si="4"/>
        <v>177.51999999999998</v>
      </c>
      <c r="N20" s="247">
        <f t="shared" si="5"/>
        <v>177519.99999999997</v>
      </c>
    </row>
    <row r="21" spans="2:20">
      <c r="B21" s="244">
        <v>46478</v>
      </c>
      <c r="C21" s="245">
        <v>142.78</v>
      </c>
      <c r="D21" s="246">
        <v>0</v>
      </c>
      <c r="E21" s="246">
        <f t="shared" si="0"/>
        <v>142.78</v>
      </c>
      <c r="F21" s="246">
        <v>6733.95</v>
      </c>
      <c r="G21" s="246">
        <v>0</v>
      </c>
      <c r="H21" s="246">
        <f t="shared" si="1"/>
        <v>6733.95</v>
      </c>
      <c r="I21" s="246">
        <v>5623.7749999999996</v>
      </c>
      <c r="J21" s="246">
        <v>0</v>
      </c>
      <c r="K21" s="246">
        <f t="shared" si="2"/>
        <v>5623.7749999999996</v>
      </c>
      <c r="L21" s="247">
        <f t="shared" si="3"/>
        <v>0</v>
      </c>
      <c r="M21" s="247">
        <f t="shared" si="4"/>
        <v>0</v>
      </c>
      <c r="N21" s="247">
        <f t="shared" si="5"/>
        <v>0</v>
      </c>
    </row>
    <row r="22" spans="2:20">
      <c r="B22" s="244">
        <v>46508</v>
      </c>
      <c r="C22" s="245">
        <v>100.255</v>
      </c>
      <c r="D22" s="246">
        <v>60.365000000000002</v>
      </c>
      <c r="E22" s="246">
        <f t="shared" si="0"/>
        <v>160.62</v>
      </c>
      <c r="F22" s="246">
        <v>4982.6949999999997</v>
      </c>
      <c r="G22" s="246">
        <v>2780.335</v>
      </c>
      <c r="H22" s="246">
        <f t="shared" si="1"/>
        <v>7763.03</v>
      </c>
      <c r="I22" s="246">
        <v>3938.72</v>
      </c>
      <c r="J22" s="246">
        <v>2353.2600000000002</v>
      </c>
      <c r="K22" s="246">
        <f t="shared" si="2"/>
        <v>6291.98</v>
      </c>
      <c r="L22" s="247">
        <f t="shared" si="3"/>
        <v>427.07499999999982</v>
      </c>
      <c r="M22" s="247">
        <f t="shared" si="4"/>
        <v>854.14999999999964</v>
      </c>
      <c r="N22" s="247">
        <f t="shared" si="5"/>
        <v>854149.99999999965</v>
      </c>
    </row>
    <row r="23" spans="2:20">
      <c r="B23" s="244">
        <v>46539</v>
      </c>
      <c r="C23" s="245">
        <v>88.125</v>
      </c>
      <c r="D23" s="246">
        <v>115.465</v>
      </c>
      <c r="E23" s="246">
        <f t="shared" si="0"/>
        <v>203.59</v>
      </c>
      <c r="F23" s="246">
        <v>5249.6149999999998</v>
      </c>
      <c r="G23" s="246">
        <v>6084.8950000000004</v>
      </c>
      <c r="H23" s="246">
        <f t="shared" si="1"/>
        <v>11334.51</v>
      </c>
      <c r="I23" s="246">
        <v>3476.13</v>
      </c>
      <c r="J23" s="246">
        <v>4485.6850000000004</v>
      </c>
      <c r="K23" s="246">
        <f t="shared" si="2"/>
        <v>7961.8150000000005</v>
      </c>
      <c r="L23" s="247">
        <f t="shared" si="3"/>
        <v>1599.21</v>
      </c>
      <c r="M23" s="247">
        <f t="shared" si="4"/>
        <v>3198.42</v>
      </c>
      <c r="N23" s="247">
        <f t="shared" si="5"/>
        <v>3198420</v>
      </c>
    </row>
    <row r="24" spans="2:20">
      <c r="B24" s="244">
        <v>46569</v>
      </c>
      <c r="C24" s="245">
        <v>126.815</v>
      </c>
      <c r="D24" s="246">
        <v>152.05500000000001</v>
      </c>
      <c r="E24" s="246">
        <f t="shared" si="0"/>
        <v>278.87</v>
      </c>
      <c r="F24" s="246">
        <v>6736.34</v>
      </c>
      <c r="G24" s="246">
        <v>8355.9850000000006</v>
      </c>
      <c r="H24" s="246">
        <f t="shared" si="1"/>
        <v>15092.325000000001</v>
      </c>
      <c r="I24" s="246">
        <v>4988.74</v>
      </c>
      <c r="J24" s="246">
        <v>5782.7950000000001</v>
      </c>
      <c r="K24" s="246">
        <f t="shared" si="2"/>
        <v>10771.535</v>
      </c>
      <c r="L24" s="247">
        <f t="shared" si="3"/>
        <v>2573.1900000000005</v>
      </c>
      <c r="M24" s="247">
        <f t="shared" si="4"/>
        <v>5146.380000000001</v>
      </c>
      <c r="N24" s="247">
        <f t="shared" si="5"/>
        <v>5146380.0000000009</v>
      </c>
    </row>
    <row r="25" spans="2:20">
      <c r="B25" s="244">
        <v>46600</v>
      </c>
      <c r="C25" s="245">
        <v>131.67500000000001</v>
      </c>
      <c r="D25" s="246">
        <v>167.94</v>
      </c>
      <c r="E25" s="246">
        <f t="shared" si="0"/>
        <v>299.61500000000001</v>
      </c>
      <c r="F25" s="246">
        <v>7348.57</v>
      </c>
      <c r="G25" s="246">
        <v>8491.7099999999991</v>
      </c>
      <c r="H25" s="246">
        <f t="shared" si="1"/>
        <v>15840.279999999999</v>
      </c>
      <c r="I25" s="246">
        <v>5133.2</v>
      </c>
      <c r="J25" s="246">
        <v>6375.2550000000001</v>
      </c>
      <c r="K25" s="246">
        <f t="shared" si="2"/>
        <v>11508.455</v>
      </c>
      <c r="L25" s="247">
        <f t="shared" si="3"/>
        <v>2116.454999999999</v>
      </c>
      <c r="M25" s="247">
        <f t="shared" si="4"/>
        <v>4232.909999999998</v>
      </c>
      <c r="N25" s="247">
        <f t="shared" si="5"/>
        <v>4232909.9999999981</v>
      </c>
    </row>
    <row r="26" spans="2:20">
      <c r="B26" s="244">
        <v>46631</v>
      </c>
      <c r="C26" s="245">
        <v>161.845</v>
      </c>
      <c r="D26" s="246">
        <v>134.72</v>
      </c>
      <c r="E26" s="246">
        <f t="shared" si="0"/>
        <v>296.565</v>
      </c>
      <c r="F26" s="246">
        <v>8490.4</v>
      </c>
      <c r="G26" s="246">
        <v>7208.8850000000002</v>
      </c>
      <c r="H26" s="246">
        <f t="shared" si="1"/>
        <v>15699.285</v>
      </c>
      <c r="I26" s="246">
        <v>6290.33</v>
      </c>
      <c r="J26" s="246">
        <v>5104.5550000000003</v>
      </c>
      <c r="K26" s="246">
        <f t="shared" si="2"/>
        <v>11394.885</v>
      </c>
      <c r="L26" s="247">
        <f t="shared" si="3"/>
        <v>2104.33</v>
      </c>
      <c r="M26" s="247">
        <f t="shared" si="4"/>
        <v>4208.66</v>
      </c>
      <c r="N26" s="247">
        <f t="shared" si="5"/>
        <v>4208660</v>
      </c>
      <c r="P26" t="s">
        <v>354</v>
      </c>
      <c r="T26" s="127">
        <f>SUM(N20:N26)</f>
        <v>17818040</v>
      </c>
    </row>
    <row r="27" spans="2:20">
      <c r="B27" s="244">
        <v>46661</v>
      </c>
      <c r="C27" s="245">
        <v>6.99</v>
      </c>
      <c r="D27" s="246">
        <v>99.555000000000007</v>
      </c>
      <c r="E27" s="246">
        <f t="shared" si="0"/>
        <v>106.545</v>
      </c>
      <c r="F27" s="246">
        <v>306.25</v>
      </c>
      <c r="G27" s="246">
        <v>4967.4549999999999</v>
      </c>
      <c r="H27" s="246">
        <f t="shared" si="1"/>
        <v>5273.7049999999999</v>
      </c>
      <c r="I27" s="246">
        <v>268.45999999999998</v>
      </c>
      <c r="J27" s="246">
        <v>3743.4450000000002</v>
      </c>
      <c r="K27" s="246">
        <f t="shared" si="2"/>
        <v>4011.9050000000002</v>
      </c>
      <c r="L27" s="247">
        <f t="shared" si="3"/>
        <v>1224.0099999999998</v>
      </c>
      <c r="M27" s="247">
        <f t="shared" si="4"/>
        <v>2448.0199999999995</v>
      </c>
      <c r="N27" s="247">
        <f t="shared" si="5"/>
        <v>2448019.9999999995</v>
      </c>
    </row>
    <row r="28" spans="2:20">
      <c r="B28" s="244">
        <v>46692</v>
      </c>
      <c r="C28" s="245">
        <v>38.9</v>
      </c>
      <c r="D28" s="246">
        <v>161.625</v>
      </c>
      <c r="E28" s="246">
        <f t="shared" si="0"/>
        <v>200.52500000000001</v>
      </c>
      <c r="F28" s="246">
        <v>1975.81</v>
      </c>
      <c r="G28" s="246">
        <v>8449.76</v>
      </c>
      <c r="H28" s="246">
        <f t="shared" si="1"/>
        <v>10425.57</v>
      </c>
      <c r="I28" s="246">
        <v>1497.385</v>
      </c>
      <c r="J28" s="246">
        <v>6010.0249999999996</v>
      </c>
      <c r="K28" s="246">
        <f t="shared" si="2"/>
        <v>7507.41</v>
      </c>
      <c r="L28" s="247">
        <f t="shared" si="3"/>
        <v>2439.7350000000006</v>
      </c>
      <c r="M28" s="247">
        <f t="shared" si="4"/>
        <v>4879.4700000000012</v>
      </c>
      <c r="N28" s="247">
        <f t="shared" si="5"/>
        <v>4879470.0000000009</v>
      </c>
    </row>
    <row r="29" spans="2:20">
      <c r="B29" s="244">
        <v>46722</v>
      </c>
      <c r="C29" s="245">
        <v>188.29499999999999</v>
      </c>
      <c r="D29" s="246">
        <v>190.37</v>
      </c>
      <c r="E29" s="246">
        <f t="shared" si="0"/>
        <v>378.66499999999996</v>
      </c>
      <c r="F29" s="246">
        <v>10485.9</v>
      </c>
      <c r="G29" s="246">
        <v>10569.475</v>
      </c>
      <c r="H29" s="246">
        <f t="shared" si="1"/>
        <v>21055.375</v>
      </c>
      <c r="I29" s="246">
        <v>7077.3</v>
      </c>
      <c r="J29" s="246">
        <v>6970.875</v>
      </c>
      <c r="K29" s="246">
        <f t="shared" si="2"/>
        <v>14048.174999999999</v>
      </c>
      <c r="L29" s="247">
        <f t="shared" si="3"/>
        <v>3598.6000000000004</v>
      </c>
      <c r="M29" s="247">
        <f t="shared" si="4"/>
        <v>7197.2000000000007</v>
      </c>
      <c r="N29" s="247">
        <f t="shared" si="5"/>
        <v>7197200.0000000009</v>
      </c>
    </row>
    <row r="30" spans="2:20">
      <c r="B30" s="242"/>
      <c r="C30" s="242"/>
      <c r="D30" s="242"/>
      <c r="E30" s="242"/>
      <c r="F30" s="242"/>
      <c r="G30" s="242"/>
      <c r="H30" s="242"/>
      <c r="I30" s="242"/>
      <c r="J30" s="242"/>
      <c r="K30" s="242"/>
      <c r="L30" s="242"/>
      <c r="M30" s="242"/>
      <c r="N30" s="242"/>
    </row>
  </sheetData>
  <mergeCells count="3">
    <mergeCell ref="C15:E15"/>
    <mergeCell ref="F15:H15"/>
    <mergeCell ref="I15:K15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zoomScale="115" zoomScaleNormal="115" workbookViewId="0">
      <selection sqref="A1:T22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58"/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</row>
    <row r="2" spans="1:20">
      <c r="A2" s="259"/>
      <c r="B2" s="260"/>
      <c r="C2" s="260"/>
      <c r="D2" s="260"/>
      <c r="E2" s="260"/>
      <c r="F2" s="261"/>
      <c r="G2" s="260"/>
      <c r="H2" s="260"/>
      <c r="I2" s="260"/>
      <c r="J2" s="260"/>
      <c r="K2" s="260"/>
      <c r="L2" s="260"/>
      <c r="M2" s="260"/>
      <c r="N2" s="260"/>
      <c r="O2" s="260"/>
      <c r="P2" s="261"/>
      <c r="Q2" s="259"/>
      <c r="R2" s="259"/>
      <c r="S2" s="259"/>
      <c r="T2" s="259"/>
    </row>
    <row r="3" spans="1:20">
      <c r="A3" s="261"/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59"/>
    </row>
    <row r="4" spans="1:20" ht="15">
      <c r="A4" s="259"/>
      <c r="B4" s="262"/>
      <c r="C4" s="262"/>
      <c r="D4" s="262"/>
      <c r="E4" s="263"/>
      <c r="F4" s="263"/>
      <c r="G4" s="262"/>
      <c r="H4" s="262"/>
      <c r="I4" s="263"/>
      <c r="J4" s="262"/>
      <c r="K4" s="262"/>
      <c r="L4" s="263"/>
      <c r="M4" s="264"/>
      <c r="N4" s="264"/>
      <c r="O4" s="264"/>
      <c r="P4" s="261"/>
      <c r="Q4" s="265"/>
      <c r="R4" s="263"/>
      <c r="S4" s="263"/>
      <c r="T4" s="263"/>
    </row>
    <row r="5" spans="1:20" ht="15">
      <c r="A5" s="259"/>
      <c r="B5" s="262"/>
      <c r="C5" s="262"/>
      <c r="D5" s="262"/>
      <c r="E5" s="263"/>
      <c r="F5" s="263"/>
      <c r="G5" s="262"/>
      <c r="H5" s="262"/>
      <c r="I5" s="263"/>
      <c r="J5" s="262"/>
      <c r="K5" s="262"/>
      <c r="L5" s="263"/>
      <c r="M5" s="264"/>
      <c r="N5" s="264"/>
      <c r="O5" s="264"/>
      <c r="P5" s="264"/>
      <c r="Q5" s="265"/>
      <c r="R5" s="263"/>
      <c r="S5" s="263"/>
      <c r="T5" s="263"/>
    </row>
    <row r="6" spans="1:20" ht="15">
      <c r="A6" s="259"/>
      <c r="B6" s="262"/>
      <c r="C6" s="262"/>
      <c r="D6" s="262"/>
      <c r="E6" s="263"/>
      <c r="F6" s="263"/>
      <c r="G6" s="262"/>
      <c r="H6" s="262"/>
      <c r="I6" s="263"/>
      <c r="J6" s="262"/>
      <c r="K6" s="262"/>
      <c r="L6" s="263"/>
      <c r="M6" s="264"/>
      <c r="N6" s="264"/>
      <c r="O6" s="264"/>
      <c r="P6" s="264"/>
      <c r="Q6" s="265"/>
      <c r="R6" s="263"/>
      <c r="S6" s="263"/>
      <c r="T6" s="263"/>
    </row>
    <row r="7" spans="1:20" ht="15">
      <c r="A7" s="259"/>
      <c r="B7" s="262"/>
      <c r="C7" s="262"/>
      <c r="D7" s="262"/>
      <c r="E7" s="263"/>
      <c r="F7" s="263"/>
      <c r="G7" s="262"/>
      <c r="H7" s="262"/>
      <c r="I7" s="263"/>
      <c r="J7" s="262"/>
      <c r="K7" s="262"/>
      <c r="L7" s="263"/>
      <c r="M7" s="264"/>
      <c r="N7" s="264"/>
      <c r="O7" s="264"/>
      <c r="P7" s="264"/>
      <c r="Q7" s="265"/>
      <c r="R7" s="263"/>
      <c r="S7" s="263"/>
      <c r="T7" s="263"/>
    </row>
    <row r="8" spans="1:20" ht="15">
      <c r="A8" s="259"/>
      <c r="B8" s="262"/>
      <c r="C8" s="262"/>
      <c r="D8" s="262"/>
      <c r="E8" s="263"/>
      <c r="F8" s="263"/>
      <c r="G8" s="262"/>
      <c r="H8" s="262"/>
      <c r="I8" s="263"/>
      <c r="J8" s="262"/>
      <c r="K8" s="262"/>
      <c r="L8" s="263"/>
      <c r="M8" s="264"/>
      <c r="N8" s="264"/>
      <c r="O8" s="264"/>
      <c r="P8" s="264"/>
      <c r="Q8" s="265"/>
      <c r="R8" s="263"/>
      <c r="S8" s="263"/>
      <c r="T8" s="263"/>
    </row>
    <row r="9" spans="1:20" ht="15">
      <c r="A9" s="259"/>
      <c r="B9" s="262"/>
      <c r="C9" s="262"/>
      <c r="D9" s="262"/>
      <c r="E9" s="263"/>
      <c r="F9" s="263"/>
      <c r="G9" s="262"/>
      <c r="H9" s="262"/>
      <c r="I9" s="263"/>
      <c r="J9" s="262"/>
      <c r="K9" s="262"/>
      <c r="L9" s="263"/>
      <c r="M9" s="264"/>
      <c r="N9" s="264"/>
      <c r="O9" s="264"/>
      <c r="P9" s="264"/>
      <c r="Q9" s="265"/>
      <c r="R9" s="263"/>
      <c r="S9" s="263"/>
      <c r="T9" s="263"/>
    </row>
    <row r="10" spans="1:20" ht="15">
      <c r="A10" s="259"/>
      <c r="B10" s="262"/>
      <c r="C10" s="262"/>
      <c r="D10" s="262"/>
      <c r="E10" s="263"/>
      <c r="F10" s="263"/>
      <c r="G10" s="262"/>
      <c r="H10" s="262"/>
      <c r="I10" s="263"/>
      <c r="J10" s="262"/>
      <c r="K10" s="262"/>
      <c r="L10" s="263"/>
      <c r="M10" s="264"/>
      <c r="N10" s="264"/>
      <c r="O10" s="264"/>
      <c r="P10" s="264"/>
      <c r="Q10" s="265"/>
      <c r="R10" s="263"/>
      <c r="S10" s="263"/>
      <c r="T10" s="263"/>
    </row>
    <row r="11" spans="1:20" ht="15">
      <c r="A11" s="259"/>
      <c r="B11" s="262"/>
      <c r="C11" s="262"/>
      <c r="D11" s="262"/>
      <c r="E11" s="263"/>
      <c r="F11" s="263"/>
      <c r="G11" s="262"/>
      <c r="H11" s="262"/>
      <c r="I11" s="263"/>
      <c r="J11" s="262"/>
      <c r="K11" s="262"/>
      <c r="L11" s="263"/>
      <c r="M11" s="264"/>
      <c r="N11" s="264"/>
      <c r="O11" s="264"/>
      <c r="P11" s="264"/>
      <c r="Q11" s="265"/>
      <c r="R11" s="263"/>
      <c r="S11" s="263"/>
      <c r="T11" s="263"/>
    </row>
    <row r="12" spans="1:20">
      <c r="A12" s="259"/>
      <c r="B12" s="259"/>
      <c r="C12" s="259"/>
      <c r="D12" s="259"/>
      <c r="E12" s="259"/>
      <c r="F12" s="259"/>
      <c r="G12" s="259"/>
      <c r="H12" s="259"/>
      <c r="I12" s="259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259"/>
    </row>
    <row r="13" spans="1:20">
      <c r="A13" s="258"/>
      <c r="B13" s="260"/>
      <c r="C13" s="260"/>
      <c r="D13" s="260"/>
      <c r="E13" s="260"/>
      <c r="F13" s="261"/>
      <c r="G13" s="260"/>
      <c r="H13" s="260"/>
      <c r="I13" s="260"/>
      <c r="J13" s="260"/>
      <c r="K13" s="260"/>
      <c r="L13" s="260"/>
      <c r="M13" s="260"/>
      <c r="N13" s="260"/>
      <c r="O13" s="260"/>
      <c r="P13" s="261"/>
      <c r="Q13" s="259"/>
      <c r="R13" s="259"/>
      <c r="S13" s="259"/>
      <c r="T13" s="259"/>
    </row>
    <row r="14" spans="1:20">
      <c r="A14" s="261"/>
      <c r="B14" s="261"/>
      <c r="C14" s="261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59"/>
    </row>
    <row r="15" spans="1:20" ht="15">
      <c r="A15" s="259"/>
      <c r="B15" s="263"/>
      <c r="C15" s="263"/>
      <c r="D15" s="262"/>
      <c r="E15" s="263"/>
      <c r="F15" s="263"/>
      <c r="G15" s="263"/>
      <c r="H15" s="263"/>
      <c r="I15" s="263"/>
      <c r="J15" s="263"/>
      <c r="K15" s="263"/>
      <c r="L15" s="263"/>
      <c r="M15" s="264"/>
      <c r="N15" s="264"/>
      <c r="O15" s="264"/>
      <c r="P15" s="259"/>
      <c r="Q15" s="265"/>
      <c r="R15" s="263"/>
      <c r="S15" s="263"/>
      <c r="T15" s="263"/>
    </row>
    <row r="16" spans="1:20" ht="15">
      <c r="A16" s="259"/>
      <c r="B16" s="263"/>
      <c r="C16" s="263"/>
      <c r="D16" s="262"/>
      <c r="E16" s="263"/>
      <c r="F16" s="263"/>
      <c r="G16" s="263"/>
      <c r="H16" s="263"/>
      <c r="I16" s="263"/>
      <c r="J16" s="263"/>
      <c r="K16" s="263"/>
      <c r="L16" s="263"/>
      <c r="M16" s="264"/>
      <c r="N16" s="264"/>
      <c r="O16" s="264"/>
      <c r="P16" s="259"/>
      <c r="Q16" s="265"/>
      <c r="R16" s="263"/>
      <c r="S16" s="263"/>
      <c r="T16" s="263"/>
    </row>
    <row r="17" spans="1:20" ht="15">
      <c r="A17" s="259"/>
      <c r="B17" s="263"/>
      <c r="C17" s="263"/>
      <c r="D17" s="262"/>
      <c r="E17" s="263"/>
      <c r="F17" s="263"/>
      <c r="G17" s="263"/>
      <c r="H17" s="263"/>
      <c r="I17" s="263"/>
      <c r="J17" s="263"/>
      <c r="K17" s="263"/>
      <c r="L17" s="263"/>
      <c r="M17" s="264"/>
      <c r="N17" s="264"/>
      <c r="O17" s="264"/>
      <c r="P17" s="259"/>
      <c r="Q17" s="265"/>
      <c r="R17" s="263"/>
      <c r="S17" s="263"/>
      <c r="T17" s="263"/>
    </row>
    <row r="18" spans="1:20" ht="15">
      <c r="A18" s="259"/>
      <c r="B18" s="263"/>
      <c r="C18" s="263"/>
      <c r="D18" s="262"/>
      <c r="E18" s="263"/>
      <c r="F18" s="263"/>
      <c r="G18" s="263"/>
      <c r="H18" s="263"/>
      <c r="I18" s="263"/>
      <c r="J18" s="263"/>
      <c r="K18" s="263"/>
      <c r="L18" s="263"/>
      <c r="M18" s="264"/>
      <c r="N18" s="264"/>
      <c r="O18" s="264"/>
      <c r="P18" s="259"/>
      <c r="Q18" s="265"/>
      <c r="R18" s="263"/>
      <c r="S18" s="263"/>
      <c r="T18" s="263"/>
    </row>
    <row r="19" spans="1:20" ht="15">
      <c r="A19" s="259"/>
      <c r="B19" s="263"/>
      <c r="C19" s="263"/>
      <c r="D19" s="262"/>
      <c r="E19" s="263"/>
      <c r="F19" s="263"/>
      <c r="G19" s="263"/>
      <c r="H19" s="263"/>
      <c r="I19" s="263"/>
      <c r="J19" s="263"/>
      <c r="K19" s="263"/>
      <c r="L19" s="263"/>
      <c r="M19" s="264"/>
      <c r="N19" s="264"/>
      <c r="O19" s="264"/>
      <c r="P19" s="259"/>
      <c r="Q19" s="265"/>
      <c r="R19" s="263"/>
      <c r="S19" s="263"/>
      <c r="T19" s="263"/>
    </row>
    <row r="20" spans="1:20" ht="15">
      <c r="A20" s="259"/>
      <c r="B20" s="263"/>
      <c r="C20" s="263"/>
      <c r="D20" s="262"/>
      <c r="E20" s="263"/>
      <c r="F20" s="263"/>
      <c r="G20" s="263"/>
      <c r="H20" s="263"/>
      <c r="I20" s="263"/>
      <c r="J20" s="263"/>
      <c r="K20" s="263"/>
      <c r="L20" s="263"/>
      <c r="M20" s="264"/>
      <c r="N20" s="264"/>
      <c r="O20" s="264"/>
      <c r="P20" s="259"/>
      <c r="Q20" s="265"/>
      <c r="R20" s="263"/>
      <c r="S20" s="263"/>
      <c r="T20" s="263"/>
    </row>
    <row r="21" spans="1:20" ht="15">
      <c r="A21" s="259"/>
      <c r="B21" s="263"/>
      <c r="C21" s="263"/>
      <c r="D21" s="262"/>
      <c r="E21" s="263"/>
      <c r="F21" s="263"/>
      <c r="G21" s="263"/>
      <c r="H21" s="263"/>
      <c r="I21" s="263"/>
      <c r="J21" s="263"/>
      <c r="K21" s="263"/>
      <c r="L21" s="263"/>
      <c r="M21" s="264"/>
      <c r="N21" s="264"/>
      <c r="O21" s="264"/>
      <c r="P21" s="259"/>
      <c r="Q21" s="265"/>
      <c r="R21" s="263"/>
      <c r="S21" s="263"/>
      <c r="T21" s="263"/>
    </row>
    <row r="22" spans="1:20" ht="15">
      <c r="A22" s="259"/>
      <c r="B22" s="263"/>
      <c r="C22" s="263"/>
      <c r="D22" s="262"/>
      <c r="E22" s="263"/>
      <c r="F22" s="263"/>
      <c r="G22" s="263"/>
      <c r="H22" s="263"/>
      <c r="I22" s="263"/>
      <c r="J22" s="263"/>
      <c r="K22" s="263"/>
      <c r="L22" s="263"/>
      <c r="M22" s="264"/>
      <c r="N22" s="264"/>
      <c r="O22" s="264"/>
      <c r="P22" s="259"/>
      <c r="Q22" s="265"/>
      <c r="R22" s="263"/>
      <c r="S22" s="263"/>
      <c r="T22" s="263"/>
    </row>
    <row r="102" spans="3:32" s="195" customFormat="1">
      <c r="C102"/>
      <c r="D102"/>
    </row>
    <row r="103" spans="3:32" s="195" customFormat="1">
      <c r="C103"/>
      <c r="D103"/>
    </row>
    <row r="104" spans="3:32" s="195" customFormat="1">
      <c r="C104"/>
      <c r="D104"/>
    </row>
    <row r="105" spans="3:32" s="195" customFormat="1">
      <c r="C105"/>
      <c r="D105"/>
    </row>
    <row r="106" spans="3:32" s="195" customFormat="1">
      <c r="C106"/>
      <c r="D106"/>
    </row>
    <row r="107" spans="3:32"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</row>
    <row r="108" spans="3:32">
      <c r="E108" s="196"/>
      <c r="F108" s="196"/>
      <c r="G108" s="196"/>
      <c r="H108" s="196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  <c r="Y108" s="196"/>
      <c r="Z108" s="196"/>
      <c r="AA108" s="196"/>
      <c r="AB108" s="196"/>
      <c r="AC108" s="196"/>
      <c r="AD108" s="196"/>
      <c r="AE108" s="196"/>
      <c r="AF108" s="196"/>
    </row>
    <row r="109" spans="3:32"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</row>
    <row r="110" spans="3:32"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</row>
    <row r="111" spans="3:32">
      <c r="E111" s="196"/>
      <c r="F111" s="196"/>
      <c r="G111" s="196"/>
      <c r="H111" s="196"/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  <c r="Y111" s="196"/>
      <c r="Z111" s="196"/>
      <c r="AA111" s="196"/>
      <c r="AB111" s="196"/>
      <c r="AC111" s="196"/>
      <c r="AD111" s="196"/>
      <c r="AE111" s="196"/>
      <c r="AF111" s="196"/>
    </row>
    <row r="112" spans="3:32"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6"/>
      <c r="AA112" s="196"/>
      <c r="AB112" s="196"/>
      <c r="AC112" s="196"/>
      <c r="AD112" s="196"/>
      <c r="AE112" s="196"/>
      <c r="AF112" s="196"/>
    </row>
    <row r="113" spans="5:32"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6"/>
      <c r="AB113" s="196"/>
      <c r="AC113" s="196"/>
      <c r="AD113" s="196"/>
      <c r="AE113" s="196"/>
      <c r="AF113" s="196"/>
    </row>
    <row r="114" spans="5:32"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6"/>
      <c r="X114" s="196"/>
      <c r="Y114" s="196"/>
      <c r="Z114" s="196"/>
      <c r="AA114" s="196"/>
      <c r="AB114" s="196"/>
      <c r="AC114" s="196"/>
      <c r="AD114" s="196"/>
      <c r="AE114" s="196"/>
      <c r="AF114" s="196"/>
    </row>
    <row r="115" spans="5:32">
      <c r="E115" s="196"/>
      <c r="F115" s="196"/>
      <c r="G115" s="196"/>
      <c r="H115" s="196"/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</row>
    <row r="116" spans="5:32"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</row>
    <row r="117" spans="5:32"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</row>
    <row r="118" spans="5:32"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  <c r="AD118" s="196"/>
      <c r="AE118" s="196"/>
      <c r="AF118" s="196"/>
    </row>
    <row r="119" spans="5:32"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  <c r="AD119" s="196"/>
      <c r="AE119" s="196"/>
      <c r="AF119" s="196"/>
    </row>
    <row r="120" spans="5:32"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</row>
    <row r="121" spans="5:32"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</row>
    <row r="122" spans="5:32"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</row>
    <row r="123" spans="5:32"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</row>
    <row r="124" spans="5:32"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</row>
    <row r="125" spans="5:32"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</row>
    <row r="126" spans="5:32"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</row>
    <row r="127" spans="5:32"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</row>
    <row r="128" spans="5:32"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</row>
    <row r="129" spans="3:32"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</row>
    <row r="130" spans="3:32"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</row>
    <row r="131" spans="3:32"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</row>
    <row r="132" spans="3:32"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</row>
    <row r="133" spans="3:32"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</row>
    <row r="134" spans="3:32"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</row>
    <row r="135" spans="3:32"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</row>
    <row r="136" spans="3:32"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</row>
    <row r="137" spans="3:32" s="195" customFormat="1">
      <c r="C137"/>
      <c r="D137"/>
    </row>
    <row r="138" spans="3:32" s="195" customFormat="1">
      <c r="C138"/>
      <c r="D138"/>
    </row>
    <row r="139" spans="3:32" s="195" customFormat="1">
      <c r="C139"/>
      <c r="D139"/>
    </row>
    <row r="140" spans="3:32" s="195" customFormat="1">
      <c r="C140"/>
      <c r="D140"/>
    </row>
    <row r="141" spans="3:32" s="195" customFormat="1">
      <c r="C141"/>
      <c r="D141"/>
    </row>
    <row r="172" spans="3:4" s="197" customFormat="1">
      <c r="C172"/>
      <c r="D172"/>
    </row>
    <row r="173" spans="3:4" s="197" customFormat="1">
      <c r="C173"/>
      <c r="D173"/>
    </row>
    <row r="174" spans="3:4" s="197" customFormat="1">
      <c r="C174"/>
      <c r="D174"/>
    </row>
    <row r="175" spans="3:4" s="197" customFormat="1">
      <c r="C175"/>
      <c r="D175"/>
    </row>
    <row r="176" spans="3:4" s="197" customFormat="1">
      <c r="C176" s="198"/>
      <c r="D176" s="198"/>
    </row>
    <row r="247" spans="5:32">
      <c r="E247" s="196"/>
      <c r="F247" s="196"/>
      <c r="G247" s="196"/>
      <c r="H247" s="196"/>
      <c r="I247" s="196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6"/>
      <c r="Y247" s="196"/>
      <c r="Z247" s="196"/>
      <c r="AA247" s="196"/>
      <c r="AB247" s="196"/>
      <c r="AC247" s="196"/>
      <c r="AD247" s="196"/>
      <c r="AE247" s="196"/>
      <c r="AF247" s="196"/>
    </row>
    <row r="248" spans="5:32">
      <c r="E248" s="196"/>
      <c r="F248" s="196"/>
      <c r="G248" s="196"/>
      <c r="H248" s="196"/>
      <c r="I248" s="196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6"/>
      <c r="Y248" s="196"/>
      <c r="Z248" s="196"/>
      <c r="AA248" s="196"/>
      <c r="AB248" s="196"/>
      <c r="AC248" s="196"/>
      <c r="AD248" s="196"/>
      <c r="AE248" s="196"/>
      <c r="AF248" s="196"/>
    </row>
    <row r="249" spans="5:32">
      <c r="E249" s="196"/>
      <c r="F249" s="196"/>
      <c r="G249" s="196"/>
      <c r="H249" s="196"/>
      <c r="I249" s="196"/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6"/>
      <c r="Y249" s="196"/>
      <c r="Z249" s="196"/>
      <c r="AA249" s="196"/>
      <c r="AB249" s="196"/>
      <c r="AC249" s="196"/>
      <c r="AD249" s="196"/>
      <c r="AE249" s="196"/>
      <c r="AF249" s="196"/>
    </row>
    <row r="250" spans="5:32">
      <c r="E250" s="196"/>
      <c r="F250" s="196"/>
      <c r="G250" s="196"/>
      <c r="H250" s="196"/>
      <c r="I250" s="196"/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6"/>
      <c r="Y250" s="196"/>
      <c r="Z250" s="196"/>
      <c r="AA250" s="196"/>
      <c r="AB250" s="196"/>
      <c r="AC250" s="196"/>
      <c r="AD250" s="196"/>
      <c r="AE250" s="196"/>
      <c r="AF250" s="196"/>
    </row>
    <row r="251" spans="5:32">
      <c r="E251" s="196"/>
      <c r="F251" s="196"/>
      <c r="G251" s="196"/>
      <c r="H251" s="196"/>
      <c r="I251" s="196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6"/>
      <c r="Y251" s="196"/>
      <c r="Z251" s="196"/>
      <c r="AA251" s="196"/>
      <c r="AB251" s="196"/>
      <c r="AC251" s="196"/>
      <c r="AD251" s="196"/>
      <c r="AE251" s="196"/>
      <c r="AF251" s="196"/>
    </row>
    <row r="252" spans="5:32">
      <c r="E252" s="196"/>
      <c r="F252" s="196"/>
      <c r="G252" s="196"/>
      <c r="H252" s="196"/>
      <c r="I252" s="196"/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6"/>
      <c r="Y252" s="196"/>
      <c r="Z252" s="196"/>
      <c r="AA252" s="196"/>
      <c r="AB252" s="196"/>
      <c r="AC252" s="196"/>
      <c r="AD252" s="196"/>
      <c r="AE252" s="196"/>
      <c r="AF252" s="196"/>
    </row>
    <row r="253" spans="5:32">
      <c r="E253" s="196"/>
      <c r="F253" s="196"/>
      <c r="G253" s="196"/>
      <c r="H253" s="196"/>
      <c r="I253" s="196"/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6"/>
      <c r="Y253" s="196"/>
      <c r="Z253" s="196"/>
      <c r="AA253" s="196"/>
      <c r="AB253" s="196"/>
      <c r="AC253" s="196"/>
      <c r="AD253" s="196"/>
      <c r="AE253" s="196"/>
      <c r="AF253" s="196"/>
    </row>
    <row r="254" spans="5:32">
      <c r="E254" s="196"/>
      <c r="F254" s="196"/>
      <c r="G254" s="196"/>
      <c r="H254" s="196"/>
      <c r="I254" s="196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6"/>
      <c r="Y254" s="196"/>
      <c r="Z254" s="196"/>
      <c r="AA254" s="196"/>
      <c r="AB254" s="196"/>
      <c r="AC254" s="196"/>
      <c r="AD254" s="196"/>
      <c r="AE254" s="196"/>
      <c r="AF254" s="196"/>
    </row>
    <row r="255" spans="5:32">
      <c r="E255" s="196"/>
      <c r="F255" s="196"/>
      <c r="G255" s="196"/>
      <c r="H255" s="196"/>
      <c r="I255" s="196"/>
      <c r="J255" s="196"/>
      <c r="K255" s="196"/>
      <c r="L255" s="196"/>
      <c r="M255" s="196"/>
      <c r="N255" s="196"/>
      <c r="O255" s="196"/>
      <c r="P255" s="196"/>
      <c r="Q255" s="196"/>
      <c r="R255" s="196"/>
      <c r="S255" s="196"/>
      <c r="T255" s="196"/>
      <c r="U255" s="196"/>
      <c r="V255" s="196"/>
      <c r="W255" s="196"/>
      <c r="X255" s="196"/>
      <c r="Y255" s="196"/>
      <c r="Z255" s="196"/>
      <c r="AA255" s="196"/>
      <c r="AB255" s="196"/>
      <c r="AC255" s="196"/>
      <c r="AD255" s="196"/>
      <c r="AE255" s="196"/>
      <c r="AF255" s="196"/>
    </row>
    <row r="256" spans="5:32">
      <c r="E256" s="196"/>
      <c r="F256" s="196"/>
      <c r="G256" s="196"/>
      <c r="H256" s="196"/>
      <c r="I256" s="196"/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6"/>
      <c r="Y256" s="196"/>
      <c r="Z256" s="196"/>
      <c r="AA256" s="196"/>
      <c r="AB256" s="196"/>
      <c r="AC256" s="196"/>
      <c r="AD256" s="196"/>
      <c r="AE256" s="196"/>
      <c r="AF256" s="196"/>
    </row>
    <row r="257" spans="5:32">
      <c r="E257" s="196"/>
      <c r="F257" s="196"/>
      <c r="G257" s="196"/>
      <c r="H257" s="196"/>
      <c r="I257" s="196"/>
      <c r="J257" s="196"/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6"/>
      <c r="X257" s="196"/>
      <c r="Y257" s="196"/>
      <c r="Z257" s="196"/>
      <c r="AA257" s="196"/>
      <c r="AB257" s="196"/>
      <c r="AC257" s="196"/>
      <c r="AD257" s="196"/>
      <c r="AE257" s="196"/>
      <c r="AF257" s="196"/>
    </row>
    <row r="258" spans="5:32">
      <c r="E258" s="196"/>
      <c r="F258" s="196"/>
      <c r="G258" s="196"/>
      <c r="H258" s="196"/>
      <c r="I258" s="196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6"/>
      <c r="Y258" s="196"/>
      <c r="Z258" s="196"/>
      <c r="AA258" s="196"/>
      <c r="AB258" s="196"/>
      <c r="AC258" s="196"/>
      <c r="AD258" s="196"/>
      <c r="AE258" s="196"/>
      <c r="AF258" s="196"/>
    </row>
    <row r="259" spans="5:32">
      <c r="E259" s="196"/>
      <c r="F259" s="196"/>
      <c r="G259" s="196"/>
      <c r="H259" s="196"/>
      <c r="I259" s="196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6"/>
      <c r="Y259" s="196"/>
      <c r="Z259" s="196"/>
      <c r="AA259" s="196"/>
      <c r="AB259" s="196"/>
      <c r="AC259" s="196"/>
      <c r="AD259" s="196"/>
      <c r="AE259" s="196"/>
      <c r="AF259" s="196"/>
    </row>
    <row r="260" spans="5:32">
      <c r="E260" s="196"/>
      <c r="F260" s="196"/>
      <c r="G260" s="196"/>
      <c r="H260" s="196"/>
      <c r="I260" s="196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6"/>
      <c r="Y260" s="196"/>
      <c r="Z260" s="196"/>
      <c r="AA260" s="196"/>
      <c r="AB260" s="196"/>
      <c r="AC260" s="196"/>
      <c r="AD260" s="196"/>
      <c r="AE260" s="196"/>
      <c r="AF260" s="196"/>
    </row>
    <row r="261" spans="5:32">
      <c r="E261" s="196"/>
      <c r="F261" s="196"/>
      <c r="G261" s="196"/>
      <c r="H261" s="196"/>
      <c r="I261" s="196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6"/>
      <c r="Y261" s="196"/>
      <c r="Z261" s="196"/>
      <c r="AA261" s="196"/>
      <c r="AB261" s="196"/>
      <c r="AC261" s="196"/>
      <c r="AD261" s="196"/>
      <c r="AE261" s="196"/>
      <c r="AF261" s="196"/>
    </row>
    <row r="262" spans="5:32">
      <c r="E262" s="196"/>
      <c r="F262" s="196"/>
      <c r="G262" s="196"/>
      <c r="H262" s="196"/>
      <c r="I262" s="196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6"/>
      <c r="Y262" s="196"/>
      <c r="Z262" s="196"/>
      <c r="AA262" s="196"/>
      <c r="AB262" s="196"/>
      <c r="AC262" s="196"/>
      <c r="AD262" s="196"/>
      <c r="AE262" s="196"/>
      <c r="AF262" s="196"/>
    </row>
    <row r="263" spans="5:32">
      <c r="E263" s="196"/>
      <c r="F263" s="196"/>
      <c r="G263" s="196"/>
      <c r="H263" s="196"/>
      <c r="I263" s="196"/>
      <c r="J263" s="196"/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6"/>
      <c r="X263" s="196"/>
      <c r="Y263" s="196"/>
      <c r="Z263" s="196"/>
      <c r="AA263" s="196"/>
      <c r="AB263" s="196"/>
      <c r="AC263" s="196"/>
      <c r="AD263" s="196"/>
      <c r="AE263" s="196"/>
      <c r="AF263" s="196"/>
    </row>
    <row r="264" spans="5:32">
      <c r="E264" s="196"/>
      <c r="F264" s="196"/>
      <c r="G264" s="196"/>
      <c r="H264" s="196"/>
      <c r="I264" s="196"/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6"/>
      <c r="Y264" s="196"/>
      <c r="Z264" s="196"/>
      <c r="AA264" s="196"/>
      <c r="AB264" s="196"/>
      <c r="AC264" s="196"/>
      <c r="AD264" s="196"/>
      <c r="AE264" s="196"/>
      <c r="AF264" s="196"/>
    </row>
    <row r="265" spans="5:32">
      <c r="E265" s="196"/>
      <c r="F265" s="196"/>
      <c r="G265" s="196"/>
      <c r="H265" s="196"/>
      <c r="I265" s="196"/>
      <c r="J265" s="196"/>
      <c r="K265" s="196"/>
      <c r="L265" s="196"/>
      <c r="M265" s="196"/>
      <c r="N265" s="196"/>
      <c r="O265" s="196"/>
      <c r="P265" s="196"/>
      <c r="Q265" s="196"/>
      <c r="R265" s="196"/>
      <c r="S265" s="196"/>
      <c r="T265" s="196"/>
      <c r="U265" s="196"/>
      <c r="V265" s="196"/>
      <c r="W265" s="196"/>
      <c r="X265" s="196"/>
      <c r="Y265" s="196"/>
      <c r="Z265" s="196"/>
      <c r="AA265" s="196"/>
      <c r="AB265" s="196"/>
      <c r="AC265" s="196"/>
      <c r="AD265" s="196"/>
      <c r="AE265" s="196"/>
      <c r="AF265" s="196"/>
    </row>
    <row r="266" spans="5:32">
      <c r="E266" s="196"/>
      <c r="F266" s="196"/>
      <c r="G266" s="196"/>
      <c r="H266" s="196"/>
      <c r="I266" s="196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6"/>
      <c r="Y266" s="196"/>
      <c r="Z266" s="196"/>
      <c r="AA266" s="196"/>
      <c r="AB266" s="196"/>
      <c r="AC266" s="196"/>
      <c r="AD266" s="196"/>
      <c r="AE266" s="196"/>
      <c r="AF266" s="196"/>
    </row>
    <row r="267" spans="5:32">
      <c r="E267" s="196"/>
      <c r="F267" s="196"/>
      <c r="G267" s="196"/>
      <c r="H267" s="196"/>
      <c r="I267" s="196"/>
      <c r="J267" s="196"/>
      <c r="K267" s="196"/>
      <c r="L267" s="196"/>
      <c r="M267" s="196"/>
      <c r="N267" s="196"/>
      <c r="O267" s="196"/>
      <c r="P267" s="196"/>
      <c r="Q267" s="196"/>
      <c r="R267" s="196"/>
      <c r="S267" s="196"/>
      <c r="T267" s="196"/>
      <c r="U267" s="196"/>
      <c r="V267" s="196"/>
      <c r="W267" s="196"/>
      <c r="X267" s="196"/>
      <c r="Y267" s="196"/>
      <c r="Z267" s="196"/>
      <c r="AA267" s="196"/>
      <c r="AB267" s="196"/>
      <c r="AC267" s="196"/>
      <c r="AD267" s="196"/>
      <c r="AE267" s="196"/>
      <c r="AF267" s="196"/>
    </row>
    <row r="268" spans="5:32">
      <c r="E268" s="196"/>
      <c r="F268" s="196"/>
      <c r="G268" s="196"/>
      <c r="H268" s="196"/>
      <c r="I268" s="196"/>
      <c r="J268" s="196"/>
      <c r="K268" s="196"/>
      <c r="L268" s="196"/>
      <c r="M268" s="196"/>
      <c r="N268" s="196"/>
      <c r="O268" s="196"/>
      <c r="P268" s="196"/>
      <c r="Q268" s="196"/>
      <c r="R268" s="196"/>
      <c r="S268" s="196"/>
      <c r="T268" s="196"/>
      <c r="U268" s="196"/>
      <c r="V268" s="196"/>
      <c r="W268" s="196"/>
      <c r="X268" s="196"/>
      <c r="Y268" s="196"/>
      <c r="Z268" s="196"/>
      <c r="AA268" s="196"/>
      <c r="AB268" s="196"/>
      <c r="AC268" s="196"/>
      <c r="AD268" s="196"/>
      <c r="AE268" s="196"/>
      <c r="AF268" s="196"/>
    </row>
    <row r="269" spans="5:32">
      <c r="E269" s="196"/>
      <c r="F269" s="196"/>
      <c r="G269" s="196"/>
      <c r="H269" s="196"/>
      <c r="I269" s="196"/>
      <c r="J269" s="196"/>
      <c r="K269" s="196"/>
      <c r="L269" s="196"/>
      <c r="M269" s="196"/>
      <c r="N269" s="196"/>
      <c r="O269" s="196"/>
      <c r="P269" s="196"/>
      <c r="Q269" s="196"/>
      <c r="R269" s="196"/>
      <c r="S269" s="196"/>
      <c r="T269" s="196"/>
      <c r="U269" s="196"/>
      <c r="V269" s="196"/>
      <c r="W269" s="196"/>
      <c r="X269" s="196"/>
      <c r="Y269" s="196"/>
      <c r="Z269" s="196"/>
      <c r="AA269" s="196"/>
      <c r="AB269" s="196"/>
      <c r="AC269" s="196"/>
      <c r="AD269" s="196"/>
      <c r="AE269" s="196"/>
      <c r="AF269" s="196"/>
    </row>
    <row r="270" spans="5:32">
      <c r="E270" s="196"/>
      <c r="F270" s="196"/>
      <c r="G270" s="196"/>
      <c r="H270" s="196"/>
      <c r="I270" s="196"/>
      <c r="J270" s="196"/>
      <c r="K270" s="196"/>
      <c r="L270" s="196"/>
      <c r="M270" s="196"/>
      <c r="N270" s="196"/>
      <c r="O270" s="196"/>
      <c r="P270" s="196"/>
      <c r="Q270" s="196"/>
      <c r="R270" s="196"/>
      <c r="S270" s="196"/>
      <c r="T270" s="196"/>
      <c r="U270" s="196"/>
      <c r="V270" s="196"/>
      <c r="W270" s="196"/>
      <c r="X270" s="196"/>
      <c r="Y270" s="196"/>
      <c r="Z270" s="196"/>
      <c r="AA270" s="196"/>
      <c r="AB270" s="196"/>
      <c r="AC270" s="196"/>
      <c r="AD270" s="196"/>
      <c r="AE270" s="196"/>
      <c r="AF270" s="196"/>
    </row>
    <row r="271" spans="5:32">
      <c r="E271" s="196"/>
      <c r="F271" s="196"/>
      <c r="G271" s="196"/>
      <c r="H271" s="196"/>
      <c r="I271" s="196"/>
      <c r="J271" s="196"/>
      <c r="K271" s="196"/>
      <c r="L271" s="196"/>
      <c r="M271" s="196"/>
      <c r="N271" s="196"/>
      <c r="O271" s="196"/>
      <c r="P271" s="196"/>
      <c r="Q271" s="196"/>
      <c r="R271" s="196"/>
      <c r="S271" s="196"/>
      <c r="T271" s="196"/>
      <c r="U271" s="196"/>
      <c r="V271" s="196"/>
      <c r="W271" s="196"/>
      <c r="X271" s="196"/>
      <c r="Y271" s="196"/>
      <c r="Z271" s="196"/>
      <c r="AA271" s="196"/>
      <c r="AB271" s="196"/>
      <c r="AC271" s="196"/>
      <c r="AD271" s="196"/>
      <c r="AE271" s="196"/>
      <c r="AF271" s="196"/>
    </row>
    <row r="272" spans="5:32">
      <c r="E272" s="196"/>
      <c r="F272" s="196"/>
      <c r="G272" s="196"/>
      <c r="H272" s="196"/>
      <c r="I272" s="196"/>
      <c r="J272" s="196"/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6"/>
      <c r="X272" s="196"/>
      <c r="Y272" s="196"/>
      <c r="Z272" s="196"/>
      <c r="AA272" s="196"/>
      <c r="AB272" s="196"/>
      <c r="AC272" s="196"/>
      <c r="AD272" s="196"/>
      <c r="AE272" s="196"/>
      <c r="AF272" s="196"/>
    </row>
    <row r="273" spans="3:32">
      <c r="E273" s="196"/>
      <c r="F273" s="196"/>
      <c r="G273" s="196"/>
      <c r="H273" s="196"/>
      <c r="I273" s="196"/>
      <c r="J273" s="196"/>
      <c r="K273" s="196"/>
      <c r="L273" s="196"/>
      <c r="M273" s="196"/>
      <c r="N273" s="196"/>
      <c r="O273" s="196"/>
      <c r="P273" s="196"/>
      <c r="Q273" s="196"/>
      <c r="R273" s="196"/>
      <c r="S273" s="196"/>
      <c r="T273" s="196"/>
      <c r="U273" s="196"/>
      <c r="V273" s="196"/>
      <c r="W273" s="196"/>
      <c r="X273" s="196"/>
      <c r="Y273" s="196"/>
      <c r="Z273" s="196"/>
      <c r="AA273" s="196"/>
      <c r="AB273" s="196"/>
      <c r="AC273" s="196"/>
      <c r="AD273" s="196"/>
      <c r="AE273" s="196"/>
      <c r="AF273" s="196"/>
    </row>
    <row r="274" spans="3:32">
      <c r="E274" s="196"/>
      <c r="F274" s="196"/>
      <c r="G274" s="196"/>
      <c r="H274" s="196"/>
      <c r="I274" s="196"/>
      <c r="J274" s="196"/>
      <c r="K274" s="196"/>
      <c r="L274" s="196"/>
      <c r="M274" s="196"/>
      <c r="N274" s="196"/>
      <c r="O274" s="196"/>
      <c r="P274" s="196"/>
      <c r="Q274" s="196"/>
      <c r="R274" s="196"/>
      <c r="S274" s="196"/>
      <c r="T274" s="196"/>
      <c r="U274" s="196"/>
      <c r="V274" s="196"/>
      <c r="W274" s="196"/>
      <c r="X274" s="196"/>
      <c r="Y274" s="196"/>
      <c r="Z274" s="196"/>
      <c r="AA274" s="196"/>
      <c r="AB274" s="196"/>
      <c r="AC274" s="196"/>
      <c r="AD274" s="196"/>
      <c r="AE274" s="196"/>
      <c r="AF274" s="196"/>
    </row>
    <row r="275" spans="3:32">
      <c r="E275" s="196"/>
      <c r="F275" s="196"/>
      <c r="G275" s="196"/>
      <c r="H275" s="196"/>
      <c r="I275" s="196"/>
      <c r="J275" s="196"/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6"/>
      <c r="X275" s="196"/>
      <c r="Y275" s="196"/>
      <c r="Z275" s="196"/>
      <c r="AA275" s="196"/>
      <c r="AB275" s="196"/>
      <c r="AC275" s="196"/>
      <c r="AD275" s="196"/>
      <c r="AE275" s="196"/>
      <c r="AF275" s="196"/>
    </row>
    <row r="276" spans="3:32">
      <c r="E276" s="196"/>
      <c r="F276" s="196"/>
      <c r="G276" s="196"/>
      <c r="H276" s="196"/>
      <c r="I276" s="196"/>
      <c r="J276" s="196"/>
      <c r="K276" s="196"/>
      <c r="L276" s="196"/>
      <c r="M276" s="196"/>
      <c r="N276" s="196"/>
      <c r="O276" s="196"/>
      <c r="P276" s="196"/>
      <c r="Q276" s="196"/>
      <c r="R276" s="196"/>
      <c r="S276" s="196"/>
      <c r="T276" s="196"/>
      <c r="U276" s="196"/>
      <c r="V276" s="196"/>
      <c r="W276" s="196"/>
      <c r="X276" s="196"/>
      <c r="Y276" s="196"/>
      <c r="Z276" s="196"/>
      <c r="AA276" s="196"/>
      <c r="AB276" s="196"/>
      <c r="AC276" s="196"/>
      <c r="AD276" s="196"/>
      <c r="AE276" s="196"/>
      <c r="AF276" s="196"/>
    </row>
    <row r="277" spans="3:32" s="199" customFormat="1">
      <c r="C277"/>
      <c r="D277"/>
    </row>
    <row r="278" spans="3:32" s="199" customFormat="1">
      <c r="C278"/>
      <c r="D278"/>
    </row>
    <row r="279" spans="3:32" s="199" customFormat="1">
      <c r="C279"/>
      <c r="D279"/>
    </row>
    <row r="280" spans="3:32" s="199" customFormat="1">
      <c r="C280"/>
      <c r="D280"/>
    </row>
    <row r="281" spans="3:32" s="199" customFormat="1">
      <c r="C281" s="198"/>
      <c r="D281" s="198"/>
    </row>
    <row r="282" spans="3:32">
      <c r="E282" s="196"/>
      <c r="F282" s="196"/>
      <c r="G282" s="196"/>
      <c r="H282" s="196"/>
      <c r="I282" s="196"/>
      <c r="J282" s="196"/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6"/>
      <c r="X282" s="196"/>
      <c r="Y282" s="196"/>
      <c r="Z282" s="196"/>
      <c r="AA282" s="196"/>
      <c r="AB282" s="196"/>
      <c r="AC282" s="196"/>
      <c r="AD282" s="196"/>
      <c r="AE282" s="196"/>
    </row>
    <row r="283" spans="3:32">
      <c r="E283" s="196"/>
      <c r="F283" s="196"/>
      <c r="G283" s="196"/>
      <c r="H283" s="196"/>
      <c r="I283" s="196"/>
      <c r="J283" s="196"/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6"/>
      <c r="X283" s="196"/>
      <c r="Y283" s="196"/>
      <c r="Z283" s="196"/>
      <c r="AA283" s="196"/>
      <c r="AB283" s="196"/>
      <c r="AC283" s="196"/>
      <c r="AD283" s="196"/>
      <c r="AE283" s="196"/>
    </row>
    <row r="284" spans="3:32">
      <c r="E284" s="196"/>
      <c r="F284" s="196"/>
      <c r="G284" s="196"/>
      <c r="H284" s="196"/>
      <c r="I284" s="196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6"/>
      <c r="Y284" s="196"/>
      <c r="Z284" s="196"/>
      <c r="AA284" s="196"/>
      <c r="AB284" s="196"/>
      <c r="AC284" s="196"/>
      <c r="AD284" s="196"/>
      <c r="AE284" s="196"/>
    </row>
    <row r="285" spans="3:32">
      <c r="E285" s="196"/>
      <c r="F285" s="196"/>
      <c r="G285" s="196"/>
      <c r="H285" s="196"/>
      <c r="I285" s="196"/>
      <c r="J285" s="196"/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196"/>
      <c r="X285" s="196"/>
      <c r="Y285" s="196"/>
      <c r="Z285" s="196"/>
      <c r="AA285" s="196"/>
      <c r="AB285" s="196"/>
      <c r="AC285" s="196"/>
      <c r="AD285" s="196"/>
      <c r="AE285" s="196"/>
    </row>
    <row r="286" spans="3:32">
      <c r="E286" s="196"/>
      <c r="F286" s="196"/>
      <c r="G286" s="196"/>
      <c r="H286" s="196"/>
      <c r="I286" s="196"/>
      <c r="J286" s="196"/>
      <c r="K286" s="196"/>
      <c r="L286" s="196"/>
      <c r="M286" s="196"/>
      <c r="N286" s="196"/>
      <c r="O286" s="196"/>
      <c r="P286" s="196"/>
      <c r="Q286" s="196"/>
      <c r="R286" s="196"/>
      <c r="S286" s="196"/>
      <c r="T286" s="196"/>
      <c r="U286" s="196"/>
      <c r="V286" s="196"/>
      <c r="W286" s="196"/>
      <c r="X286" s="196"/>
      <c r="Y286" s="196"/>
      <c r="Z286" s="196"/>
      <c r="AA286" s="196"/>
      <c r="AB286" s="196"/>
      <c r="AC286" s="196"/>
      <c r="AD286" s="196"/>
      <c r="AE286" s="196"/>
    </row>
    <row r="287" spans="3:32">
      <c r="E287" s="196"/>
      <c r="F287" s="196"/>
      <c r="G287" s="196"/>
      <c r="H287" s="196"/>
      <c r="I287" s="196"/>
      <c r="J287" s="196"/>
      <c r="K287" s="196"/>
      <c r="L287" s="196"/>
      <c r="M287" s="196"/>
      <c r="N287" s="196"/>
      <c r="O287" s="196"/>
      <c r="P287" s="196"/>
      <c r="Q287" s="196"/>
      <c r="R287" s="196"/>
      <c r="S287" s="196"/>
      <c r="T287" s="196"/>
      <c r="U287" s="196"/>
      <c r="V287" s="196"/>
      <c r="W287" s="196"/>
      <c r="X287" s="196"/>
      <c r="Y287" s="196"/>
      <c r="Z287" s="196"/>
      <c r="AA287" s="196"/>
      <c r="AB287" s="196"/>
      <c r="AC287" s="196"/>
      <c r="AD287" s="196"/>
      <c r="AE287" s="196"/>
    </row>
    <row r="288" spans="3:32">
      <c r="E288" s="196"/>
      <c r="F288" s="196"/>
      <c r="G288" s="196"/>
      <c r="H288" s="196"/>
      <c r="I288" s="196"/>
      <c r="J288" s="196"/>
      <c r="K288" s="196"/>
      <c r="L288" s="196"/>
      <c r="M288" s="196"/>
      <c r="N288" s="196"/>
      <c r="O288" s="196"/>
      <c r="P288" s="196"/>
      <c r="Q288" s="196"/>
      <c r="R288" s="196"/>
      <c r="S288" s="196"/>
      <c r="T288" s="196"/>
      <c r="U288" s="196"/>
      <c r="V288" s="196"/>
      <c r="W288" s="196"/>
      <c r="X288" s="196"/>
      <c r="Y288" s="196"/>
      <c r="Z288" s="196"/>
      <c r="AA288" s="196"/>
      <c r="AB288" s="196"/>
      <c r="AC288" s="196"/>
      <c r="AD288" s="196"/>
      <c r="AE288" s="196"/>
    </row>
    <row r="289" spans="5:31">
      <c r="E289" s="196"/>
      <c r="F289" s="196"/>
      <c r="G289" s="196"/>
      <c r="H289" s="196"/>
      <c r="I289" s="196"/>
      <c r="J289" s="196"/>
      <c r="K289" s="196"/>
      <c r="L289" s="196"/>
      <c r="M289" s="196"/>
      <c r="N289" s="196"/>
      <c r="O289" s="196"/>
      <c r="P289" s="196"/>
      <c r="Q289" s="196"/>
      <c r="R289" s="196"/>
      <c r="S289" s="196"/>
      <c r="T289" s="196"/>
      <c r="U289" s="196"/>
      <c r="V289" s="196"/>
      <c r="W289" s="196"/>
      <c r="X289" s="196"/>
      <c r="Y289" s="196"/>
      <c r="Z289" s="196"/>
      <c r="AA289" s="196"/>
      <c r="AB289" s="196"/>
      <c r="AC289" s="196"/>
      <c r="AD289" s="196"/>
      <c r="AE289" s="196"/>
    </row>
    <row r="290" spans="5:31">
      <c r="E290" s="196"/>
      <c r="F290" s="196"/>
      <c r="G290" s="196"/>
      <c r="H290" s="196"/>
      <c r="I290" s="196"/>
      <c r="J290" s="196"/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6"/>
      <c r="X290" s="196"/>
      <c r="Y290" s="196"/>
      <c r="Z290" s="196"/>
      <c r="AA290" s="196"/>
      <c r="AB290" s="196"/>
      <c r="AC290" s="196"/>
      <c r="AD290" s="196"/>
      <c r="AE290" s="196"/>
    </row>
    <row r="291" spans="5:31">
      <c r="E291" s="196"/>
      <c r="F291" s="196"/>
      <c r="G291" s="196"/>
      <c r="H291" s="196"/>
      <c r="I291" s="196"/>
      <c r="J291" s="196"/>
      <c r="K291" s="196"/>
      <c r="L291" s="196"/>
      <c r="M291" s="196"/>
      <c r="N291" s="196"/>
      <c r="O291" s="196"/>
      <c r="P291" s="196"/>
      <c r="Q291" s="196"/>
      <c r="R291" s="196"/>
      <c r="S291" s="196"/>
      <c r="T291" s="196"/>
      <c r="U291" s="196"/>
      <c r="V291" s="196"/>
      <c r="W291" s="196"/>
      <c r="X291" s="196"/>
      <c r="Y291" s="196"/>
      <c r="Z291" s="196"/>
      <c r="AA291" s="196"/>
      <c r="AB291" s="196"/>
      <c r="AC291" s="196"/>
      <c r="AD291" s="196"/>
      <c r="AE291" s="196"/>
    </row>
    <row r="292" spans="5:31">
      <c r="E292" s="196"/>
      <c r="F292" s="196"/>
      <c r="G292" s="196"/>
      <c r="H292" s="196"/>
      <c r="I292" s="196"/>
      <c r="J292" s="196"/>
      <c r="K292" s="196"/>
      <c r="L292" s="196"/>
      <c r="M292" s="196"/>
      <c r="N292" s="196"/>
      <c r="O292" s="196"/>
      <c r="P292" s="196"/>
      <c r="Q292" s="196"/>
      <c r="R292" s="196"/>
      <c r="S292" s="196"/>
      <c r="T292" s="196"/>
      <c r="U292" s="196"/>
      <c r="V292" s="196"/>
      <c r="W292" s="196"/>
      <c r="X292" s="196"/>
      <c r="Y292" s="196"/>
      <c r="Z292" s="196"/>
      <c r="AA292" s="196"/>
      <c r="AB292" s="196"/>
      <c r="AC292" s="196"/>
      <c r="AD292" s="196"/>
      <c r="AE292" s="196"/>
    </row>
    <row r="293" spans="5:31">
      <c r="E293" s="196"/>
      <c r="F293" s="196"/>
      <c r="G293" s="196"/>
      <c r="H293" s="196"/>
      <c r="I293" s="196"/>
      <c r="J293" s="196"/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6"/>
      <c r="X293" s="196"/>
      <c r="Y293" s="196"/>
      <c r="Z293" s="196"/>
      <c r="AA293" s="196"/>
      <c r="AB293" s="196"/>
      <c r="AC293" s="196"/>
      <c r="AD293" s="196"/>
      <c r="AE293" s="196"/>
    </row>
    <row r="294" spans="5:31"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  <c r="P294" s="196"/>
      <c r="Q294" s="196"/>
      <c r="R294" s="196"/>
      <c r="S294" s="196"/>
      <c r="T294" s="196"/>
      <c r="U294" s="196"/>
      <c r="V294" s="196"/>
      <c r="W294" s="196"/>
      <c r="X294" s="196"/>
      <c r="Y294" s="196"/>
      <c r="Z294" s="196"/>
      <c r="AA294" s="196"/>
      <c r="AB294" s="196"/>
      <c r="AC294" s="196"/>
      <c r="AD294" s="196"/>
      <c r="AE294" s="196"/>
    </row>
    <row r="295" spans="5:31">
      <c r="E295" s="196"/>
      <c r="F295" s="196"/>
      <c r="G295" s="196"/>
      <c r="H295" s="196"/>
      <c r="I295" s="196"/>
      <c r="J295" s="196"/>
      <c r="K295" s="196"/>
      <c r="L295" s="196"/>
      <c r="M295" s="196"/>
      <c r="N295" s="196"/>
      <c r="O295" s="196"/>
      <c r="P295" s="196"/>
      <c r="Q295" s="196"/>
      <c r="R295" s="196"/>
      <c r="S295" s="196"/>
      <c r="T295" s="196"/>
      <c r="U295" s="196"/>
      <c r="V295" s="196"/>
      <c r="W295" s="196"/>
      <c r="X295" s="196"/>
      <c r="Y295" s="196"/>
      <c r="Z295" s="196"/>
      <c r="AA295" s="196"/>
      <c r="AB295" s="196"/>
      <c r="AC295" s="196"/>
      <c r="AD295" s="196"/>
      <c r="AE295" s="196"/>
    </row>
    <row r="296" spans="5:31">
      <c r="E296" s="196"/>
      <c r="F296" s="196"/>
      <c r="G296" s="196"/>
      <c r="H296" s="196"/>
      <c r="I296" s="196"/>
      <c r="J296" s="196"/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6"/>
      <c r="X296" s="196"/>
      <c r="Y296" s="196"/>
      <c r="Z296" s="196"/>
      <c r="AA296" s="196"/>
      <c r="AB296" s="196"/>
      <c r="AC296" s="196"/>
      <c r="AD296" s="196"/>
      <c r="AE296" s="196"/>
    </row>
    <row r="297" spans="5:31">
      <c r="E297" s="196"/>
      <c r="F297" s="196"/>
      <c r="G297" s="196"/>
      <c r="H297" s="196"/>
      <c r="I297" s="196"/>
      <c r="J297" s="196"/>
      <c r="K297" s="196"/>
      <c r="L297" s="196"/>
      <c r="M297" s="196"/>
      <c r="N297" s="196"/>
      <c r="O297" s="196"/>
      <c r="P297" s="196"/>
      <c r="Q297" s="196"/>
      <c r="R297" s="196"/>
      <c r="S297" s="196"/>
      <c r="T297" s="196"/>
      <c r="U297" s="196"/>
      <c r="V297" s="196"/>
      <c r="W297" s="196"/>
      <c r="X297" s="196"/>
      <c r="Y297" s="196"/>
      <c r="Z297" s="196"/>
      <c r="AA297" s="196"/>
      <c r="AB297" s="196"/>
      <c r="AC297" s="196"/>
      <c r="AD297" s="196"/>
      <c r="AE297" s="196"/>
    </row>
    <row r="298" spans="5:31">
      <c r="E298" s="196"/>
      <c r="F298" s="196"/>
      <c r="G298" s="196"/>
      <c r="H298" s="196"/>
      <c r="I298" s="196"/>
      <c r="J298" s="196"/>
      <c r="K298" s="196"/>
      <c r="L298" s="196"/>
      <c r="M298" s="196"/>
      <c r="N298" s="196"/>
      <c r="O298" s="196"/>
      <c r="P298" s="196"/>
      <c r="Q298" s="196"/>
      <c r="R298" s="196"/>
      <c r="S298" s="196"/>
      <c r="T298" s="196"/>
      <c r="U298" s="196"/>
      <c r="V298" s="196"/>
      <c r="W298" s="196"/>
      <c r="X298" s="196"/>
      <c r="Y298" s="196"/>
      <c r="Z298" s="196"/>
      <c r="AA298" s="196"/>
      <c r="AB298" s="196"/>
      <c r="AC298" s="196"/>
      <c r="AD298" s="196"/>
      <c r="AE298" s="196"/>
    </row>
    <row r="299" spans="5:31">
      <c r="E299" s="196"/>
      <c r="F299" s="196"/>
      <c r="G299" s="196"/>
      <c r="H299" s="196"/>
      <c r="I299" s="196"/>
      <c r="J299" s="196"/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6"/>
      <c r="X299" s="196"/>
      <c r="Y299" s="196"/>
      <c r="Z299" s="196"/>
      <c r="AA299" s="196"/>
      <c r="AB299" s="196"/>
      <c r="AC299" s="196"/>
      <c r="AD299" s="196"/>
      <c r="AE299" s="196"/>
    </row>
    <row r="300" spans="5:31">
      <c r="E300" s="196"/>
      <c r="F300" s="196"/>
      <c r="G300" s="196"/>
      <c r="H300" s="196"/>
      <c r="I300" s="196"/>
      <c r="J300" s="196"/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6"/>
      <c r="X300" s="196"/>
      <c r="Y300" s="196"/>
      <c r="Z300" s="196"/>
      <c r="AA300" s="196"/>
      <c r="AB300" s="196"/>
      <c r="AC300" s="196"/>
      <c r="AD300" s="196"/>
      <c r="AE300" s="196"/>
    </row>
    <row r="301" spans="5:31">
      <c r="E301" s="196"/>
      <c r="F301" s="196"/>
      <c r="G301" s="196"/>
      <c r="H301" s="196"/>
      <c r="I301" s="196"/>
      <c r="J301" s="196"/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6"/>
      <c r="X301" s="196"/>
      <c r="Y301" s="196"/>
      <c r="Z301" s="196"/>
      <c r="AA301" s="196"/>
      <c r="AB301" s="196"/>
      <c r="AC301" s="196"/>
      <c r="AD301" s="196"/>
      <c r="AE301" s="196"/>
    </row>
    <row r="302" spans="5:31">
      <c r="E302" s="196"/>
      <c r="F302" s="196"/>
      <c r="G302" s="196"/>
      <c r="H302" s="196"/>
      <c r="I302" s="196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6"/>
      <c r="Y302" s="196"/>
      <c r="Z302" s="196"/>
      <c r="AA302" s="196"/>
      <c r="AB302" s="196"/>
      <c r="AC302" s="196"/>
      <c r="AD302" s="196"/>
      <c r="AE302" s="196"/>
    </row>
    <row r="303" spans="5:31">
      <c r="E303" s="196"/>
      <c r="F303" s="196"/>
      <c r="G303" s="196"/>
      <c r="H303" s="196"/>
      <c r="I303" s="196"/>
      <c r="J303" s="196"/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6"/>
      <c r="X303" s="196"/>
      <c r="Y303" s="196"/>
      <c r="Z303" s="196"/>
      <c r="AA303" s="196"/>
      <c r="AB303" s="196"/>
      <c r="AC303" s="196"/>
      <c r="AD303" s="196"/>
      <c r="AE303" s="196"/>
    </row>
    <row r="304" spans="5:31">
      <c r="E304" s="196"/>
      <c r="F304" s="196"/>
      <c r="G304" s="196"/>
      <c r="H304" s="196"/>
      <c r="I304" s="196"/>
      <c r="J304" s="196"/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6"/>
      <c r="X304" s="196"/>
      <c r="Y304" s="196"/>
      <c r="Z304" s="196"/>
      <c r="AA304" s="196"/>
      <c r="AB304" s="196"/>
      <c r="AC304" s="196"/>
      <c r="AD304" s="196"/>
      <c r="AE304" s="196"/>
    </row>
    <row r="305" spans="1:32">
      <c r="E305" s="196"/>
      <c r="F305" s="196"/>
      <c r="G305" s="196"/>
      <c r="H305" s="196"/>
      <c r="I305" s="196"/>
      <c r="J305" s="196"/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6"/>
      <c r="X305" s="196"/>
      <c r="Y305" s="196"/>
      <c r="Z305" s="196"/>
      <c r="AA305" s="196"/>
      <c r="AB305" s="196"/>
      <c r="AC305" s="196"/>
      <c r="AD305" s="196"/>
      <c r="AE305" s="196"/>
    </row>
    <row r="306" spans="1:32">
      <c r="E306" s="196"/>
      <c r="F306" s="196"/>
      <c r="G306" s="196"/>
      <c r="H306" s="196"/>
      <c r="I306" s="196"/>
      <c r="J306" s="196"/>
      <c r="K306" s="196"/>
      <c r="L306" s="196"/>
      <c r="M306" s="196"/>
      <c r="N306" s="196"/>
      <c r="O306" s="196"/>
      <c r="P306" s="196"/>
      <c r="Q306" s="196"/>
      <c r="R306" s="196"/>
      <c r="S306" s="196"/>
      <c r="T306" s="196"/>
      <c r="U306" s="196"/>
      <c r="V306" s="196"/>
      <c r="W306" s="196"/>
      <c r="X306" s="196"/>
      <c r="Y306" s="196"/>
      <c r="Z306" s="196"/>
      <c r="AA306" s="196"/>
      <c r="AB306" s="196"/>
      <c r="AC306" s="196"/>
      <c r="AD306" s="196"/>
      <c r="AE306" s="196"/>
    </row>
    <row r="307" spans="1:32">
      <c r="E307" s="196"/>
      <c r="F307" s="196"/>
      <c r="G307" s="196"/>
      <c r="H307" s="196"/>
      <c r="I307" s="196"/>
      <c r="J307" s="196"/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6"/>
      <c r="X307" s="196"/>
      <c r="Y307" s="196"/>
      <c r="Z307" s="196"/>
      <c r="AA307" s="196"/>
      <c r="AB307" s="196"/>
      <c r="AC307" s="196"/>
      <c r="AD307" s="196"/>
      <c r="AE307" s="196"/>
    </row>
    <row r="308" spans="1:32">
      <c r="E308" s="196"/>
      <c r="F308" s="196"/>
      <c r="G308" s="196"/>
      <c r="H308" s="196"/>
      <c r="I308" s="196"/>
      <c r="J308" s="196"/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6"/>
      <c r="X308" s="196"/>
      <c r="Y308" s="196"/>
      <c r="Z308" s="196"/>
      <c r="AA308" s="196"/>
      <c r="AB308" s="196"/>
      <c r="AC308" s="196"/>
      <c r="AD308" s="196"/>
      <c r="AE308" s="196"/>
    </row>
    <row r="309" spans="1:32">
      <c r="E309" s="196"/>
      <c r="F309" s="196"/>
      <c r="G309" s="196"/>
      <c r="H309" s="196"/>
      <c r="I309" s="196"/>
      <c r="J309" s="196"/>
      <c r="K309" s="196"/>
      <c r="L309" s="196"/>
      <c r="M309" s="196"/>
      <c r="N309" s="196"/>
      <c r="O309" s="196"/>
      <c r="P309" s="196"/>
      <c r="Q309" s="196"/>
      <c r="R309" s="196"/>
      <c r="S309" s="196"/>
      <c r="T309" s="196"/>
      <c r="U309" s="196"/>
      <c r="V309" s="196"/>
      <c r="W309" s="196"/>
      <c r="X309" s="196"/>
      <c r="Y309" s="196"/>
      <c r="Z309" s="196"/>
      <c r="AA309" s="196"/>
      <c r="AB309" s="196"/>
      <c r="AC309" s="196"/>
      <c r="AD309" s="196"/>
      <c r="AE309" s="196"/>
    </row>
    <row r="310" spans="1:32">
      <c r="E310" s="196"/>
      <c r="F310" s="196"/>
      <c r="G310" s="196"/>
      <c r="H310" s="196"/>
      <c r="I310" s="196"/>
      <c r="J310" s="196"/>
      <c r="K310" s="196"/>
      <c r="L310" s="196"/>
      <c r="M310" s="196"/>
      <c r="N310" s="196"/>
      <c r="O310" s="196"/>
      <c r="P310" s="196"/>
      <c r="Q310" s="196"/>
      <c r="R310" s="196"/>
      <c r="S310" s="196"/>
      <c r="T310" s="196"/>
      <c r="U310" s="196"/>
      <c r="V310" s="196"/>
      <c r="W310" s="196"/>
      <c r="X310" s="196"/>
      <c r="Y310" s="196"/>
      <c r="Z310" s="196"/>
      <c r="AA310" s="196"/>
      <c r="AB310" s="196"/>
      <c r="AC310" s="196"/>
      <c r="AD310" s="196"/>
      <c r="AE310" s="196"/>
    </row>
    <row r="311" spans="1:32">
      <c r="E311" s="196"/>
      <c r="F311" s="196"/>
      <c r="G311" s="196"/>
      <c r="H311" s="196"/>
      <c r="I311" s="196"/>
      <c r="J311" s="196"/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6"/>
      <c r="X311" s="196"/>
      <c r="Y311" s="196"/>
      <c r="Z311" s="196"/>
      <c r="AA311" s="196"/>
      <c r="AB311" s="196"/>
      <c r="AC311" s="196"/>
      <c r="AD311" s="196"/>
      <c r="AE311" s="196"/>
    </row>
    <row r="312" spans="1:32" s="199" customFormat="1">
      <c r="C312"/>
      <c r="D312"/>
    </row>
    <row r="313" spans="1:32" s="199" customFormat="1">
      <c r="C313"/>
      <c r="D313"/>
    </row>
    <row r="314" spans="1:32" s="199" customFormat="1">
      <c r="C314"/>
      <c r="D314"/>
    </row>
    <row r="315" spans="1:32" s="199" customFormat="1">
      <c r="C315"/>
      <c r="D315"/>
    </row>
    <row r="316" spans="1:32" s="199" customFormat="1">
      <c r="C316" s="198"/>
      <c r="D316" s="198"/>
    </row>
    <row r="319" spans="1:32">
      <c r="A319" s="199"/>
      <c r="X319" s="196"/>
      <c r="Y319" s="196"/>
      <c r="AF319" s="196"/>
    </row>
    <row r="320" spans="1:32">
      <c r="A320" s="199"/>
      <c r="X320" s="196"/>
      <c r="Y320" s="196"/>
      <c r="AF320" s="196"/>
    </row>
    <row r="321" spans="1:32">
      <c r="A321" s="199"/>
      <c r="X321" s="196"/>
      <c r="Y321" s="196"/>
      <c r="AF321" s="196"/>
    </row>
    <row r="322" spans="1:32">
      <c r="A322" s="199"/>
      <c r="X322" s="196"/>
      <c r="Y322" s="196"/>
      <c r="AF322" s="196"/>
    </row>
    <row r="323" spans="1:32">
      <c r="A323" s="199"/>
      <c r="X323" s="196"/>
      <c r="Y323" s="196"/>
      <c r="AF323" s="196"/>
    </row>
    <row r="324" spans="1:32">
      <c r="A324" s="199"/>
      <c r="X324" s="196"/>
      <c r="Y324" s="196"/>
      <c r="AF324" s="200"/>
    </row>
    <row r="325" spans="1:32">
      <c r="A325" s="199"/>
      <c r="X325" s="196"/>
      <c r="Y325" s="196"/>
      <c r="AF325" s="200"/>
    </row>
    <row r="326" spans="1:32">
      <c r="A326" s="199"/>
      <c r="X326" s="196"/>
      <c r="Y326" s="196"/>
      <c r="AF326" s="200"/>
    </row>
    <row r="327" spans="1:32">
      <c r="A327" s="199"/>
      <c r="X327" s="196"/>
      <c r="Y327" s="196"/>
      <c r="AF327" s="200"/>
    </row>
    <row r="328" spans="1:32">
      <c r="A328" s="199"/>
      <c r="X328" s="196"/>
      <c r="Y328" s="196"/>
      <c r="AF328" s="200"/>
    </row>
    <row r="329" spans="1:32">
      <c r="A329" s="199"/>
      <c r="X329" s="196"/>
      <c r="Y329" s="196"/>
      <c r="AF329" s="200"/>
    </row>
    <row r="330" spans="1:32">
      <c r="A330" s="199"/>
      <c r="X330" s="196"/>
      <c r="Y330" s="196"/>
      <c r="AF330" s="200"/>
    </row>
    <row r="331" spans="1:32">
      <c r="A331" s="199"/>
      <c r="X331" s="196"/>
      <c r="Y331" s="196"/>
      <c r="AF331" s="200"/>
    </row>
    <row r="332" spans="1:32">
      <c r="A332" s="199"/>
      <c r="X332" s="196"/>
      <c r="Y332" s="196"/>
      <c r="AF332" s="200"/>
    </row>
    <row r="333" spans="1:32">
      <c r="A333" s="199"/>
      <c r="X333" s="196"/>
      <c r="Y333" s="196"/>
      <c r="AF333" s="200"/>
    </row>
    <row r="334" spans="1:32">
      <c r="A334" s="199"/>
      <c r="X334" s="196"/>
      <c r="Y334" s="196"/>
      <c r="AF334" s="200"/>
    </row>
    <row r="335" spans="1:32">
      <c r="X335" s="196"/>
      <c r="Y335" s="196"/>
    </row>
    <row r="336" spans="1:32">
      <c r="X336" s="196"/>
      <c r="Y336" s="196"/>
    </row>
    <row r="337" spans="24:25">
      <c r="X337" s="196"/>
      <c r="Y337" s="196"/>
    </row>
    <row r="338" spans="24:25">
      <c r="X338" s="196"/>
      <c r="Y338" s="196"/>
    </row>
    <row r="339" spans="24:25">
      <c r="X339" s="196"/>
      <c r="Y339" s="196"/>
    </row>
    <row r="340" spans="24:25">
      <c r="X340" s="196"/>
      <c r="Y340" s="196"/>
    </row>
    <row r="341" spans="24:25">
      <c r="X341" s="196"/>
      <c r="Y341" s="196"/>
    </row>
    <row r="342" spans="24:25">
      <c r="X342" s="196"/>
      <c r="Y342" s="196"/>
    </row>
    <row r="343" spans="24:25">
      <c r="X343" s="196"/>
      <c r="Y343" s="196"/>
    </row>
    <row r="344" spans="24:25">
      <c r="X344" s="196"/>
      <c r="Y344" s="196"/>
    </row>
    <row r="345" spans="24:25">
      <c r="X345" s="196"/>
      <c r="Y345" s="196"/>
    </row>
    <row r="346" spans="24:25">
      <c r="X346" s="196"/>
      <c r="Y346" s="196"/>
    </row>
    <row r="347" spans="24:25">
      <c r="X347" s="196"/>
      <c r="Y347" s="196"/>
    </row>
    <row r="348" spans="24:25">
      <c r="X348" s="196"/>
      <c r="Y348" s="196"/>
    </row>
    <row r="349" spans="24:25">
      <c r="X349" s="196"/>
      <c r="Y349" s="196"/>
    </row>
    <row r="350" spans="24:25">
      <c r="X350" s="196"/>
      <c r="Y350" s="196"/>
    </row>
    <row r="351" spans="24:25">
      <c r="X351" s="196"/>
      <c r="Y351" s="196"/>
    </row>
    <row r="352" spans="24:25">
      <c r="X352" s="196"/>
      <c r="Y352" s="196"/>
    </row>
    <row r="353" spans="3:25">
      <c r="C353" s="198"/>
      <c r="D353" s="198"/>
      <c r="X353" s="196"/>
      <c r="Y353" s="196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topLeftCell="A6" zoomScaleNormal="100" workbookViewId="0">
      <selection activeCell="D30" sqref="D30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8.28515625" style="4" bestFit="1" customWidth="1"/>
    <col min="4" max="16384" width="29.42578125" style="4"/>
  </cols>
  <sheetData>
    <row r="1" spans="1:4">
      <c r="A1" s="51"/>
      <c r="B1" s="250" t="s">
        <v>210</v>
      </c>
      <c r="C1" s="251"/>
      <c r="D1" s="155"/>
    </row>
    <row r="2" spans="1:4">
      <c r="A2" s="51"/>
      <c r="B2" s="250" t="s">
        <v>235</v>
      </c>
      <c r="C2" s="251"/>
      <c r="D2" s="155"/>
    </row>
    <row r="3" spans="1:4">
      <c r="A3" s="51"/>
      <c r="B3" s="250" t="s">
        <v>236</v>
      </c>
      <c r="C3" s="251"/>
      <c r="D3" s="155"/>
    </row>
    <row r="4" spans="1:4">
      <c r="A4" s="51"/>
      <c r="B4" s="250" t="s">
        <v>212</v>
      </c>
      <c r="C4" s="251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4.0000000000000001E-3</v>
      </c>
    </row>
    <row r="12" spans="1:4">
      <c r="A12" s="159">
        <f>+A11+1</f>
        <v>3</v>
      </c>
      <c r="B12" s="4" t="s">
        <v>241</v>
      </c>
      <c r="C12" s="160"/>
      <c r="D12" s="179">
        <v>1.493E-3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0.99450700000000003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5.0065000000000005E-2</v>
      </c>
      <c r="D16" s="179">
        <f>ROUND(D14*C16,6)</f>
        <v>4.9790000000000001E-2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0.94471700000000003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0.19839100000000001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0.74632600000000004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1.3398970400000001</v>
      </c>
    </row>
    <row r="29" spans="1:5">
      <c r="A29" s="4" t="s">
        <v>321</v>
      </c>
      <c r="E29" s="51" t="s">
        <v>322</v>
      </c>
    </row>
    <row r="30" spans="1:5">
      <c r="A30" s="51" t="s">
        <v>41</v>
      </c>
      <c r="E30" s="51" t="s">
        <v>323</v>
      </c>
    </row>
    <row r="31" spans="1:5">
      <c r="A31" s="115" t="s">
        <v>221</v>
      </c>
      <c r="C31" s="115" t="s">
        <v>324</v>
      </c>
      <c r="E31" s="115" t="s">
        <v>325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326</v>
      </c>
      <c r="C33" s="179">
        <v>1.642E-3</v>
      </c>
      <c r="E33" s="213">
        <f>ROUND(E32*C33,6)</f>
        <v>1.642E-3</v>
      </c>
    </row>
    <row r="34" spans="1:5">
      <c r="A34" s="51">
        <f t="shared" ref="A34:A41" si="0">+A33+1</f>
        <v>3</v>
      </c>
      <c r="B34" s="4" t="s">
        <v>327</v>
      </c>
      <c r="E34" s="179">
        <f>+E32-E33</f>
        <v>0.99835799999999997</v>
      </c>
    </row>
    <row r="35" spans="1:5">
      <c r="A35" s="51">
        <f t="shared" si="0"/>
        <v>4</v>
      </c>
      <c r="B35" s="4" t="s">
        <v>328</v>
      </c>
      <c r="C35" s="179">
        <v>0</v>
      </c>
      <c r="E35" s="213">
        <f>ROUND(E34*C35,6)</f>
        <v>0</v>
      </c>
    </row>
    <row r="36" spans="1:5">
      <c r="A36" s="51">
        <f t="shared" si="0"/>
        <v>5</v>
      </c>
      <c r="B36" s="4" t="s">
        <v>329</v>
      </c>
      <c r="C36" s="179"/>
      <c r="E36" s="179">
        <f>+E34-E35</f>
        <v>0.99835799999999997</v>
      </c>
    </row>
    <row r="37" spans="1:5">
      <c r="A37" s="51">
        <f t="shared" si="0"/>
        <v>6</v>
      </c>
      <c r="B37" s="4" t="s">
        <v>330</v>
      </c>
      <c r="C37" s="179">
        <v>3.3529999999999997E-2</v>
      </c>
      <c r="E37" s="213">
        <f>ROUND(E36*C37,6)</f>
        <v>3.3474999999999998E-2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0.96488299999999994</v>
      </c>
    </row>
    <row r="39" spans="1:5">
      <c r="A39" s="51">
        <f t="shared" si="0"/>
        <v>8</v>
      </c>
      <c r="B39" s="4" t="s">
        <v>331</v>
      </c>
      <c r="C39" s="179">
        <v>0.21</v>
      </c>
      <c r="E39" s="213">
        <f>ROUND(E38*C39,6)</f>
        <v>0.202625</v>
      </c>
    </row>
    <row r="40" spans="1:5">
      <c r="A40" s="51">
        <f t="shared" si="0"/>
        <v>9</v>
      </c>
      <c r="B40" s="4" t="s">
        <v>247</v>
      </c>
      <c r="E40" s="214">
        <f>E38-E39</f>
        <v>0.76225799999999988</v>
      </c>
    </row>
    <row r="41" spans="1:5" ht="13.5" thickBot="1">
      <c r="A41" s="51">
        <f t="shared" si="0"/>
        <v>10</v>
      </c>
      <c r="B41" s="4" t="s">
        <v>332</v>
      </c>
      <c r="E41" s="215">
        <f>ROUND(1/E40,6)</f>
        <v>1.3118920000000001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topLeftCell="A8" zoomScaleNormal="100" workbookViewId="0">
      <selection activeCell="D30" sqref="D30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52"/>
      <c r="B5" s="253"/>
      <c r="C5" s="253"/>
      <c r="D5" s="253"/>
      <c r="E5" s="253"/>
      <c r="F5" s="253"/>
      <c r="G5" s="253"/>
      <c r="H5" s="253"/>
      <c r="I5" s="253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zoomScaleNormal="100" workbookViewId="0">
      <selection activeCell="D30" sqref="D30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54" t="s">
        <v>210</v>
      </c>
      <c r="B2" s="254"/>
      <c r="C2" s="254"/>
      <c r="D2" s="254"/>
    </row>
    <row r="3" spans="1:12">
      <c r="A3" s="254" t="s">
        <v>211</v>
      </c>
      <c r="B3" s="254"/>
      <c r="C3" s="254"/>
      <c r="D3" s="254"/>
      <c r="E3" s="249"/>
      <c r="F3" s="249"/>
      <c r="G3" s="249"/>
      <c r="H3" s="249"/>
      <c r="I3" s="249"/>
      <c r="J3" s="249"/>
      <c r="K3" s="249"/>
      <c r="L3" s="249"/>
    </row>
    <row r="4" spans="1:12">
      <c r="A4" s="254" t="s">
        <v>212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953708559.56887507</v>
      </c>
      <c r="D12" s="152">
        <f>ROUND(C12/$C$18,5)</f>
        <v>0.52617000000000003</v>
      </c>
      <c r="E12" s="152">
        <v>4.9099999999999998E-2</v>
      </c>
      <c r="F12" s="152">
        <f>D12*E12</f>
        <v>2.5834947E-2</v>
      </c>
      <c r="G12">
        <v>1.0055233397050001</v>
      </c>
      <c r="H12" s="152">
        <f>F12*G12</f>
        <v>2.5977642188541674E-2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111251045.99650832</v>
      </c>
      <c r="D14" s="152">
        <f>ROUND(C14/$C$18,5)</f>
        <v>6.1379999999999997E-2</v>
      </c>
      <c r="E14" s="152">
        <v>3.73E-2</v>
      </c>
      <c r="F14" s="152">
        <f>D14*E14</f>
        <v>2.2894739999999997E-3</v>
      </c>
      <c r="G14">
        <v>1.0055233397049996</v>
      </c>
      <c r="H14" s="152">
        <f>F14*G14</f>
        <v>2.302119542647764E-3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747579968.70261669</v>
      </c>
      <c r="D16" s="152">
        <f>ROUND(C16/$C$18,5)</f>
        <v>0.41244999999999998</v>
      </c>
      <c r="E16" s="152">
        <v>9.7500000000000003E-2</v>
      </c>
      <c r="F16" s="152">
        <f>D16*E16</f>
        <v>4.0213875000000003E-2</v>
      </c>
      <c r="G16">
        <v>1.3398970423112688</v>
      </c>
      <c r="H16" s="152">
        <f>F16*G16</f>
        <v>5.3882452172375077E-2</v>
      </c>
    </row>
    <row r="17" spans="1:8">
      <c r="C17" s="153" t="s">
        <v>231</v>
      </c>
      <c r="D17" s="152" t="s">
        <v>231</v>
      </c>
      <c r="E17" s="152"/>
      <c r="F17" s="152" t="s">
        <v>231</v>
      </c>
      <c r="H17" s="152"/>
    </row>
    <row r="18" spans="1:8">
      <c r="A18">
        <v>5</v>
      </c>
      <c r="B18" t="s">
        <v>4</v>
      </c>
      <c r="C18" s="153">
        <v>1812539574.2680001</v>
      </c>
      <c r="D18" s="152">
        <f>SUM(D12:D17)</f>
        <v>1</v>
      </c>
      <c r="F18" s="152">
        <f>SUM(F12:F17)</f>
        <v>6.8338296000000007E-2</v>
      </c>
      <c r="H18" s="152">
        <f>SUM(H12:H17)</f>
        <v>8.2162213903564513E-2</v>
      </c>
    </row>
    <row r="19" spans="1:8">
      <c r="C19" s="153"/>
      <c r="F19" s="152"/>
    </row>
    <row r="20" spans="1:8">
      <c r="C20" s="153"/>
    </row>
    <row r="22" spans="1:8" ht="16.5">
      <c r="A22" s="216" t="s">
        <v>333</v>
      </c>
      <c r="B22" s="217"/>
      <c r="C22" s="217"/>
      <c r="D22" s="217"/>
      <c r="E22" s="217"/>
      <c r="F22" s="217"/>
    </row>
    <row r="23" spans="1:8" ht="16.5">
      <c r="A23" s="216" t="s">
        <v>334</v>
      </c>
      <c r="B23" s="218"/>
      <c r="C23" s="218"/>
      <c r="D23" s="218"/>
      <c r="E23" s="218"/>
      <c r="F23" s="218"/>
    </row>
    <row r="24" spans="1:8" ht="16.5">
      <c r="A24" s="216" t="s">
        <v>335</v>
      </c>
      <c r="B24" s="219"/>
      <c r="C24" s="219"/>
      <c r="D24" s="219"/>
      <c r="E24" s="219"/>
      <c r="F24" s="219"/>
    </row>
    <row r="25" spans="1:8" ht="16.5">
      <c r="A25" s="220"/>
      <c r="B25" s="221"/>
      <c r="C25" s="221"/>
      <c r="D25" s="222"/>
      <c r="E25" s="221"/>
      <c r="F25" s="221"/>
    </row>
    <row r="26" spans="1:8" ht="16.5">
      <c r="A26" s="219"/>
      <c r="B26" s="219"/>
      <c r="C26" s="219"/>
      <c r="D26" s="219"/>
      <c r="E26" s="219"/>
      <c r="F26" s="221"/>
    </row>
    <row r="27" spans="1:8" ht="16.5">
      <c r="A27" s="219"/>
      <c r="B27" s="219"/>
      <c r="C27" s="219"/>
      <c r="D27" s="219"/>
      <c r="E27" s="221"/>
      <c r="F27" s="221" t="s">
        <v>175</v>
      </c>
    </row>
    <row r="28" spans="1:8" ht="16.5">
      <c r="A28" s="221"/>
      <c r="B28" s="219"/>
      <c r="C28" s="221" t="s">
        <v>336</v>
      </c>
      <c r="D28" s="221" t="s">
        <v>337</v>
      </c>
      <c r="E28" s="221" t="s">
        <v>338</v>
      </c>
      <c r="F28" s="221" t="s">
        <v>339</v>
      </c>
    </row>
    <row r="29" spans="1:8" ht="16.5">
      <c r="A29" s="223"/>
      <c r="B29" s="223" t="s">
        <v>43</v>
      </c>
      <c r="C29" s="224" t="s">
        <v>340</v>
      </c>
      <c r="D29" s="224" t="s">
        <v>4</v>
      </c>
      <c r="E29" s="224" t="s">
        <v>179</v>
      </c>
      <c r="F29" s="224" t="s">
        <v>0</v>
      </c>
    </row>
    <row r="30" spans="1:8" ht="16.5">
      <c r="A30" s="221"/>
      <c r="B30" s="219"/>
      <c r="C30" s="225" t="s">
        <v>341</v>
      </c>
      <c r="D30" s="221" t="s">
        <v>342</v>
      </c>
      <c r="E30" s="221" t="s">
        <v>342</v>
      </c>
      <c r="F30" s="221" t="s">
        <v>342</v>
      </c>
    </row>
    <row r="31" spans="1:8" ht="16.5">
      <c r="A31" s="221"/>
      <c r="B31" s="219" t="s">
        <v>229</v>
      </c>
      <c r="C31" s="226">
        <v>166679.05163999999</v>
      </c>
      <c r="D31" s="227">
        <v>1.323782990293202E-2</v>
      </c>
      <c r="E31" s="228">
        <v>5.7267152353394676E-2</v>
      </c>
      <c r="F31" s="227">
        <v>7.5809282187953191E-4</v>
      </c>
    </row>
    <row r="32" spans="1:8" ht="16.5">
      <c r="A32" s="221"/>
      <c r="B32" s="219" t="s">
        <v>343</v>
      </c>
      <c r="C32" s="226">
        <v>6269464.2536400007</v>
      </c>
      <c r="D32" s="227">
        <v>0.49792760731236296</v>
      </c>
      <c r="E32" s="228">
        <v>4.9714869475391985E-2</v>
      </c>
      <c r="F32" s="227">
        <v>2.4754406005728362E-2</v>
      </c>
    </row>
    <row r="33" spans="1:6" ht="16.5">
      <c r="A33" s="221"/>
      <c r="B33" s="219" t="s">
        <v>344</v>
      </c>
      <c r="C33" s="226">
        <v>0</v>
      </c>
      <c r="D33" s="227">
        <v>0</v>
      </c>
      <c r="E33" s="229"/>
      <c r="F33" s="227">
        <v>0</v>
      </c>
    </row>
    <row r="34" spans="1:6" ht="16.5">
      <c r="A34" s="221"/>
      <c r="B34" s="219" t="s">
        <v>345</v>
      </c>
      <c r="C34" s="230">
        <v>6154972.6753749996</v>
      </c>
      <c r="D34" s="231">
        <v>0.48883456278470505</v>
      </c>
      <c r="E34" s="228">
        <v>9.2499999999999999E-2</v>
      </c>
      <c r="F34" s="227">
        <v>4.5217197057585215E-2</v>
      </c>
    </row>
    <row r="35" spans="1:6" ht="16.5">
      <c r="A35" s="221"/>
      <c r="B35" s="219"/>
      <c r="C35" s="232" t="s">
        <v>346</v>
      </c>
      <c r="D35" s="233"/>
      <c r="E35" s="234"/>
      <c r="F35" s="235" t="s">
        <v>346</v>
      </c>
    </row>
    <row r="36" spans="1:6" ht="16.5">
      <c r="A36" s="221"/>
      <c r="B36" s="219" t="s">
        <v>4</v>
      </c>
      <c r="C36" s="236">
        <v>12591115.980655</v>
      </c>
      <c r="D36" s="237">
        <v>1</v>
      </c>
      <c r="E36" s="234"/>
      <c r="F36" s="237">
        <v>7.0729695885193108E-2</v>
      </c>
    </row>
    <row r="37" spans="1:6" ht="16.5">
      <c r="A37" s="221"/>
      <c r="B37" s="219"/>
      <c r="C37" s="221" t="s">
        <v>346</v>
      </c>
      <c r="D37" s="219"/>
      <c r="E37" s="238"/>
      <c r="F37" s="219"/>
    </row>
    <row r="38" spans="1:6" ht="16.5">
      <c r="A38" s="219"/>
      <c r="B38" s="239"/>
      <c r="C38" s="219"/>
      <c r="D38" s="240"/>
      <c r="E38" s="219"/>
      <c r="F38" s="239"/>
    </row>
    <row r="39" spans="1:6" ht="16.5">
      <c r="A39" s="219"/>
      <c r="B39" s="219" t="s">
        <v>347</v>
      </c>
      <c r="C39" s="219"/>
      <c r="D39" s="240"/>
      <c r="E39" s="219"/>
      <c r="F39" s="239"/>
    </row>
    <row r="40" spans="1:6" ht="16.5">
      <c r="A40" s="239"/>
      <c r="B40" s="219" t="s">
        <v>348</v>
      </c>
      <c r="C40" s="239"/>
      <c r="D40" s="239"/>
      <c r="E40" s="239"/>
      <c r="F40" s="239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zoomScale="85" zoomScaleNormal="85" zoomScaleSheetLayoutView="85" workbookViewId="0">
      <selection activeCell="D30" sqref="D30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55" t="s">
        <v>310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297</v>
      </c>
      <c r="Y2" s="11" t="s">
        <v>298</v>
      </c>
      <c r="Z2" s="11" t="s">
        <v>299</v>
      </c>
      <c r="AA2" s="11" t="s">
        <v>300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2028</v>
      </c>
      <c r="D3" s="13">
        <f t="shared" ref="D3:N3" si="0">+C3+1</f>
        <v>2029</v>
      </c>
      <c r="E3" s="13">
        <f t="shared" si="0"/>
        <v>2030</v>
      </c>
      <c r="F3" s="13">
        <f t="shared" si="0"/>
        <v>2031</v>
      </c>
      <c r="G3" s="13">
        <f t="shared" si="0"/>
        <v>2032</v>
      </c>
      <c r="H3" s="13">
        <f t="shared" si="0"/>
        <v>2033</v>
      </c>
      <c r="I3" s="13">
        <f t="shared" si="0"/>
        <v>2034</v>
      </c>
      <c r="J3" s="13">
        <f t="shared" si="0"/>
        <v>2035</v>
      </c>
      <c r="K3" s="13">
        <f t="shared" si="0"/>
        <v>2036</v>
      </c>
      <c r="L3" s="13">
        <f t="shared" si="0"/>
        <v>2037</v>
      </c>
      <c r="M3" s="13">
        <f t="shared" si="0"/>
        <v>2038</v>
      </c>
      <c r="N3" s="13">
        <f t="shared" si="0"/>
        <v>2039</v>
      </c>
      <c r="O3" s="13">
        <f t="shared" ref="O3" si="1">+N3+1</f>
        <v>2040</v>
      </c>
      <c r="P3" s="13">
        <f t="shared" ref="P3" si="2">+O3+1</f>
        <v>2041</v>
      </c>
      <c r="Q3" s="13">
        <f t="shared" ref="Q3" si="3">+P3+1</f>
        <v>2042</v>
      </c>
      <c r="R3" s="13">
        <f t="shared" ref="R3" si="4">+Q3+1</f>
        <v>2043</v>
      </c>
      <c r="S3" s="13">
        <f t="shared" ref="S3" si="5">+R3+1</f>
        <v>2044</v>
      </c>
      <c r="T3" s="13">
        <f t="shared" ref="T3" si="6">+S3+1</f>
        <v>2045</v>
      </c>
      <c r="U3" s="13">
        <f t="shared" ref="U3" si="7">+T3+1</f>
        <v>2046</v>
      </c>
      <c r="V3" s="13">
        <f t="shared" ref="V3" si="8">+U3+1</f>
        <v>2047</v>
      </c>
      <c r="W3" s="13">
        <f t="shared" ref="W3" si="9">+V3+1</f>
        <v>2048</v>
      </c>
      <c r="X3" s="13">
        <f t="shared" ref="X3" si="10">+W3+1</f>
        <v>2049</v>
      </c>
      <c r="Y3" s="13">
        <f t="shared" ref="Y3" si="11">+X3+1</f>
        <v>2050</v>
      </c>
      <c r="Z3" s="13">
        <f t="shared" ref="Z3" si="12">+Y3+1</f>
        <v>2051</v>
      </c>
      <c r="AA3" s="13">
        <f t="shared" ref="AA3" si="13">+Z3+1</f>
        <v>2052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0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0</v>
      </c>
      <c r="M4" s="92">
        <f>Input!L41/1000</f>
        <v>0</v>
      </c>
      <c r="N4" s="92">
        <f>Input!M41/1000</f>
        <v>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108917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108917</v>
      </c>
      <c r="C6" s="91">
        <f t="shared" ref="C6:N6" si="14">B6+C4</f>
        <v>108917</v>
      </c>
      <c r="D6" s="91">
        <f t="shared" si="14"/>
        <v>108917</v>
      </c>
      <c r="E6" s="91">
        <f t="shared" si="14"/>
        <v>108917</v>
      </c>
      <c r="F6" s="91">
        <f t="shared" si="14"/>
        <v>108917</v>
      </c>
      <c r="G6" s="91">
        <f t="shared" si="14"/>
        <v>108917</v>
      </c>
      <c r="H6" s="91">
        <f t="shared" si="14"/>
        <v>108917</v>
      </c>
      <c r="I6" s="91">
        <f t="shared" si="14"/>
        <v>108917</v>
      </c>
      <c r="J6" s="91">
        <f t="shared" si="14"/>
        <v>108917</v>
      </c>
      <c r="K6" s="91">
        <f t="shared" si="14"/>
        <v>108917</v>
      </c>
      <c r="L6" s="91">
        <f t="shared" si="14"/>
        <v>108917</v>
      </c>
      <c r="M6" s="91">
        <f t="shared" si="14"/>
        <v>108917</v>
      </c>
      <c r="N6" s="91">
        <f t="shared" si="14"/>
        <v>108917</v>
      </c>
      <c r="O6" s="91">
        <f t="shared" ref="O6" si="15">N6+O4</f>
        <v>108917</v>
      </c>
      <c r="P6" s="91">
        <f t="shared" ref="P6" si="16">O6+P4</f>
        <v>108917</v>
      </c>
      <c r="Q6" s="91">
        <f t="shared" ref="Q6" si="17">P6+Q4</f>
        <v>108917</v>
      </c>
      <c r="R6" s="91">
        <f t="shared" ref="R6" si="18">Q6+R4</f>
        <v>108917</v>
      </c>
      <c r="S6" s="91">
        <f t="shared" ref="S6" si="19">R6+S4</f>
        <v>108917</v>
      </c>
      <c r="T6" s="91">
        <f t="shared" ref="T6" si="20">S6+T4</f>
        <v>108917</v>
      </c>
      <c r="U6" s="91">
        <f t="shared" ref="U6" si="21">T6+U4</f>
        <v>108917</v>
      </c>
      <c r="V6" s="91">
        <f t="shared" ref="V6" si="22">U6+V4</f>
        <v>108917</v>
      </c>
      <c r="W6" s="91">
        <f t="shared" ref="W6" si="23">V6+W4</f>
        <v>108917</v>
      </c>
      <c r="X6" s="91">
        <f t="shared" ref="X6" si="24">W6+X4</f>
        <v>108917</v>
      </c>
      <c r="Y6" s="91">
        <f t="shared" ref="Y6" si="25">X6+Y4</f>
        <v>108917</v>
      </c>
      <c r="Z6" s="91">
        <f t="shared" ref="Z6" si="26">Y6+Z4</f>
        <v>108917</v>
      </c>
      <c r="AA6" s="91">
        <f t="shared" ref="AA6" si="27">Z6+AA4</f>
        <v>108917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108917</v>
      </c>
      <c r="D10" s="66">
        <f t="shared" ref="D10:I10" si="28">D6</f>
        <v>108917</v>
      </c>
      <c r="E10" s="66">
        <f t="shared" si="28"/>
        <v>108917</v>
      </c>
      <c r="F10" s="66">
        <f t="shared" si="28"/>
        <v>108917</v>
      </c>
      <c r="G10" s="66">
        <f t="shared" si="28"/>
        <v>108917</v>
      </c>
      <c r="H10" s="66">
        <f t="shared" si="28"/>
        <v>108917</v>
      </c>
      <c r="I10" s="66">
        <f t="shared" si="28"/>
        <v>108917</v>
      </c>
      <c r="J10" s="66">
        <f t="shared" ref="J10:N10" si="29">J6</f>
        <v>108917</v>
      </c>
      <c r="K10" s="66">
        <f t="shared" si="29"/>
        <v>108917</v>
      </c>
      <c r="L10" s="66">
        <f t="shared" si="29"/>
        <v>108917</v>
      </c>
      <c r="M10" s="66">
        <f t="shared" si="29"/>
        <v>108917</v>
      </c>
      <c r="N10" s="66">
        <f t="shared" si="29"/>
        <v>108917</v>
      </c>
      <c r="O10" s="66">
        <f t="shared" ref="O10:AA10" si="30">O6</f>
        <v>108917</v>
      </c>
      <c r="P10" s="66">
        <f t="shared" si="30"/>
        <v>108917</v>
      </c>
      <c r="Q10" s="66">
        <f t="shared" si="30"/>
        <v>108917</v>
      </c>
      <c r="R10" s="66">
        <f t="shared" si="30"/>
        <v>108917</v>
      </c>
      <c r="S10" s="66">
        <f t="shared" si="30"/>
        <v>108917</v>
      </c>
      <c r="T10" s="66">
        <f t="shared" si="30"/>
        <v>108917</v>
      </c>
      <c r="U10" s="66">
        <f t="shared" si="30"/>
        <v>108917</v>
      </c>
      <c r="V10" s="66">
        <f t="shared" si="30"/>
        <v>108917</v>
      </c>
      <c r="W10" s="66">
        <f t="shared" si="30"/>
        <v>108917</v>
      </c>
      <c r="X10" s="66">
        <f t="shared" si="30"/>
        <v>108917</v>
      </c>
      <c r="Y10" s="66">
        <f t="shared" si="30"/>
        <v>108917</v>
      </c>
      <c r="Z10" s="66">
        <f t="shared" si="30"/>
        <v>108917</v>
      </c>
      <c r="AA10" s="66">
        <f t="shared" si="30"/>
        <v>108917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10891.7</v>
      </c>
      <c r="D11" s="66">
        <f t="shared" ref="D11:I11" si="31">D20</f>
        <v>21783.4</v>
      </c>
      <c r="E11" s="66">
        <f t="shared" si="31"/>
        <v>32675.100000000002</v>
      </c>
      <c r="F11" s="66">
        <f t="shared" si="31"/>
        <v>43566.8</v>
      </c>
      <c r="G11" s="66">
        <f t="shared" si="31"/>
        <v>54458.5</v>
      </c>
      <c r="H11" s="66">
        <f t="shared" si="31"/>
        <v>65350.2</v>
      </c>
      <c r="I11" s="66">
        <f t="shared" si="31"/>
        <v>76241.899999999994</v>
      </c>
      <c r="J11" s="66">
        <f t="shared" ref="J11:N11" si="32">J20</f>
        <v>87133.599999999991</v>
      </c>
      <c r="K11" s="66">
        <f t="shared" si="32"/>
        <v>98025.299999999988</v>
      </c>
      <c r="L11" s="66">
        <f t="shared" si="32"/>
        <v>108916.99999999999</v>
      </c>
      <c r="M11" s="66">
        <f t="shared" si="32"/>
        <v>108916.99999999999</v>
      </c>
      <c r="N11" s="66">
        <f t="shared" si="32"/>
        <v>108916.99999999999</v>
      </c>
      <c r="O11" s="66">
        <f t="shared" ref="O11:AA11" si="33">O20</f>
        <v>108916.99999999999</v>
      </c>
      <c r="P11" s="66">
        <f t="shared" si="33"/>
        <v>108916.99999999999</v>
      </c>
      <c r="Q11" s="66">
        <f t="shared" si="33"/>
        <v>108916.99999999999</v>
      </c>
      <c r="R11" s="66">
        <f t="shared" si="33"/>
        <v>108916.99999999999</v>
      </c>
      <c r="S11" s="66">
        <f t="shared" si="33"/>
        <v>108916.99999999999</v>
      </c>
      <c r="T11" s="66">
        <f t="shared" si="33"/>
        <v>108916.99999999999</v>
      </c>
      <c r="U11" s="66">
        <f t="shared" si="33"/>
        <v>108916.99999999999</v>
      </c>
      <c r="V11" s="66">
        <f t="shared" si="33"/>
        <v>108916.99999999999</v>
      </c>
      <c r="W11" s="66">
        <f t="shared" si="33"/>
        <v>108916.99999999999</v>
      </c>
      <c r="X11" s="66">
        <f t="shared" si="33"/>
        <v>108916.99999999999</v>
      </c>
      <c r="Y11" s="66">
        <f t="shared" si="33"/>
        <v>108916.99999999999</v>
      </c>
      <c r="Z11" s="66">
        <f t="shared" si="33"/>
        <v>108916.99999999999</v>
      </c>
      <c r="AA11" s="66">
        <f t="shared" si="33"/>
        <v>108916.99999999999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-1357.9659239343753</v>
      </c>
      <c r="D12" s="66">
        <f t="shared" si="34"/>
        <v>-1962.2064414482147</v>
      </c>
      <c r="E12" s="66">
        <f t="shared" si="34"/>
        <v>-2684.2097638856435</v>
      </c>
      <c r="F12" s="66">
        <f t="shared" si="34"/>
        <v>-3514.8503602378219</v>
      </c>
      <c r="G12" s="66">
        <f t="shared" si="34"/>
        <v>-4446.3063467828888</v>
      </c>
      <c r="H12" s="66">
        <f t="shared" si="34"/>
        <v>-5470.7558397989815</v>
      </c>
      <c r="I12" s="66">
        <f t="shared" si="34"/>
        <v>-6581.4633283033854</v>
      </c>
      <c r="J12" s="66">
        <f t="shared" ref="J12:N12" si="35">J64+J68</f>
        <v>-7771.6933013133857</v>
      </c>
      <c r="K12" s="66">
        <f t="shared" si="35"/>
        <v>-8974.9597471931575</v>
      </c>
      <c r="L12" s="66">
        <f t="shared" si="35"/>
        <v>-10178.443467620757</v>
      </c>
      <c r="M12" s="66">
        <f t="shared" si="35"/>
        <v>-9208.9644352055293</v>
      </c>
      <c r="N12" s="66">
        <f t="shared" si="35"/>
        <v>-8239.7026773381294</v>
      </c>
      <c r="O12" s="66">
        <f t="shared" ref="O12:AA12" si="36">O64+O68</f>
        <v>-7270.2236449229003</v>
      </c>
      <c r="P12" s="66">
        <f t="shared" si="36"/>
        <v>-6300.9618870555005</v>
      </c>
      <c r="Q12" s="66">
        <f t="shared" si="36"/>
        <v>-5331.4828546402714</v>
      </c>
      <c r="R12" s="66">
        <f t="shared" si="36"/>
        <v>-4362.2210967728715</v>
      </c>
      <c r="S12" s="66">
        <f t="shared" si="36"/>
        <v>-3392.7420643576424</v>
      </c>
      <c r="T12" s="66">
        <f t="shared" si="36"/>
        <v>-2423.4803064902435</v>
      </c>
      <c r="U12" s="66">
        <f t="shared" si="36"/>
        <v>-1454.0012740750142</v>
      </c>
      <c r="V12" s="66">
        <f t="shared" si="36"/>
        <v>-484.73951620761483</v>
      </c>
      <c r="W12" s="66">
        <f t="shared" si="36"/>
        <v>7.815970093361102E-14</v>
      </c>
      <c r="X12" s="66">
        <f t="shared" si="36"/>
        <v>7.815970093361102E-14</v>
      </c>
      <c r="Y12" s="66">
        <f t="shared" si="36"/>
        <v>7.815970093361102E-14</v>
      </c>
      <c r="Z12" s="66">
        <f t="shared" si="36"/>
        <v>7.815970093361102E-14</v>
      </c>
      <c r="AA12" s="66">
        <f t="shared" si="36"/>
        <v>7.815970093361102E-14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-340.80810031250007</v>
      </c>
      <c r="D13" s="66">
        <f t="shared" ref="D13:I13" si="37">D66</f>
        <v>-492.45407262755009</v>
      </c>
      <c r="E13" s="66">
        <f t="shared" si="37"/>
        <v>-673.65492340170022</v>
      </c>
      <c r="F13" s="66">
        <f t="shared" si="37"/>
        <v>-882.12042220085027</v>
      </c>
      <c r="G13" s="66">
        <f t="shared" si="37"/>
        <v>-1115.8875143672003</v>
      </c>
      <c r="H13" s="66">
        <f t="shared" si="37"/>
        <v>-1372.9931452429503</v>
      </c>
      <c r="I13" s="66">
        <f t="shared" si="37"/>
        <v>-1651.7469066505503</v>
      </c>
      <c r="J13" s="66">
        <f t="shared" ref="J13:N13" si="38">J66</f>
        <v>-1950.4583904124504</v>
      </c>
      <c r="K13" s="66">
        <f t="shared" si="38"/>
        <v>-2252.4416319373504</v>
      </c>
      <c r="L13" s="66">
        <f t="shared" si="38"/>
        <v>-2554.4794027583002</v>
      </c>
      <c r="M13" s="66">
        <f t="shared" si="38"/>
        <v>-2311.1696837832001</v>
      </c>
      <c r="N13" s="66">
        <f t="shared" si="38"/>
        <v>-2067.91449410415</v>
      </c>
      <c r="O13" s="66">
        <f t="shared" ref="O13:AA13" si="39">O66</f>
        <v>-1824.60477512905</v>
      </c>
      <c r="P13" s="66">
        <f t="shared" si="39"/>
        <v>-1581.3495854499999</v>
      </c>
      <c r="Q13" s="66">
        <f t="shared" si="39"/>
        <v>-1338.0398664749</v>
      </c>
      <c r="R13" s="66">
        <f t="shared" si="39"/>
        <v>-1094.7846767958499</v>
      </c>
      <c r="S13" s="66">
        <f t="shared" si="39"/>
        <v>-851.47495782074986</v>
      </c>
      <c r="T13" s="66">
        <f t="shared" si="39"/>
        <v>-608.21976814169989</v>
      </c>
      <c r="U13" s="66">
        <f t="shared" si="39"/>
        <v>-364.91004916659983</v>
      </c>
      <c r="V13" s="66">
        <f t="shared" si="39"/>
        <v>-121.6548594875498</v>
      </c>
      <c r="W13" s="66">
        <f t="shared" si="39"/>
        <v>2.1316282072803006E-13</v>
      </c>
      <c r="X13" s="66">
        <f t="shared" si="39"/>
        <v>2.1316282072803006E-13</v>
      </c>
      <c r="Y13" s="66">
        <f t="shared" si="39"/>
        <v>2.1316282072803006E-13</v>
      </c>
      <c r="Z13" s="66">
        <f t="shared" si="39"/>
        <v>2.1316282072803006E-13</v>
      </c>
      <c r="AA13" s="66">
        <f t="shared" si="39"/>
        <v>2.1316282072803006E-13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99724.074024246875</v>
      </c>
      <c r="D16" s="134">
        <f t="shared" ref="D16:I16" si="40">D10-D11-D12-D13+D14</f>
        <v>89588.260514075766</v>
      </c>
      <c r="E16" s="134">
        <f t="shared" si="40"/>
        <v>79599.764687287345</v>
      </c>
      <c r="F16" s="134">
        <f t="shared" si="40"/>
        <v>69747.170782438669</v>
      </c>
      <c r="G16" s="134">
        <f t="shared" si="40"/>
        <v>60020.693861150088</v>
      </c>
      <c r="H16" s="134">
        <f>H10-H11-H12-H13+H14</f>
        <v>50410.548985041933</v>
      </c>
      <c r="I16" s="134">
        <f t="shared" si="40"/>
        <v>40908.31023495394</v>
      </c>
      <c r="J16" s="134">
        <f t="shared" ref="J16:N16" si="41">J10-J11-J12-J13+J14</f>
        <v>31505.551691725846</v>
      </c>
      <c r="K16" s="134">
        <f t="shared" si="41"/>
        <v>22119.101379130516</v>
      </c>
      <c r="L16" s="134">
        <f t="shared" si="41"/>
        <v>12732.922870379072</v>
      </c>
      <c r="M16" s="134">
        <f>M10-M11-M12-M13+M14</f>
        <v>11520.134118988744</v>
      </c>
      <c r="N16" s="134">
        <f t="shared" si="41"/>
        <v>10307.617171442294</v>
      </c>
      <c r="O16" s="134">
        <f t="shared" ref="O16:AA16" si="42">O10-O11-O12-O13+O14</f>
        <v>9094.8284200519647</v>
      </c>
      <c r="P16" s="134">
        <f t="shared" si="42"/>
        <v>7882.3114725055148</v>
      </c>
      <c r="Q16" s="134">
        <f t="shared" si="42"/>
        <v>6669.522721115186</v>
      </c>
      <c r="R16" s="134">
        <f t="shared" si="42"/>
        <v>5457.005773568736</v>
      </c>
      <c r="S16" s="134">
        <f t="shared" si="42"/>
        <v>4244.2170221784072</v>
      </c>
      <c r="T16" s="134">
        <f t="shared" si="42"/>
        <v>3031.7000746319582</v>
      </c>
      <c r="U16" s="134">
        <f t="shared" si="42"/>
        <v>1818.9113232416285</v>
      </c>
      <c r="V16" s="134">
        <f t="shared" si="42"/>
        <v>606.39437569517918</v>
      </c>
      <c r="W16" s="134">
        <f t="shared" si="42"/>
        <v>1.4260592706705211E-11</v>
      </c>
      <c r="X16" s="134">
        <f t="shared" si="42"/>
        <v>1.4260592706705211E-11</v>
      </c>
      <c r="Y16" s="134">
        <f t="shared" si="42"/>
        <v>1.4260592706705211E-11</v>
      </c>
      <c r="Z16" s="134">
        <f t="shared" si="42"/>
        <v>1.4260592706705211E-11</v>
      </c>
      <c r="AA16" s="134">
        <f t="shared" si="42"/>
        <v>1.4260592706705211E-11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0.1</v>
      </c>
      <c r="C19" s="72">
        <f>IF(C3-$C$3&lt;Input!$B$21,C6*$B$19,0)</f>
        <v>10891.7</v>
      </c>
      <c r="D19" s="72">
        <f>IF(D3-$C$3&lt;Input!$B$21,D6*$B$19,0)</f>
        <v>10891.7</v>
      </c>
      <c r="E19" s="72">
        <f>IF(E3-$C$3&lt;Input!$B$21,E6*$B$19,0)</f>
        <v>10891.7</v>
      </c>
      <c r="F19" s="72">
        <f>IF(F3-$C$3&lt;Input!$B$21,F6*$B$19,0)</f>
        <v>10891.7</v>
      </c>
      <c r="G19" s="72">
        <f>IF(G3-$C$3&lt;Input!$B$21,G6*$B$19,0)</f>
        <v>10891.7</v>
      </c>
      <c r="H19" s="72">
        <f>IF(H3-$C$3&lt;Input!$B$21,H6*$B$19,0)</f>
        <v>10891.7</v>
      </c>
      <c r="I19" s="72">
        <f>IF(I3-$C$3&lt;Input!$B$21,I6*$B$19,0)</f>
        <v>10891.7</v>
      </c>
      <c r="J19" s="72">
        <f>IF(J3-$C$3&lt;Input!$B$21,J6*$B$19,0)</f>
        <v>10891.7</v>
      </c>
      <c r="K19" s="72">
        <f>IF(K3-$C$3&lt;Input!$B$21,K6*$B$19,0)</f>
        <v>10891.7</v>
      </c>
      <c r="L19" s="72">
        <f>IF(L3-$C$3&lt;Input!$B$21,L6*$B$19,0)</f>
        <v>10891.7</v>
      </c>
      <c r="M19" s="72">
        <f>IF(M3-$C$3&lt;Input!$B$21,M6*$B$19,0)</f>
        <v>0</v>
      </c>
      <c r="N19" s="72">
        <f>IF(N3-$C$3&lt;Input!$B$21,N6*$B$19,0)</f>
        <v>0</v>
      </c>
      <c r="O19" s="72">
        <f>IF(O3-$C$3&lt;Input!$B$21,O6*$B$19,0)</f>
        <v>0</v>
      </c>
      <c r="P19" s="72">
        <f>IF(P3-$C$3&lt;Input!$B$21,P6*$B$19,0)</f>
        <v>0</v>
      </c>
      <c r="Q19" s="72">
        <f>IF(Q3-$C$3&lt;Input!$B$21,Q6*$B$19,0)</f>
        <v>0</v>
      </c>
      <c r="R19" s="72">
        <f>IF(R3-$C$3&lt;Input!$B$21,R6*$B$19,0)</f>
        <v>0</v>
      </c>
      <c r="S19" s="72">
        <f>IF(S3-$C$3&lt;Input!$B$21,S6*$B$19,0)</f>
        <v>0</v>
      </c>
      <c r="T19" s="72">
        <f>IF(T3-$C$3&lt;Input!$B$21,T6*$B$19,0)</f>
        <v>0</v>
      </c>
      <c r="U19" s="72">
        <f>IF(U3-$C$3&lt;Input!$B$21,U6*$B$19,0)</f>
        <v>0</v>
      </c>
      <c r="V19" s="72">
        <f>IF(V3-$C$3&lt;Input!$B$21,V6*$B$19,0)</f>
        <v>0</v>
      </c>
      <c r="W19" s="72">
        <f>IF(W3-$C$3&lt;Input!$B$21,W6*$B$19,0)</f>
        <v>0</v>
      </c>
      <c r="X19" s="72">
        <f>IF(X3-$C$3&lt;Input!$B$21,X6*$B$19,0)</f>
        <v>0</v>
      </c>
      <c r="Y19" s="72">
        <f>IF(Y3-$C$3&lt;Input!$B$21,Y6*$B$19,0)</f>
        <v>0</v>
      </c>
      <c r="Z19" s="72">
        <f>IF(Z3-$C$3&lt;Input!$B$21,Z6*$B$19,0)</f>
        <v>0</v>
      </c>
      <c r="AA19" s="72">
        <f>IF(AA3-$C$3&lt;Input!$B$21,AA6*$B$19,0)</f>
        <v>0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10891.7</v>
      </c>
      <c r="D20" s="69">
        <f t="shared" ref="D20:N20" si="43">C20+D19</f>
        <v>21783.4</v>
      </c>
      <c r="E20" s="69">
        <f t="shared" si="43"/>
        <v>32675.100000000002</v>
      </c>
      <c r="F20" s="69">
        <f t="shared" si="43"/>
        <v>43566.8</v>
      </c>
      <c r="G20" s="69">
        <f t="shared" si="43"/>
        <v>54458.5</v>
      </c>
      <c r="H20" s="69">
        <f t="shared" si="43"/>
        <v>65350.2</v>
      </c>
      <c r="I20" s="69">
        <f t="shared" si="43"/>
        <v>76241.899999999994</v>
      </c>
      <c r="J20" s="69">
        <f t="shared" si="43"/>
        <v>87133.599999999991</v>
      </c>
      <c r="K20" s="69">
        <f t="shared" si="43"/>
        <v>98025.299999999988</v>
      </c>
      <c r="L20" s="69">
        <f t="shared" si="43"/>
        <v>108916.99999999999</v>
      </c>
      <c r="M20" s="69">
        <f t="shared" si="43"/>
        <v>108916.99999999999</v>
      </c>
      <c r="N20" s="69">
        <f t="shared" si="43"/>
        <v>108916.99999999999</v>
      </c>
      <c r="O20" s="69">
        <f t="shared" ref="O20" si="44">N20+O19</f>
        <v>108916.99999999999</v>
      </c>
      <c r="P20" s="69">
        <f t="shared" ref="P20" si="45">O20+P19</f>
        <v>108916.99999999999</v>
      </c>
      <c r="Q20" s="69">
        <f t="shared" ref="Q20" si="46">P20+Q19</f>
        <v>108916.99999999999</v>
      </c>
      <c r="R20" s="69">
        <f t="shared" ref="R20" si="47">Q20+R19</f>
        <v>108916.99999999999</v>
      </c>
      <c r="S20" s="69">
        <f t="shared" ref="S20" si="48">R20+S19</f>
        <v>108916.99999999999</v>
      </c>
      <c r="T20" s="69">
        <f t="shared" ref="T20" si="49">S20+T19</f>
        <v>108916.99999999999</v>
      </c>
      <c r="U20" s="69">
        <f t="shared" ref="U20" si="50">T20+U19</f>
        <v>108916.99999999999</v>
      </c>
      <c r="V20" s="69">
        <f t="shared" ref="V20" si="51">U20+V19</f>
        <v>108916.99999999999</v>
      </c>
      <c r="W20" s="69">
        <f t="shared" ref="W20" si="52">V20+W19</f>
        <v>108916.99999999999</v>
      </c>
      <c r="X20" s="69">
        <f t="shared" ref="X20" si="53">W20+X19</f>
        <v>108916.99999999999</v>
      </c>
      <c r="Y20" s="69">
        <f t="shared" ref="Y20" si="54">X20+Y19</f>
        <v>108916.99999999999</v>
      </c>
      <c r="Z20" s="69">
        <f t="shared" ref="Z20" si="55">Y20+Z19</f>
        <v>108916.99999999999</v>
      </c>
      <c r="AA20" s="69">
        <f t="shared" ref="AA20" si="56">Z20+AA19</f>
        <v>108916.99999999999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0</v>
      </c>
      <c r="D24" s="49">
        <f>D4</f>
        <v>0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108917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201" cm="1">
        <f t="array" ref="N27">_xlfn.XLOOKUP($B$27,MACRS!$B$1:$G$1,_xlfn.XLOOKUP('Rate Base - coal'!N26,MACRS!$A$2:$A$22,MACRS!$B$2:$G$22))</f>
        <v>4.4609999999999997E-2</v>
      </c>
      <c r="O27" s="201" cm="1">
        <f t="array" ref="O27">_xlfn.XLOOKUP($B$27,MACRS!$B$1:$G$1,_xlfn.XLOOKUP('Rate Base - coal'!O26,MACRS!$A$2:$A$22,MACRS!$B$2:$G$22))</f>
        <v>4.462E-2</v>
      </c>
      <c r="P27" s="201" cm="1">
        <f t="array" ref="P27">_xlfn.XLOOKUP($B$27,MACRS!$B$1:$G$1,_xlfn.XLOOKUP('Rate Base - coal'!P26,MACRS!$A$2:$A$22,MACRS!$B$2:$G$22))</f>
        <v>4.4609999999999997E-2</v>
      </c>
      <c r="Q27" s="201" cm="1">
        <f t="array" ref="Q27">_xlfn.XLOOKUP($B$27,MACRS!$B$1:$G$1,_xlfn.XLOOKUP('Rate Base - coal'!Q26,MACRS!$A$2:$A$22,MACRS!$B$2:$G$22))</f>
        <v>4.462E-2</v>
      </c>
      <c r="R27" s="201" cm="1">
        <f t="array" ref="R27">_xlfn.XLOOKUP($B$27,MACRS!$B$1:$G$1,_xlfn.XLOOKUP('Rate Base - coal'!R26,MACRS!$A$2:$A$22,MACRS!$B$2:$G$22))</f>
        <v>4.4609999999999997E-2</v>
      </c>
      <c r="S27" s="201" cm="1">
        <f t="array" ref="S27">_xlfn.XLOOKUP($B$27,MACRS!$B$1:$G$1,_xlfn.XLOOKUP('Rate Base - coal'!S26,MACRS!$A$2:$A$22,MACRS!$B$2:$G$22))</f>
        <v>4.462E-2</v>
      </c>
      <c r="T27" s="201" cm="1">
        <f t="array" ref="T27">_xlfn.XLOOKUP($B$27,MACRS!$B$1:$G$1,_xlfn.XLOOKUP('Rate Base - coal'!T26,MACRS!$A$2:$A$22,MACRS!$B$2:$G$22))</f>
        <v>4.4609999999999997E-2</v>
      </c>
      <c r="U27" s="201" cm="1">
        <f t="array" ref="U27">_xlfn.XLOOKUP($B$27,MACRS!$B$1:$G$1,_xlfn.XLOOKUP('Rate Base - coal'!U26,MACRS!$A$2:$A$22,MACRS!$B$2:$G$22))</f>
        <v>4.462E-2</v>
      </c>
      <c r="V27" s="201" cm="1">
        <f t="array" ref="V27">_xlfn.XLOOKUP($B$27,MACRS!$B$1:$G$1,_xlfn.XLOOKUP('Rate Base - coal'!V26,MACRS!$A$2:$A$22,MACRS!$B$2:$G$22))</f>
        <v>4.4609999999999997E-2</v>
      </c>
      <c r="W27" s="201" cm="1">
        <f t="array" ref="W27">_xlfn.XLOOKUP($B$27,MACRS!$B$1:$G$1,_xlfn.XLOOKUP('Rate Base - coal'!W26,MACRS!$A$2:$A$22,MACRS!$B$2:$G$22))</f>
        <v>2.231E-2</v>
      </c>
      <c r="X27" s="201">
        <v>0</v>
      </c>
      <c r="Y27" s="201">
        <v>0</v>
      </c>
      <c r="Z27" s="201">
        <v>0</v>
      </c>
      <c r="AA27" s="201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4084.3874999999998</v>
      </c>
      <c r="D28" s="69">
        <f t="shared" ref="D28:AA28" si="61">($C$25+$C$24)*D$27</f>
        <v>7862.7182300000004</v>
      </c>
      <c r="E28" s="69">
        <f t="shared" si="61"/>
        <v>7272.3880899999995</v>
      </c>
      <c r="F28" s="69">
        <f t="shared" si="61"/>
        <v>6727.8030899999994</v>
      </c>
      <c r="G28" s="69">
        <f t="shared" si="61"/>
        <v>6222.42821</v>
      </c>
      <c r="H28" s="69">
        <f t="shared" si="61"/>
        <v>5756.2634500000004</v>
      </c>
      <c r="I28" s="69">
        <f t="shared" si="61"/>
        <v>5323.8629600000004</v>
      </c>
      <c r="J28" s="69">
        <f t="shared" si="61"/>
        <v>4925.2267400000001</v>
      </c>
      <c r="K28" s="69">
        <f t="shared" si="61"/>
        <v>4859.8765400000002</v>
      </c>
      <c r="L28" s="69">
        <f t="shared" si="61"/>
        <v>4858.78737</v>
      </c>
      <c r="M28" s="69">
        <f t="shared" si="61"/>
        <v>4859.8765400000002</v>
      </c>
      <c r="N28" s="69">
        <f t="shared" si="61"/>
        <v>4858.78737</v>
      </c>
      <c r="O28" s="69">
        <f t="shared" si="61"/>
        <v>4859.8765400000002</v>
      </c>
      <c r="P28" s="69">
        <f t="shared" si="61"/>
        <v>4858.78737</v>
      </c>
      <c r="Q28" s="69">
        <f t="shared" si="61"/>
        <v>4859.8765400000002</v>
      </c>
      <c r="R28" s="69">
        <f t="shared" si="61"/>
        <v>4858.78737</v>
      </c>
      <c r="S28" s="69">
        <f t="shared" si="61"/>
        <v>4859.8765400000002</v>
      </c>
      <c r="T28" s="69">
        <f t="shared" si="61"/>
        <v>4858.78737</v>
      </c>
      <c r="U28" s="69">
        <f t="shared" si="61"/>
        <v>4859.8765400000002</v>
      </c>
      <c r="V28" s="69">
        <f t="shared" si="61"/>
        <v>4858.78737</v>
      </c>
      <c r="W28" s="69">
        <f t="shared" si="61"/>
        <v>2429.9382700000001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0</v>
      </c>
      <c r="E29" s="69">
        <f t="shared" ref="E29:N29" si="62">($D$24*D$27)</f>
        <v>0</v>
      </c>
      <c r="F29" s="69">
        <f t="shared" si="62"/>
        <v>0</v>
      </c>
      <c r="G29" s="69">
        <f t="shared" si="62"/>
        <v>0</v>
      </c>
      <c r="H29" s="69">
        <f t="shared" si="62"/>
        <v>0</v>
      </c>
      <c r="I29" s="69">
        <f t="shared" si="62"/>
        <v>0</v>
      </c>
      <c r="J29" s="69">
        <f t="shared" si="62"/>
        <v>0</v>
      </c>
      <c r="K29" s="69">
        <f t="shared" si="62"/>
        <v>0</v>
      </c>
      <c r="L29" s="69">
        <f t="shared" si="62"/>
        <v>0</v>
      </c>
      <c r="M29" s="69">
        <f t="shared" si="62"/>
        <v>0</v>
      </c>
      <c r="N29" s="69">
        <f t="shared" si="62"/>
        <v>0</v>
      </c>
      <c r="O29" s="69">
        <f t="shared" ref="O29" si="63">($D$24*N$27)</f>
        <v>0</v>
      </c>
      <c r="P29" s="69">
        <f t="shared" ref="P29" si="64">($D$24*O$27)</f>
        <v>0</v>
      </c>
      <c r="Q29" s="69">
        <f t="shared" ref="Q29" si="65">($D$24*P$27)</f>
        <v>0</v>
      </c>
      <c r="R29" s="69">
        <f t="shared" ref="R29" si="66">($D$24*Q$27)</f>
        <v>0</v>
      </c>
      <c r="S29" s="69">
        <f t="shared" ref="S29" si="67">($D$24*R$27)</f>
        <v>0</v>
      </c>
      <c r="T29" s="69">
        <f t="shared" ref="T29" si="68">($D$24*S$27)</f>
        <v>0</v>
      </c>
      <c r="U29" s="69">
        <f t="shared" ref="U29" si="69">($D$24*T$27)</f>
        <v>0</v>
      </c>
      <c r="V29" s="69">
        <f t="shared" ref="V29" si="70">($D$24*U$27)</f>
        <v>0</v>
      </c>
      <c r="W29" s="69">
        <f t="shared" ref="W29" si="71">($D$24*V$27)</f>
        <v>0</v>
      </c>
      <c r="X29" s="69">
        <f t="shared" ref="X29" si="72">($D$24*W$27)</f>
        <v>0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0</v>
      </c>
      <c r="O39" s="69">
        <f t="shared" ref="O39:Z39" si="189">$N$24*D$27</f>
        <v>0</v>
      </c>
      <c r="P39" s="69">
        <f t="shared" si="189"/>
        <v>0</v>
      </c>
      <c r="Q39" s="69">
        <f t="shared" si="189"/>
        <v>0</v>
      </c>
      <c r="R39" s="69">
        <f t="shared" si="189"/>
        <v>0</v>
      </c>
      <c r="S39" s="69">
        <f t="shared" si="189"/>
        <v>0</v>
      </c>
      <c r="T39" s="69">
        <f t="shared" si="189"/>
        <v>0</v>
      </c>
      <c r="U39" s="69">
        <f t="shared" si="189"/>
        <v>0</v>
      </c>
      <c r="V39" s="69">
        <f t="shared" si="189"/>
        <v>0</v>
      </c>
      <c r="W39" s="69">
        <f t="shared" si="189"/>
        <v>0</v>
      </c>
      <c r="X39" s="69">
        <f t="shared" si="189"/>
        <v>0</v>
      </c>
      <c r="Y39" s="69">
        <f t="shared" si="189"/>
        <v>0</v>
      </c>
      <c r="Z39" s="69">
        <f t="shared" si="189"/>
        <v>0</v>
      </c>
      <c r="AA39" s="69">
        <f>$N$24*P$27</f>
        <v>0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4084.3874999999998</v>
      </c>
      <c r="D59" s="69">
        <f t="shared" si="201"/>
        <v>7862.7182300000004</v>
      </c>
      <c r="E59" s="69">
        <f t="shared" si="201"/>
        <v>7272.3880899999995</v>
      </c>
      <c r="F59" s="69">
        <f t="shared" si="201"/>
        <v>6727.8030899999994</v>
      </c>
      <c r="G59" s="69">
        <f t="shared" si="201"/>
        <v>6222.42821</v>
      </c>
      <c r="H59" s="69">
        <f t="shared" si="201"/>
        <v>5756.2634500000004</v>
      </c>
      <c r="I59" s="69">
        <f t="shared" si="201"/>
        <v>5323.8629600000004</v>
      </c>
      <c r="J59" s="69">
        <f t="shared" ref="J59:N59" si="202">SUM(J28:J57)</f>
        <v>4925.2267400000001</v>
      </c>
      <c r="K59" s="69">
        <f t="shared" si="202"/>
        <v>4859.8765400000002</v>
      </c>
      <c r="L59" s="69">
        <f t="shared" si="202"/>
        <v>4858.78737</v>
      </c>
      <c r="M59" s="69">
        <f t="shared" si="202"/>
        <v>4859.8765400000002</v>
      </c>
      <c r="N59" s="69">
        <f t="shared" si="202"/>
        <v>4858.78737</v>
      </c>
      <c r="O59" s="69">
        <f t="shared" ref="O59:AA59" si="203">SUM(O28:O57)</f>
        <v>4859.8765400000002</v>
      </c>
      <c r="P59" s="69">
        <f t="shared" si="203"/>
        <v>4858.78737</v>
      </c>
      <c r="Q59" s="69">
        <f t="shared" si="203"/>
        <v>4859.8765400000002</v>
      </c>
      <c r="R59" s="69">
        <f t="shared" si="203"/>
        <v>4858.78737</v>
      </c>
      <c r="S59" s="69">
        <f t="shared" si="203"/>
        <v>4859.8765400000002</v>
      </c>
      <c r="T59" s="69">
        <f t="shared" si="203"/>
        <v>4858.78737</v>
      </c>
      <c r="U59" s="69">
        <f t="shared" si="203"/>
        <v>4859.8765400000002</v>
      </c>
      <c r="V59" s="69">
        <f t="shared" si="203"/>
        <v>4858.78737</v>
      </c>
      <c r="W59" s="69">
        <f t="shared" si="203"/>
        <v>2429.9382700000001</v>
      </c>
      <c r="X59" s="69">
        <f t="shared" si="203"/>
        <v>0</v>
      </c>
      <c r="Y59" s="69">
        <f t="shared" si="203"/>
        <v>0</v>
      </c>
      <c r="Z59" s="69">
        <f t="shared" si="203"/>
        <v>0</v>
      </c>
      <c r="AA59" s="69">
        <f t="shared" si="203"/>
        <v>0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4084.3874999999998</v>
      </c>
      <c r="D60" s="69">
        <f t="shared" ref="D60:N60" si="204">D59+C60</f>
        <v>11947.105729999999</v>
      </c>
      <c r="E60" s="69">
        <f t="shared" si="204"/>
        <v>19219.49382</v>
      </c>
      <c r="F60" s="69">
        <f t="shared" si="204"/>
        <v>25947.296909999997</v>
      </c>
      <c r="G60" s="69">
        <f t="shared" si="204"/>
        <v>32169.725119999996</v>
      </c>
      <c r="H60" s="69">
        <f t="shared" si="204"/>
        <v>37925.988569999994</v>
      </c>
      <c r="I60" s="69">
        <f t="shared" si="204"/>
        <v>43249.851529999993</v>
      </c>
      <c r="J60" s="69">
        <f t="shared" si="204"/>
        <v>48175.078269999991</v>
      </c>
      <c r="K60" s="69">
        <f t="shared" si="204"/>
        <v>53034.954809999988</v>
      </c>
      <c r="L60" s="69">
        <f t="shared" si="204"/>
        <v>57893.742179999987</v>
      </c>
      <c r="M60" s="69">
        <f t="shared" si="204"/>
        <v>62753.618719999984</v>
      </c>
      <c r="N60" s="69">
        <f t="shared" si="204"/>
        <v>67612.406089999989</v>
      </c>
      <c r="O60" s="69">
        <f t="shared" ref="O60" si="205">O59+N60</f>
        <v>72472.282629999987</v>
      </c>
      <c r="P60" s="69">
        <f t="shared" ref="P60" si="206">P59+O60</f>
        <v>77331.069999999992</v>
      </c>
      <c r="Q60" s="69">
        <f t="shared" ref="Q60" si="207">Q59+P60</f>
        <v>82190.94653999999</v>
      </c>
      <c r="R60" s="69">
        <f t="shared" ref="R60" si="208">R59+Q60</f>
        <v>87049.733909999995</v>
      </c>
      <c r="S60" s="69">
        <f t="shared" ref="S60" si="209">S59+R60</f>
        <v>91909.610449999993</v>
      </c>
      <c r="T60" s="69">
        <f t="shared" ref="T60" si="210">T59+S60</f>
        <v>96768.397819999998</v>
      </c>
      <c r="U60" s="69">
        <f t="shared" ref="U60" si="211">U59+T60</f>
        <v>101628.27436</v>
      </c>
      <c r="V60" s="69">
        <f t="shared" ref="V60" si="212">V59+U60</f>
        <v>106487.06173</v>
      </c>
      <c r="W60" s="69">
        <f t="shared" ref="W60" si="213">W59+V60</f>
        <v>108917</v>
      </c>
      <c r="X60" s="69">
        <f t="shared" ref="X60" si="214">X59+W60</f>
        <v>108917</v>
      </c>
      <c r="Y60" s="69">
        <f t="shared" ref="Y60" si="215">Y59+X60</f>
        <v>108917</v>
      </c>
      <c r="Z60" s="69">
        <f t="shared" ref="Z60" si="216">Z59+Y60</f>
        <v>108917</v>
      </c>
      <c r="AA60" s="69">
        <f t="shared" ref="AA60" si="217">AA59+Z60</f>
        <v>108917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-1429.5356250000002</v>
      </c>
      <c r="D63" s="79">
        <f>+(D59-D19)*Input!$B$35</f>
        <v>-636.08617170000002</v>
      </c>
      <c r="E63" s="79">
        <f>+(E59-E19)*Input!$B$35</f>
        <v>-760.05550110000024</v>
      </c>
      <c r="F63" s="79">
        <f>+(F59-F19)*Input!$B$35</f>
        <v>-874.41835110000022</v>
      </c>
      <c r="G63" s="79">
        <f>+(G59-G19)*Input!$B$35</f>
        <v>-980.5470759000001</v>
      </c>
      <c r="H63" s="79">
        <f>+(H59-H19)*Input!$B$35</f>
        <v>-1078.4416755</v>
      </c>
      <c r="I63" s="79">
        <f>+(I59-I19)*Input!$B$35</f>
        <v>-1169.2457784000001</v>
      </c>
      <c r="J63" s="79">
        <f>+(J59-J19)*Input!$B$35</f>
        <v>-1252.9593846</v>
      </c>
      <c r="K63" s="79">
        <f>+(K59-K19)*Input!$B$35</f>
        <v>-1266.6829266</v>
      </c>
      <c r="L63" s="79">
        <f>+(L59-L19)*Input!$B$35</f>
        <v>-1266.9116523</v>
      </c>
      <c r="M63" s="79">
        <f>+(M59-M19)*Input!$B$35</f>
        <v>1020.5740734</v>
      </c>
      <c r="N63" s="79">
        <f>+(N59-N19)*Input!$B$35</f>
        <v>1020.3453476999999</v>
      </c>
      <c r="O63" s="79">
        <f>+(O59-O19)*Input!$B$35</f>
        <v>1020.5740734</v>
      </c>
      <c r="P63" s="79">
        <f>+(P59-P19)*Input!$B$35</f>
        <v>1020.3453476999999</v>
      </c>
      <c r="Q63" s="79">
        <f>+(Q59-Q19)*Input!$B$35</f>
        <v>1020.5740734</v>
      </c>
      <c r="R63" s="79">
        <f>+(R59-R19)*Input!$B$35</f>
        <v>1020.3453476999999</v>
      </c>
      <c r="S63" s="79">
        <f>+(S59-S19)*Input!$B$35</f>
        <v>1020.5740734</v>
      </c>
      <c r="T63" s="79">
        <f>+(T59-T19)*Input!$B$35</f>
        <v>1020.3453476999999</v>
      </c>
      <c r="U63" s="79">
        <f>+(U59-U19)*Input!$B$35</f>
        <v>1020.5740734</v>
      </c>
      <c r="V63" s="79">
        <f>+(V59-V19)*Input!$B$35</f>
        <v>1020.3453476999999</v>
      </c>
      <c r="W63" s="79">
        <f>+(W59-W19)*Input!$B$35</f>
        <v>510.28703669999999</v>
      </c>
      <c r="X63" s="79">
        <f>+(X59-X19)*Input!$B$35</f>
        <v>0</v>
      </c>
      <c r="Y63" s="79">
        <f>+(Y59-Y19)*Input!$B$35</f>
        <v>0</v>
      </c>
      <c r="Z63" s="79">
        <f>+(Z59-Z19)*Input!$B$35</f>
        <v>0</v>
      </c>
      <c r="AA63" s="79">
        <f>+(AA59-AA19)*Input!$B$35</f>
        <v>0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-1429.5356250000002</v>
      </c>
      <c r="D64" s="94">
        <f t="shared" ref="D64:N64" si="218">C64+D63</f>
        <v>-2065.6217967000002</v>
      </c>
      <c r="E64" s="94">
        <f t="shared" si="218"/>
        <v>-2825.6772978000004</v>
      </c>
      <c r="F64" s="94">
        <f t="shared" si="218"/>
        <v>-3700.0956489000005</v>
      </c>
      <c r="G64" s="94">
        <f t="shared" si="218"/>
        <v>-4680.6427248000009</v>
      </c>
      <c r="H64" s="94">
        <f>G64+H63</f>
        <v>-5759.0844003000011</v>
      </c>
      <c r="I64" s="94">
        <f t="shared" si="218"/>
        <v>-6928.3301787000009</v>
      </c>
      <c r="J64" s="94">
        <f t="shared" si="218"/>
        <v>-8181.2895633000007</v>
      </c>
      <c r="K64" s="94">
        <f t="shared" si="218"/>
        <v>-9447.9724899000012</v>
      </c>
      <c r="L64" s="94">
        <f t="shared" si="218"/>
        <v>-10714.8841422</v>
      </c>
      <c r="M64" s="94">
        <f t="shared" si="218"/>
        <v>-9694.3100688000013</v>
      </c>
      <c r="N64" s="69">
        <f t="shared" si="218"/>
        <v>-8673.964721100001</v>
      </c>
      <c r="O64" s="69">
        <f t="shared" ref="O64" si="219">N64+O63</f>
        <v>-7653.390647700001</v>
      </c>
      <c r="P64" s="69">
        <f t="shared" ref="P64" si="220">O64+P63</f>
        <v>-6633.0453000000007</v>
      </c>
      <c r="Q64" s="69">
        <f t="shared" ref="Q64" si="221">P64+Q63</f>
        <v>-5612.4712266000006</v>
      </c>
      <c r="R64" s="69">
        <f t="shared" ref="R64" si="222">Q64+R63</f>
        <v>-4592.1258789000003</v>
      </c>
      <c r="S64" s="69">
        <f t="shared" ref="S64" si="223">R64+S63</f>
        <v>-3571.5518055000002</v>
      </c>
      <c r="T64" s="69">
        <f t="shared" ref="T64" si="224">S64+T63</f>
        <v>-2551.2064578000004</v>
      </c>
      <c r="U64" s="69">
        <f t="shared" ref="U64" si="225">T64+U63</f>
        <v>-1530.6323844000003</v>
      </c>
      <c r="V64" s="69">
        <f t="shared" ref="V64" si="226">U64+V63</f>
        <v>-510.28703670000039</v>
      </c>
      <c r="W64" s="69">
        <f t="shared" ref="W64" si="227">V64+W63</f>
        <v>0</v>
      </c>
      <c r="X64" s="69">
        <f t="shared" ref="X64" si="228">W64+X63</f>
        <v>0</v>
      </c>
      <c r="Y64" s="69">
        <f t="shared" ref="Y64" si="229">X64+Y63</f>
        <v>0</v>
      </c>
      <c r="Z64" s="69">
        <f t="shared" ref="Z64" si="230">Y64+Z63</f>
        <v>0</v>
      </c>
      <c r="AA64" s="69">
        <f t="shared" ref="AA64" si="231">Z64+AA63</f>
        <v>0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-340.80810031250007</v>
      </c>
      <c r="D65" s="69">
        <f>+(D59-D19)*Input!$B$34</f>
        <v>-151.64597231505005</v>
      </c>
      <c r="E65" s="69">
        <f>+(E59-E19)*Input!$B$34</f>
        <v>-181.20085077415007</v>
      </c>
      <c r="F65" s="69">
        <f>+(F59-F19)*Input!$B$34</f>
        <v>-208.46549879915008</v>
      </c>
      <c r="G65" s="69">
        <f>+(G59-G19)*Input!$B$34</f>
        <v>-233.76709216635007</v>
      </c>
      <c r="H65" s="69">
        <f>+(H59-H19)*Input!$B$34</f>
        <v>-257.10563087575002</v>
      </c>
      <c r="I65" s="69">
        <f>+(I59-I19)*Input!$B$34</f>
        <v>-278.75376140760005</v>
      </c>
      <c r="J65" s="69">
        <f>+(J59-J19)*Input!$B$34</f>
        <v>-298.71148376190007</v>
      </c>
      <c r="K65" s="69">
        <f>+(K59-K19)*Input!$B$34</f>
        <v>-301.98324152490005</v>
      </c>
      <c r="L65" s="69">
        <f>+(L59-L19)*Input!$B$34</f>
        <v>-302.03777082095007</v>
      </c>
      <c r="M65" s="69">
        <f>+(M59-M19)*Input!$B$34</f>
        <v>243.30971897510003</v>
      </c>
      <c r="N65" s="69">
        <f>+(N59-N19)*Input!$B$34</f>
        <v>243.25518967905003</v>
      </c>
      <c r="O65" s="69">
        <f>+(O59-O19)*Input!$B$34</f>
        <v>243.30971897510003</v>
      </c>
      <c r="P65" s="69">
        <f>+(P59-P19)*Input!$B$34</f>
        <v>243.25518967905003</v>
      </c>
      <c r="Q65" s="69">
        <f>+(Q59-Q19)*Input!$B$34</f>
        <v>243.30971897510003</v>
      </c>
      <c r="R65" s="69">
        <f>+(R59-R19)*Input!$B$34</f>
        <v>243.25518967905003</v>
      </c>
      <c r="S65" s="69">
        <f>+(S59-S19)*Input!$B$34</f>
        <v>243.30971897510003</v>
      </c>
      <c r="T65" s="69">
        <f>+(T59-T19)*Input!$B$34</f>
        <v>243.25518967905003</v>
      </c>
      <c r="U65" s="69">
        <f>+(U59-U19)*Input!$B$34</f>
        <v>243.30971897510003</v>
      </c>
      <c r="V65" s="69">
        <f>+(V59-V19)*Input!$B$34</f>
        <v>243.25518967905003</v>
      </c>
      <c r="W65" s="69">
        <f>+(W59-W19)*Input!$B$34</f>
        <v>121.65485948755001</v>
      </c>
      <c r="X65" s="69">
        <f>+(X59-X19)*Input!$B$34</f>
        <v>0</v>
      </c>
      <c r="Y65" s="69">
        <f>+(Y59-Y19)*Input!$B$34</f>
        <v>0</v>
      </c>
      <c r="Z65" s="69">
        <f>+(Z59-Z19)*Input!$B$34</f>
        <v>0</v>
      </c>
      <c r="AA65" s="69">
        <f>+(AA59-AA19)*Input!$B$34</f>
        <v>0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-340.80810031250007</v>
      </c>
      <c r="D66" s="69">
        <f>+C66+D65</f>
        <v>-492.45407262755009</v>
      </c>
      <c r="E66" s="69">
        <f t="shared" ref="E66:N66" si="232">D66+E65</f>
        <v>-673.65492340170022</v>
      </c>
      <c r="F66" s="69">
        <f t="shared" si="232"/>
        <v>-882.12042220085027</v>
      </c>
      <c r="G66" s="69">
        <f t="shared" si="232"/>
        <v>-1115.8875143672003</v>
      </c>
      <c r="H66" s="69">
        <f t="shared" si="232"/>
        <v>-1372.9931452429503</v>
      </c>
      <c r="I66" s="69">
        <f t="shared" si="232"/>
        <v>-1651.7469066505503</v>
      </c>
      <c r="J66" s="69">
        <f t="shared" si="232"/>
        <v>-1950.4583904124504</v>
      </c>
      <c r="K66" s="69">
        <f t="shared" si="232"/>
        <v>-2252.4416319373504</v>
      </c>
      <c r="L66" s="69">
        <f t="shared" si="232"/>
        <v>-2554.4794027583002</v>
      </c>
      <c r="M66" s="69">
        <f t="shared" si="232"/>
        <v>-2311.1696837832001</v>
      </c>
      <c r="N66" s="69">
        <f t="shared" si="232"/>
        <v>-2067.91449410415</v>
      </c>
      <c r="O66" s="69">
        <f t="shared" ref="O66" si="233">N66+O65</f>
        <v>-1824.60477512905</v>
      </c>
      <c r="P66" s="69">
        <f t="shared" ref="P66" si="234">O66+P65</f>
        <v>-1581.3495854499999</v>
      </c>
      <c r="Q66" s="69">
        <f t="shared" ref="Q66" si="235">P66+Q65</f>
        <v>-1338.0398664749</v>
      </c>
      <c r="R66" s="69">
        <f t="shared" ref="R66" si="236">Q66+R65</f>
        <v>-1094.7846767958499</v>
      </c>
      <c r="S66" s="69">
        <f t="shared" ref="S66" si="237">R66+S65</f>
        <v>-851.47495782074986</v>
      </c>
      <c r="T66" s="69">
        <f t="shared" ref="T66" si="238">S66+T65</f>
        <v>-608.21976814169989</v>
      </c>
      <c r="U66" s="69">
        <f t="shared" ref="U66" si="239">T66+U65</f>
        <v>-364.91004916659983</v>
      </c>
      <c r="V66" s="69">
        <f t="shared" ref="V66" si="240">U66+V65</f>
        <v>-121.6548594875498</v>
      </c>
      <c r="W66" s="69">
        <f t="shared" ref="W66" si="241">V66+W65</f>
        <v>2.1316282072803006E-13</v>
      </c>
      <c r="X66" s="69">
        <f t="shared" ref="X66" si="242">W66+X65</f>
        <v>2.1316282072803006E-13</v>
      </c>
      <c r="Y66" s="69">
        <f t="shared" ref="Y66" si="243">X66+Y65</f>
        <v>2.1316282072803006E-13</v>
      </c>
      <c r="Z66" s="69">
        <f t="shared" ref="Z66" si="244">Y66+Z65</f>
        <v>2.1316282072803006E-13</v>
      </c>
      <c r="AA66" s="69">
        <f t="shared" ref="AA66" si="245">Z66+AA65</f>
        <v>2.1316282072803006E-13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71.569701065625011</v>
      </c>
      <c r="D67" s="94">
        <f>-D65*Input!$B$35</f>
        <v>31.845654186160509</v>
      </c>
      <c r="E67" s="69">
        <f>-E65*Input!$B$35</f>
        <v>38.052178662571514</v>
      </c>
      <c r="F67" s="69">
        <f>-F65*Input!$B$35</f>
        <v>43.777754747821518</v>
      </c>
      <c r="G67" s="69">
        <f>-G65*Input!$B$35</f>
        <v>49.091089354933516</v>
      </c>
      <c r="H67" s="69">
        <f>-H65*Input!$B$35</f>
        <v>53.992182483907506</v>
      </c>
      <c r="I67" s="69">
        <f>-I65*Input!$B$35</f>
        <v>58.538289895596009</v>
      </c>
      <c r="J67" s="69">
        <f>-J65*Input!$B$35</f>
        <v>62.72941158999901</v>
      </c>
      <c r="K67" s="69">
        <f>-K65*Input!$B$35</f>
        <v>63.416480720229011</v>
      </c>
      <c r="L67" s="69">
        <f>-L65*Input!$B$35</f>
        <v>63.427931872399512</v>
      </c>
      <c r="M67" s="69">
        <f>-M65*Input!$B$35</f>
        <v>-51.095040984771003</v>
      </c>
      <c r="N67" s="69">
        <f>-N65*Input!$B$35</f>
        <v>-51.083589832600502</v>
      </c>
      <c r="O67" s="69">
        <f>-O65*Input!$B$35</f>
        <v>-51.095040984771003</v>
      </c>
      <c r="P67" s="69">
        <f>-P65*Input!$B$35</f>
        <v>-51.083589832600502</v>
      </c>
      <c r="Q67" s="69">
        <f>-Q65*Input!$B$35</f>
        <v>-51.095040984771003</v>
      </c>
      <c r="R67" s="69">
        <f>-R65*Input!$B$35</f>
        <v>-51.083589832600502</v>
      </c>
      <c r="S67" s="69">
        <f>-S65*Input!$B$35</f>
        <v>-51.095040984771003</v>
      </c>
      <c r="T67" s="69">
        <f>-T65*Input!$B$35</f>
        <v>-51.083589832600502</v>
      </c>
      <c r="U67" s="69">
        <f>-U65*Input!$B$35</f>
        <v>-51.095040984771003</v>
      </c>
      <c r="V67" s="69">
        <f>-V65*Input!$B$35</f>
        <v>-51.083589832600502</v>
      </c>
      <c r="W67" s="69">
        <f>-W65*Input!$B$35</f>
        <v>-25.547520492385502</v>
      </c>
      <c r="X67" s="69">
        <f>-X65*Input!$B$35</f>
        <v>0</v>
      </c>
      <c r="Y67" s="69">
        <f>-Y65*Input!$B$35</f>
        <v>0</v>
      </c>
      <c r="Z67" s="69">
        <f>-Z65*Input!$B$35</f>
        <v>0</v>
      </c>
      <c r="AA67" s="69">
        <f>-AA65*Input!$B$35</f>
        <v>0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71.569701065625011</v>
      </c>
      <c r="D68" s="69">
        <f>+C68+D67</f>
        <v>103.41535525178551</v>
      </c>
      <c r="E68" s="69">
        <f t="shared" ref="E68:N68" si="246">D68+E67</f>
        <v>141.46753391435703</v>
      </c>
      <c r="F68" s="69">
        <f t="shared" si="246"/>
        <v>185.24528866217855</v>
      </c>
      <c r="G68" s="69">
        <f t="shared" si="246"/>
        <v>234.33637801711205</v>
      </c>
      <c r="H68" s="69">
        <f t="shared" si="246"/>
        <v>288.32856050101958</v>
      </c>
      <c r="I68" s="69">
        <f t="shared" si="246"/>
        <v>346.86685039661558</v>
      </c>
      <c r="J68" s="69">
        <f t="shared" si="246"/>
        <v>409.59626198661459</v>
      </c>
      <c r="K68" s="69">
        <f t="shared" si="246"/>
        <v>473.0127427068436</v>
      </c>
      <c r="L68" s="69">
        <f t="shared" si="246"/>
        <v>536.44067457924314</v>
      </c>
      <c r="M68" s="69">
        <f t="shared" si="246"/>
        <v>485.34563359447213</v>
      </c>
      <c r="N68" s="69">
        <f t="shared" si="246"/>
        <v>434.26204376187161</v>
      </c>
      <c r="O68" s="69">
        <f t="shared" ref="O68" si="247">N68+O67</f>
        <v>383.16700277710061</v>
      </c>
      <c r="P68" s="69">
        <f t="shared" ref="P68" si="248">O68+P67</f>
        <v>332.08341294450008</v>
      </c>
      <c r="Q68" s="69">
        <f t="shared" ref="Q68" si="249">P68+Q67</f>
        <v>280.98837195972908</v>
      </c>
      <c r="R68" s="69">
        <f t="shared" ref="R68" si="250">Q68+R67</f>
        <v>229.90478212712858</v>
      </c>
      <c r="S68" s="69">
        <f t="shared" ref="S68" si="251">R68+S67</f>
        <v>178.80974114235758</v>
      </c>
      <c r="T68" s="69">
        <f t="shared" ref="T68" si="252">S68+T67</f>
        <v>127.72615130975709</v>
      </c>
      <c r="U68" s="69">
        <f t="shared" ref="U68" si="253">T68+U67</f>
        <v>76.631110324986082</v>
      </c>
      <c r="V68" s="69">
        <f t="shared" ref="V68" si="254">U68+V67</f>
        <v>25.54752049238558</v>
      </c>
      <c r="W68" s="69">
        <f t="shared" ref="W68" si="255">V68+W67</f>
        <v>7.815970093361102E-14</v>
      </c>
      <c r="X68" s="69">
        <f t="shared" ref="X68" si="256">W68+X67</f>
        <v>7.815970093361102E-14</v>
      </c>
      <c r="Y68" s="69">
        <f t="shared" ref="Y68" si="257">X68+Y67</f>
        <v>7.815970093361102E-14</v>
      </c>
      <c r="Z68" s="69">
        <f t="shared" ref="Z68" si="258">Y68+Z67</f>
        <v>7.815970093361102E-14</v>
      </c>
      <c r="AA68" s="69">
        <f t="shared" ref="AA68" si="259">Z68+AA67</f>
        <v>7.815970093361102E-14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20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KPSC 1-10 Confidential Attachment 5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Y65"/>
  <sheetViews>
    <sheetView zoomScaleNormal="100" zoomScaleSheetLayoutView="50" workbookViewId="0">
      <selection activeCell="D30" sqref="D30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4" width="14.5703125" style="1" customWidth="1"/>
    <col min="15" max="25" width="13.28515625" style="1" customWidth="1"/>
    <col min="26" max="16384" width="9.140625" style="1"/>
  </cols>
  <sheetData>
    <row r="1" spans="1:25" ht="14.25">
      <c r="A1" s="256" t="str">
        <f>Input!B2&amp;" Total Company"</f>
        <v>KPCO Total Company</v>
      </c>
      <c r="B1" s="256"/>
      <c r="C1" s="256"/>
      <c r="D1" s="256"/>
      <c r="E1" s="256"/>
      <c r="F1" s="256"/>
      <c r="G1" s="256"/>
      <c r="H1" s="256"/>
      <c r="I1" s="256"/>
      <c r="J1" s="256"/>
    </row>
    <row r="2" spans="1:25" ht="14.25">
      <c r="A2" s="256" t="s">
        <v>13</v>
      </c>
      <c r="B2" s="256"/>
      <c r="C2" s="256"/>
      <c r="D2" s="256"/>
      <c r="E2" s="256"/>
      <c r="F2" s="256"/>
      <c r="G2" s="256"/>
      <c r="H2" s="256"/>
      <c r="I2" s="256"/>
      <c r="J2" s="256"/>
    </row>
    <row r="3" spans="1:2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</row>
    <row r="5" spans="1:25">
      <c r="A5" s="7"/>
      <c r="B5" s="95">
        <f>Input!B7</f>
        <v>2028</v>
      </c>
      <c r="C5" s="95">
        <f>B5+1</f>
        <v>2029</v>
      </c>
      <c r="D5" s="95">
        <f t="shared" ref="D5:L5" si="0">C5+1</f>
        <v>2030</v>
      </c>
      <c r="E5" s="95">
        <f t="shared" si="0"/>
        <v>2031</v>
      </c>
      <c r="F5" s="95">
        <f t="shared" si="0"/>
        <v>2032</v>
      </c>
      <c r="G5" s="95">
        <f t="shared" si="0"/>
        <v>2033</v>
      </c>
      <c r="H5" s="95">
        <f t="shared" si="0"/>
        <v>2034</v>
      </c>
      <c r="I5" s="95">
        <f t="shared" si="0"/>
        <v>2035</v>
      </c>
      <c r="J5" s="95">
        <f t="shared" si="0"/>
        <v>2036</v>
      </c>
      <c r="K5" s="95">
        <f t="shared" si="0"/>
        <v>2037</v>
      </c>
      <c r="L5" s="95">
        <f t="shared" si="0"/>
        <v>2038</v>
      </c>
      <c r="M5" s="95">
        <f t="shared" ref="M5" si="1">L5+1</f>
        <v>2039</v>
      </c>
      <c r="N5" s="95">
        <f t="shared" ref="N5" si="2">M5+1</f>
        <v>2040</v>
      </c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</row>
    <row r="6" spans="1:25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>
        <f>Input!N46</f>
        <v>0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>
        <f>Input!N48</f>
        <v>0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>
        <f>Input!N49</f>
        <v>0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>
        <f>Input!N50</f>
        <v>0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>
        <f>Input!N51</f>
        <v>0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>
        <f>Input!N52</f>
        <v>0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3">SUM(G6:G12)</f>
        <v>0</v>
      </c>
      <c r="H13" s="54">
        <f t="shared" si="3"/>
        <v>0</v>
      </c>
      <c r="I13" s="54">
        <f t="shared" si="3"/>
        <v>0</v>
      </c>
      <c r="J13" s="54">
        <f t="shared" si="3"/>
        <v>0</v>
      </c>
      <c r="K13" s="54">
        <f t="shared" si="3"/>
        <v>0</v>
      </c>
      <c r="L13" s="54">
        <f t="shared" si="3"/>
        <v>0</v>
      </c>
      <c r="M13" s="54">
        <f t="shared" ref="M13" si="4">SUM(M6:M12)</f>
        <v>0</v>
      </c>
      <c r="N13" s="54">
        <f t="shared" ref="N13" si="5">SUM(N6:N12)</f>
        <v>0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>
      <c r="A14" s="97" t="s">
        <v>181</v>
      </c>
      <c r="B14" s="3">
        <f>'Rate Base - coal'!C19*1000</f>
        <v>10891700</v>
      </c>
      <c r="C14" s="3">
        <f>'Rate Base - coal'!D19*1000</f>
        <v>10891700</v>
      </c>
      <c r="D14" s="3">
        <f>'Rate Base - coal'!E19*1000</f>
        <v>10891700</v>
      </c>
      <c r="E14" s="3">
        <f>'Rate Base - coal'!F19*1000</f>
        <v>10891700</v>
      </c>
      <c r="F14" s="3">
        <f>'Rate Base - coal'!G19*1000</f>
        <v>10891700</v>
      </c>
      <c r="G14" s="3">
        <f>'Rate Base - coal'!H19*1000</f>
        <v>10891700</v>
      </c>
      <c r="H14" s="3">
        <f>'Rate Base - coal'!I19*1000</f>
        <v>10891700</v>
      </c>
      <c r="I14" s="3">
        <f>'Rate Base - coal'!J19*1000</f>
        <v>10891700</v>
      </c>
      <c r="J14" s="3">
        <f>'Rate Base - coal'!K19*1000</f>
        <v>10891700</v>
      </c>
      <c r="K14" s="3">
        <f>'Rate Base - coal'!L19*1000</f>
        <v>10891700</v>
      </c>
      <c r="L14" s="3">
        <f>'Rate Base - coal'!M19*1000</f>
        <v>0</v>
      </c>
      <c r="M14" s="3">
        <f>'Rate Base - coal'!N19*1000</f>
        <v>0</v>
      </c>
      <c r="N14" s="3">
        <f>'Rate Base - coal'!O19*1000</f>
        <v>0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>
      <c r="A15" s="97" t="s">
        <v>158</v>
      </c>
      <c r="B15" s="3">
        <f>SIT!D20</f>
        <v>-338381.00326583209</v>
      </c>
      <c r="C15" s="3">
        <f>SIT!E20</f>
        <v>-513934.11709842569</v>
      </c>
      <c r="D15" s="3">
        <f>SIT!F20</f>
        <v>-470968.02294795908</v>
      </c>
      <c r="E15" s="3">
        <f>SIT!G20</f>
        <v>-430474.63014809595</v>
      </c>
      <c r="F15" s="3">
        <f>SIT!H20</f>
        <v>-392113.62501654797</v>
      </c>
      <c r="G15" s="3">
        <f>SIT!I20</f>
        <v>-355871.86964732705</v>
      </c>
      <c r="H15" s="3">
        <f>SIT!J20</f>
        <v>-321465.40436335996</v>
      </c>
      <c r="I15" s="3">
        <f>SIT!K20</f>
        <v>-288882.91596782336</v>
      </c>
      <c r="J15" s="3">
        <f>SIT!L20</f>
        <v>-273008.28867356718</v>
      </c>
      <c r="K15" s="3">
        <f>SIT!M20</f>
        <v>-260351.25478809397</v>
      </c>
      <c r="L15" s="3">
        <f>SIT!N20</f>
        <v>-258777.41362526696</v>
      </c>
      <c r="M15" s="3">
        <f>SIT!O20</f>
        <v>-257094.87881217292</v>
      </c>
      <c r="N15" s="3">
        <f>SIT!P20</f>
        <v>-255521.03764934585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>
      <c r="A16" s="97" t="s">
        <v>157</v>
      </c>
      <c r="B16" s="3">
        <f>('Rate Base - coal'!C65)*1000</f>
        <v>-340808.10031250009</v>
      </c>
      <c r="C16" s="3">
        <f>('Rate Base - coal'!D65)*1000</f>
        <v>-151645.97231505005</v>
      </c>
      <c r="D16" s="3">
        <f>('Rate Base - coal'!E65)*1000</f>
        <v>-181200.85077415008</v>
      </c>
      <c r="E16" s="3">
        <f>('Rate Base - coal'!F65)*1000</f>
        <v>-208465.49879915008</v>
      </c>
      <c r="F16" s="3">
        <f>('Rate Base - coal'!G65)*1000</f>
        <v>-233767.09216635008</v>
      </c>
      <c r="G16" s="3">
        <f>('Rate Base - coal'!H65)*1000</f>
        <v>-257105.63087575004</v>
      </c>
      <c r="H16" s="3">
        <f>('Rate Base - coal'!I65)*1000</f>
        <v>-278753.76140760008</v>
      </c>
      <c r="I16" s="3">
        <f>('Rate Base - coal'!J65)*1000</f>
        <v>-298711.48376190005</v>
      </c>
      <c r="J16" s="3">
        <f>('Rate Base - coal'!K65)*1000</f>
        <v>-301983.24152490008</v>
      </c>
      <c r="K16" s="3">
        <f>('Rate Base - coal'!L65)*1000</f>
        <v>-302037.7708209501</v>
      </c>
      <c r="L16" s="3">
        <f>('Rate Base - coal'!M65)*1000</f>
        <v>243309.71897510003</v>
      </c>
      <c r="M16" s="3">
        <f>('Rate Base - coal'!N65)*1000</f>
        <v>243255.18967905003</v>
      </c>
      <c r="N16" s="3">
        <f>('Rate Base - coal'!O65)*1000</f>
        <v>243309.71897510003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>
      <c r="A17" s="7" t="s">
        <v>64</v>
      </c>
      <c r="B17" s="3">
        <f>FIT!D25</f>
        <v>-1348295.0414628766</v>
      </c>
      <c r="C17" s="3">
        <f>FIT!E25</f>
        <v>-2047794.6901116055</v>
      </c>
      <c r="D17" s="3">
        <f>FIT!F25</f>
        <v>-1876594.2647479193</v>
      </c>
      <c r="E17" s="3">
        <f>FIT!G25</f>
        <v>-1715246.434352214</v>
      </c>
      <c r="F17" s="3">
        <f>FIT!H25</f>
        <v>-1562395.2030324545</v>
      </c>
      <c r="G17" s="3">
        <f>FIT!I25</f>
        <v>-1417988.2221835821</v>
      </c>
      <c r="H17" s="3">
        <f>FIT!J25</f>
        <v>-1280894.0411009837</v>
      </c>
      <c r="I17" s="3">
        <f>FIT!K25</f>
        <v>-1151067.5818191906</v>
      </c>
      <c r="J17" s="3">
        <f>FIT!L25</f>
        <v>-1087814.3818483222</v>
      </c>
      <c r="K17" s="3">
        <f>FIT!M25</f>
        <v>-1037381.8343273123</v>
      </c>
      <c r="L17" s="3">
        <f>FIT!N25</f>
        <v>-1031110.7901037603</v>
      </c>
      <c r="M17" s="3">
        <f>FIT!O25</f>
        <v>-1024406.6509124677</v>
      </c>
      <c r="N17" s="3">
        <f>FIT!P25</f>
        <v>-1018135.606688916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>
      <c r="A18" s="7" t="s">
        <v>65</v>
      </c>
      <c r="B18" s="3">
        <f>('Rate Base - coal'!C63+'Rate Base - coal'!C67)*1000</f>
        <v>-1357965.9239343752</v>
      </c>
      <c r="C18" s="3">
        <f>('Rate Base - coal'!D63+'Rate Base - coal'!D67)*1000</f>
        <v>-604240.51751383953</v>
      </c>
      <c r="D18" s="3">
        <f>('Rate Base - coal'!E63+'Rate Base - coal'!E67)*1000</f>
        <v>-722003.32243742875</v>
      </c>
      <c r="E18" s="3">
        <f>('Rate Base - coal'!F63+'Rate Base - coal'!F67)*1000</f>
        <v>-830640.59635217872</v>
      </c>
      <c r="F18" s="3">
        <f>('Rate Base - coal'!G63+'Rate Base - coal'!G67)*1000</f>
        <v>-931455.98654506658</v>
      </c>
      <c r="G18" s="3">
        <f>('Rate Base - coal'!H63+'Rate Base - coal'!H67)*1000</f>
        <v>-1024449.4930160925</v>
      </c>
      <c r="H18" s="3">
        <f>('Rate Base - coal'!I63+'Rate Base - coal'!I67)*1000</f>
        <v>-1110707.488504404</v>
      </c>
      <c r="I18" s="3">
        <f>('Rate Base - coal'!J63+'Rate Base - coal'!J67)*1000</f>
        <v>-1190229.973010001</v>
      </c>
      <c r="J18" s="3">
        <f>('Rate Base - coal'!K63+'Rate Base - coal'!K67)*1000</f>
        <v>-1203266.4458797711</v>
      </c>
      <c r="K18" s="3">
        <f>('Rate Base - coal'!L63+'Rate Base - coal'!L67)*1000</f>
        <v>-1203483.7204276004</v>
      </c>
      <c r="L18" s="3">
        <f>('Rate Base - coal'!M63+'Rate Base - coal'!M67)*1000</f>
        <v>969479.03241522901</v>
      </c>
      <c r="M18" s="3">
        <f>('Rate Base - coal'!N63+'Rate Base - coal'!N67)*1000</f>
        <v>969261.75786739937</v>
      </c>
      <c r="N18" s="3">
        <f>('Rate Base - coal'!O63+'Rate Base - coal'!O67)*1000</f>
        <v>969479.03241522901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5">
      <c r="A19" s="23" t="s">
        <v>7</v>
      </c>
      <c r="B19" s="22">
        <f>SUM(B13:B18)</f>
        <v>7506249.9310244182</v>
      </c>
      <c r="C19" s="22">
        <f>SUM(C13:C18)</f>
        <v>7574084.7029610779</v>
      </c>
      <c r="D19" s="22">
        <f>SUM(D13:D18)</f>
        <v>7640933.5390925417</v>
      </c>
      <c r="E19" s="22">
        <f>SUM(E13:E18)</f>
        <v>7706872.8403483611</v>
      </c>
      <c r="F19" s="22">
        <f>SUM(F13:F18)</f>
        <v>7771968.0932395821</v>
      </c>
      <c r="G19" s="22">
        <f t="shared" ref="G19:L19" si="6">SUM(G13:G18)</f>
        <v>7836284.7842772491</v>
      </c>
      <c r="H19" s="22">
        <f t="shared" si="6"/>
        <v>7899879.3046236504</v>
      </c>
      <c r="I19" s="22">
        <f t="shared" si="6"/>
        <v>7962808.0454410864</v>
      </c>
      <c r="J19" s="22">
        <f t="shared" si="6"/>
        <v>8025627.6420734404</v>
      </c>
      <c r="K19" s="22">
        <f t="shared" si="6"/>
        <v>8088445.4196360447</v>
      </c>
      <c r="L19" s="22">
        <f t="shared" si="6"/>
        <v>-77099.452338698204</v>
      </c>
      <c r="M19" s="22">
        <f t="shared" ref="M19:N19" si="7">SUM(M13:M18)</f>
        <v>-68984.582178191282</v>
      </c>
      <c r="N19" s="22">
        <f t="shared" si="7"/>
        <v>-60867.892947932822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">
      <c r="A21" s="23" t="s">
        <v>107</v>
      </c>
      <c r="B21" s="53">
        <f t="shared" ref="B21:N21" si="8">WACC</f>
        <v>6.9533995942596558E-2</v>
      </c>
      <c r="C21" s="53">
        <f t="shared" si="8"/>
        <v>6.9533995942596558E-2</v>
      </c>
      <c r="D21" s="53">
        <f t="shared" si="8"/>
        <v>6.9533995942596558E-2</v>
      </c>
      <c r="E21" s="53">
        <f t="shared" si="8"/>
        <v>6.9533995942596558E-2</v>
      </c>
      <c r="F21" s="53">
        <f t="shared" si="8"/>
        <v>6.9533995942596558E-2</v>
      </c>
      <c r="G21" s="53">
        <f t="shared" si="8"/>
        <v>6.9533995942596558E-2</v>
      </c>
      <c r="H21" s="53">
        <f t="shared" si="8"/>
        <v>6.9533995942596558E-2</v>
      </c>
      <c r="I21" s="53">
        <f t="shared" si="8"/>
        <v>6.9533995942596558E-2</v>
      </c>
      <c r="J21" s="53">
        <f t="shared" si="8"/>
        <v>6.9533995942596558E-2</v>
      </c>
      <c r="K21" s="53">
        <f t="shared" si="8"/>
        <v>6.9533995942596558E-2</v>
      </c>
      <c r="L21" s="53">
        <f t="shared" si="8"/>
        <v>6.9533995942596558E-2</v>
      </c>
      <c r="M21" s="53">
        <f t="shared" si="8"/>
        <v>6.9533995942596558E-2</v>
      </c>
      <c r="N21" s="53">
        <f t="shared" si="8"/>
        <v>6.9533995942596558E-2</v>
      </c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</row>
    <row r="22" spans="1:25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">
      <c r="A23" s="23" t="s">
        <v>0</v>
      </c>
      <c r="B23" s="7">
        <f>('Rate Base - coal'!C16)*1000</f>
        <v>99724074.024246871</v>
      </c>
      <c r="C23" s="7">
        <f>('Rate Base - coal'!D16)*1000</f>
        <v>89588260.514075771</v>
      </c>
      <c r="D23" s="7">
        <f>('Rate Base - coal'!E16)*1000</f>
        <v>79599764.687287346</v>
      </c>
      <c r="E23" s="7">
        <f>('Rate Base - coal'!F16)*1000</f>
        <v>69747170.782438666</v>
      </c>
      <c r="F23" s="7">
        <f>('Rate Base - coal'!G16)*1000</f>
        <v>60020693.861150086</v>
      </c>
      <c r="G23" s="7">
        <f>('Rate Base - coal'!H16)*1000</f>
        <v>50410548.985041931</v>
      </c>
      <c r="H23" s="7">
        <f>('Rate Base - coal'!I16)*1000</f>
        <v>40908310.23495394</v>
      </c>
      <c r="I23" s="7">
        <f>('Rate Base - coal'!J16)*1000</f>
        <v>31505551.691725846</v>
      </c>
      <c r="J23" s="7">
        <f>('Rate Base - coal'!K16)*1000</f>
        <v>22119101.379130516</v>
      </c>
      <c r="K23" s="7">
        <f>('Rate Base - coal'!L16)*1000</f>
        <v>12732922.870379072</v>
      </c>
      <c r="L23" s="7">
        <f>('Rate Base - coal'!M16)*1000</f>
        <v>11520134.118988745</v>
      </c>
      <c r="M23" s="7">
        <f>('Rate Base - coal'!N16)*1000</f>
        <v>10307617.171442294</v>
      </c>
      <c r="N23" s="7">
        <f>('Rate Base - coal'!O16)*1000</f>
        <v>9094828.420051964</v>
      </c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5">
      <c r="A24" s="23" t="s">
        <v>40</v>
      </c>
      <c r="B24" s="7">
        <f>B23*B21</f>
        <v>6934213.3585811807</v>
      </c>
      <c r="C24" s="7">
        <f>C23*C21</f>
        <v>6229429.7430900279</v>
      </c>
      <c r="D24" s="7">
        <f>D23*D21</f>
        <v>5534889.7147974791</v>
      </c>
      <c r="E24" s="7">
        <f>E23*E21</f>
        <v>4849799.490193679</v>
      </c>
      <c r="F24" s="7">
        <f>F23*F21</f>
        <v>4173478.6834130404</v>
      </c>
      <c r="G24" s="7">
        <f t="shared" ref="G24:L24" si="9">G23*G21</f>
        <v>3505246.9085899708</v>
      </c>
      <c r="H24" s="7">
        <f t="shared" si="9"/>
        <v>2844518.2778957686</v>
      </c>
      <c r="I24" s="7">
        <f t="shared" si="9"/>
        <v>2190706.9035017313</v>
      </c>
      <c r="J24" s="7">
        <f t="shared" si="9"/>
        <v>1538029.5055503433</v>
      </c>
      <c r="K24" s="7">
        <f t="shared" si="9"/>
        <v>885371.00720633334</v>
      </c>
      <c r="L24" s="7">
        <f t="shared" si="9"/>
        <v>801040.95908793155</v>
      </c>
      <c r="M24" s="7">
        <f t="shared" ref="M24:N24" si="10">M23*M21</f>
        <v>716729.81057690713</v>
      </c>
      <c r="N24" s="7">
        <f t="shared" si="10"/>
        <v>632399.76245850511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5">
      <c r="A25" s="99"/>
      <c r="B25" s="81"/>
      <c r="C25" s="8"/>
    </row>
    <row r="26" spans="1:25">
      <c r="A26" s="1" t="s">
        <v>61</v>
      </c>
      <c r="B26" s="38">
        <f>B24+B19</f>
        <v>14440463.289605599</v>
      </c>
      <c r="C26" s="38">
        <f>C24+C19</f>
        <v>13803514.446051106</v>
      </c>
      <c r="D26" s="38">
        <f>D24+D19</f>
        <v>13175823.253890021</v>
      </c>
      <c r="E26" s="38">
        <f>E24+E19</f>
        <v>12556672.330542039</v>
      </c>
      <c r="F26" s="38">
        <f>F24+F19</f>
        <v>11945446.776652623</v>
      </c>
      <c r="G26" s="38">
        <f t="shared" ref="G26:L26" si="11">G24+G19</f>
        <v>11341531.692867219</v>
      </c>
      <c r="H26" s="38">
        <f t="shared" si="11"/>
        <v>10744397.582519419</v>
      </c>
      <c r="I26" s="38">
        <f t="shared" si="11"/>
        <v>10153514.948942818</v>
      </c>
      <c r="J26" s="38">
        <f t="shared" si="11"/>
        <v>9563657.147623783</v>
      </c>
      <c r="K26" s="38">
        <f t="shared" si="11"/>
        <v>8973816.4268423785</v>
      </c>
      <c r="L26" s="38">
        <f t="shared" si="11"/>
        <v>723941.50674923335</v>
      </c>
      <c r="M26" s="38">
        <f t="shared" ref="M26:N26" si="12">M24+M19</f>
        <v>647745.22839871584</v>
      </c>
      <c r="N26" s="38">
        <f t="shared" si="12"/>
        <v>571531.86951057229</v>
      </c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</row>
    <row r="27" spans="1:25" s="47" customFormat="1">
      <c r="A27" s="47" t="s">
        <v>62</v>
      </c>
      <c r="B27" s="122">
        <f t="shared" ref="B27:N27" si="13">GRCF</f>
        <v>1.3258945200000001</v>
      </c>
      <c r="C27" s="122">
        <f t="shared" si="13"/>
        <v>1.3258945200000001</v>
      </c>
      <c r="D27" s="122">
        <f t="shared" si="13"/>
        <v>1.3258945200000001</v>
      </c>
      <c r="E27" s="122">
        <f t="shared" si="13"/>
        <v>1.3258945200000001</v>
      </c>
      <c r="F27" s="122">
        <f t="shared" si="13"/>
        <v>1.3258945200000001</v>
      </c>
      <c r="G27" s="122">
        <f t="shared" si="13"/>
        <v>1.3258945200000001</v>
      </c>
      <c r="H27" s="122">
        <f t="shared" si="13"/>
        <v>1.3258945200000001</v>
      </c>
      <c r="I27" s="122">
        <f t="shared" si="13"/>
        <v>1.3258945200000001</v>
      </c>
      <c r="J27" s="122">
        <f t="shared" si="13"/>
        <v>1.3258945200000001</v>
      </c>
      <c r="K27" s="122">
        <f t="shared" si="13"/>
        <v>1.3258945200000001</v>
      </c>
      <c r="L27" s="122">
        <f t="shared" si="13"/>
        <v>1.3258945200000001</v>
      </c>
      <c r="M27" s="122">
        <f t="shared" si="13"/>
        <v>1.3258945200000001</v>
      </c>
      <c r="N27" s="122">
        <f t="shared" si="13"/>
        <v>1.3258945200000001</v>
      </c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</row>
    <row r="28" spans="1:25" ht="15.75" thickBot="1">
      <c r="A28" s="23" t="s">
        <v>63</v>
      </c>
      <c r="B28" s="5">
        <f>B26*B27</f>
        <v>19146531.141949236</v>
      </c>
      <c r="C28" s="5">
        <f>C26*C27</f>
        <v>18302004.160759997</v>
      </c>
      <c r="D28" s="5">
        <f>D26*D27</f>
        <v>17469751.848821349</v>
      </c>
      <c r="E28" s="5">
        <f>E26*E27</f>
        <v>16648823.032501319</v>
      </c>
      <c r="F28" s="5">
        <f>F26*F27</f>
        <v>15838402.420115378</v>
      </c>
      <c r="G28" s="5">
        <f t="shared" ref="G28:L28" si="14">G26*G27</f>
        <v>15037674.71997897</v>
      </c>
      <c r="H28" s="5">
        <f t="shared" si="14"/>
        <v>14245937.875363747</v>
      </c>
      <c r="I28" s="5">
        <f t="shared" si="14"/>
        <v>13462489.829541363</v>
      </c>
      <c r="J28" s="5">
        <f t="shared" si="14"/>
        <v>12680400.603193205</v>
      </c>
      <c r="K28" s="5">
        <f t="shared" si="14"/>
        <v>11898334.02383629</v>
      </c>
      <c r="L28" s="5">
        <f t="shared" si="14"/>
        <v>959870.0765993516</v>
      </c>
      <c r="M28" s="5">
        <f t="shared" ref="M28:N28" si="15">M26*M27</f>
        <v>858841.84869000572</v>
      </c>
      <c r="N28" s="5">
        <f t="shared" si="15"/>
        <v>757790.97378942289</v>
      </c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</row>
    <row r="29" spans="1:25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</row>
    <row r="30" spans="1:25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</row>
    <row r="31" spans="1:25">
      <c r="A31" s="4" t="s">
        <v>311</v>
      </c>
      <c r="B31" s="38" cm="1">
        <f t="array" ref="B31:I31">-TRANSPOSE('NEC Forecast Inputs'!S15:S22)*1000</f>
        <v>0</v>
      </c>
      <c r="C31" s="38"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/>
      <c r="K31" s="38"/>
      <c r="L31" s="38"/>
      <c r="M31" s="38"/>
      <c r="N31" s="38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</row>
    <row r="32" spans="1:25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91"/>
      <c r="P32" s="191"/>
      <c r="Q32" s="191"/>
      <c r="R32" s="191"/>
      <c r="S32" s="191"/>
      <c r="T32" s="191"/>
      <c r="U32" s="191"/>
      <c r="V32" s="191"/>
      <c r="W32" s="191"/>
      <c r="X32" s="191"/>
      <c r="Y32" s="191"/>
    </row>
    <row r="33" spans="1:25">
      <c r="A33" s="7" t="s">
        <v>301</v>
      </c>
      <c r="B33" s="38">
        <f t="shared" ref="B33:N33" si="16">B28+B31</f>
        <v>19146531.141949236</v>
      </c>
      <c r="C33" s="38">
        <f t="shared" si="16"/>
        <v>18302004.160759997</v>
      </c>
      <c r="D33" s="38">
        <f t="shared" si="16"/>
        <v>17469751.848821349</v>
      </c>
      <c r="E33" s="38">
        <f t="shared" si="16"/>
        <v>16648823.032501319</v>
      </c>
      <c r="F33" s="38">
        <f t="shared" si="16"/>
        <v>15838402.420115378</v>
      </c>
      <c r="G33" s="38">
        <f t="shared" si="16"/>
        <v>15037674.71997897</v>
      </c>
      <c r="H33" s="38">
        <f t="shared" si="16"/>
        <v>14245937.875363747</v>
      </c>
      <c r="I33" s="38">
        <f t="shared" si="16"/>
        <v>13462489.829541363</v>
      </c>
      <c r="J33" s="38">
        <f t="shared" si="16"/>
        <v>12680400.603193205</v>
      </c>
      <c r="K33" s="38">
        <f t="shared" si="16"/>
        <v>11898334.02383629</v>
      </c>
      <c r="L33" s="38">
        <f t="shared" si="16"/>
        <v>959870.0765993516</v>
      </c>
      <c r="M33" s="38">
        <f t="shared" si="16"/>
        <v>858841.84869000572</v>
      </c>
      <c r="N33" s="38">
        <f t="shared" si="16"/>
        <v>757790.97378942289</v>
      </c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</row>
    <row r="34" spans="1:25" s="184" customFormat="1">
      <c r="A34" s="186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</row>
    <row r="35" spans="1:25">
      <c r="A35" s="97" t="s">
        <v>317</v>
      </c>
      <c r="B35" s="38">
        <f>NPV(B21,B33:K33)</f>
        <v>112028336.54466903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</row>
    <row r="36" spans="1:25">
      <c r="A36" s="97" t="s">
        <v>318</v>
      </c>
      <c r="B36" s="38">
        <f>AVERAGE(B33:K33)</f>
        <v>15473034.965606084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</row>
    <row r="37" spans="1:25">
      <c r="A37" s="97" t="s">
        <v>313</v>
      </c>
      <c r="B37" s="38">
        <f>SUM(B33:D33)</f>
        <v>54918287.151530586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</row>
    <row r="38" spans="1:25">
      <c r="A38" s="7"/>
      <c r="B38" s="3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</row>
    <row r="39" spans="1:25">
      <c r="A39" s="52" t="s">
        <v>112</v>
      </c>
      <c r="B39" s="39"/>
    </row>
    <row r="40" spans="1:25">
      <c r="A40" s="1" t="s">
        <v>66</v>
      </c>
      <c r="B40" s="100">
        <f t="shared" ref="B40:N40" si="17">B28</f>
        <v>19146531.141949236</v>
      </c>
      <c r="C40" s="100">
        <f t="shared" si="17"/>
        <v>18302004.160759997</v>
      </c>
      <c r="D40" s="100">
        <f t="shared" si="17"/>
        <v>17469751.848821349</v>
      </c>
      <c r="E40" s="100">
        <f t="shared" si="17"/>
        <v>16648823.032501319</v>
      </c>
      <c r="F40" s="100">
        <f t="shared" si="17"/>
        <v>15838402.420115378</v>
      </c>
      <c r="G40" s="100">
        <f t="shared" si="17"/>
        <v>15037674.71997897</v>
      </c>
      <c r="H40" s="100">
        <f t="shared" si="17"/>
        <v>14245937.875363747</v>
      </c>
      <c r="I40" s="100">
        <f t="shared" si="17"/>
        <v>13462489.829541363</v>
      </c>
      <c r="J40" s="100">
        <f t="shared" si="17"/>
        <v>12680400.603193205</v>
      </c>
      <c r="K40" s="100">
        <f t="shared" si="17"/>
        <v>11898334.02383629</v>
      </c>
      <c r="L40" s="100">
        <f t="shared" si="17"/>
        <v>959870.0765993516</v>
      </c>
      <c r="M40" s="100">
        <f t="shared" si="17"/>
        <v>858841.84869000572</v>
      </c>
      <c r="N40" s="100">
        <f t="shared" si="17"/>
        <v>757790.97378942289</v>
      </c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</row>
    <row r="41" spans="1:25">
      <c r="A41" s="1" t="s">
        <v>104</v>
      </c>
      <c r="B41" s="3">
        <f t="shared" ref="B41:N41" si="18">B13+B14</f>
        <v>10891700</v>
      </c>
      <c r="C41" s="3">
        <f t="shared" si="18"/>
        <v>10891700</v>
      </c>
      <c r="D41" s="3">
        <f t="shared" si="18"/>
        <v>10891700</v>
      </c>
      <c r="E41" s="3">
        <f t="shared" si="18"/>
        <v>10891700</v>
      </c>
      <c r="F41" s="3">
        <f t="shared" si="18"/>
        <v>10891700</v>
      </c>
      <c r="G41" s="3">
        <f t="shared" si="18"/>
        <v>10891700</v>
      </c>
      <c r="H41" s="3">
        <f t="shared" si="18"/>
        <v>10891700</v>
      </c>
      <c r="I41" s="3">
        <f t="shared" si="18"/>
        <v>10891700</v>
      </c>
      <c r="J41" s="3">
        <f t="shared" si="18"/>
        <v>10891700</v>
      </c>
      <c r="K41" s="3">
        <f t="shared" si="18"/>
        <v>10891700</v>
      </c>
      <c r="L41" s="3">
        <f t="shared" si="18"/>
        <v>0</v>
      </c>
      <c r="M41" s="3">
        <f t="shared" si="18"/>
        <v>0</v>
      </c>
      <c r="N41" s="3">
        <f t="shared" si="18"/>
        <v>0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>
      <c r="A42" s="1" t="s">
        <v>67</v>
      </c>
      <c r="B42" s="38">
        <f t="shared" ref="B42:N42" si="19">(B28-B26)+B15+B16+B17+B18</f>
        <v>1320617.7833680536</v>
      </c>
      <c r="C42" s="38">
        <f t="shared" si="19"/>
        <v>1180874.4176699701</v>
      </c>
      <c r="D42" s="38">
        <f t="shared" si="19"/>
        <v>1043162.1340238716</v>
      </c>
      <c r="E42" s="38">
        <f t="shared" si="19"/>
        <v>907323.54230764171</v>
      </c>
      <c r="F42" s="38">
        <f t="shared" si="19"/>
        <v>773223.73670233577</v>
      </c>
      <c r="G42" s="38">
        <f t="shared" si="19"/>
        <v>640727.81138899864</v>
      </c>
      <c r="H42" s="38">
        <f t="shared" si="19"/>
        <v>509719.59746797942</v>
      </c>
      <c r="I42" s="38">
        <f t="shared" si="19"/>
        <v>380082.92603962985</v>
      </c>
      <c r="J42" s="38">
        <f t="shared" si="19"/>
        <v>250671.09764286154</v>
      </c>
      <c r="K42" s="38">
        <f t="shared" si="19"/>
        <v>121263.01662995503</v>
      </c>
      <c r="L42" s="38">
        <f t="shared" si="19"/>
        <v>158829.11751142005</v>
      </c>
      <c r="M42" s="38">
        <f t="shared" si="19"/>
        <v>142112.03811309859</v>
      </c>
      <c r="N42" s="38">
        <f t="shared" si="19"/>
        <v>125391.21133091778</v>
      </c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</row>
    <row r="43" spans="1:25">
      <c r="A43" s="45" t="s">
        <v>7</v>
      </c>
      <c r="B43" s="46">
        <f>B41+B42</f>
        <v>12212317.783368053</v>
      </c>
      <c r="C43" s="46">
        <f>C41+C42</f>
        <v>12072574.417669971</v>
      </c>
      <c r="D43" s="46">
        <f>D41+D42</f>
        <v>11934862.134023871</v>
      </c>
      <c r="E43" s="46">
        <f>E41+E42</f>
        <v>11799023.542307641</v>
      </c>
      <c r="F43" s="46">
        <f>F41+F42</f>
        <v>11664923.736702336</v>
      </c>
      <c r="G43" s="46">
        <f t="shared" ref="G43:L43" si="20">G41+G42</f>
        <v>11532427.811388999</v>
      </c>
      <c r="H43" s="46">
        <f t="shared" si="20"/>
        <v>11401419.597467979</v>
      </c>
      <c r="I43" s="46">
        <f t="shared" si="20"/>
        <v>11271782.926039631</v>
      </c>
      <c r="J43" s="46">
        <f t="shared" si="20"/>
        <v>11142371.097642861</v>
      </c>
      <c r="K43" s="46">
        <f t="shared" si="20"/>
        <v>11012963.016629955</v>
      </c>
      <c r="L43" s="46">
        <f t="shared" si="20"/>
        <v>158829.11751142005</v>
      </c>
      <c r="M43" s="46">
        <f t="shared" ref="M43:N43" si="21">M41+M42</f>
        <v>142112.03811309859</v>
      </c>
      <c r="N43" s="46">
        <f t="shared" si="21"/>
        <v>125391.21133091778</v>
      </c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</row>
    <row r="44" spans="1:25">
      <c r="A44" s="4" t="s">
        <v>103</v>
      </c>
      <c r="B44" s="39">
        <f>B40-B43</f>
        <v>6934213.3585811835</v>
      </c>
      <c r="C44" s="39">
        <f t="shared" ref="C44:N44" si="22">C40-C43</f>
        <v>6229429.7430900261</v>
      </c>
      <c r="D44" s="39">
        <f t="shared" si="22"/>
        <v>5534889.7147974782</v>
      </c>
      <c r="E44" s="39">
        <f t="shared" si="22"/>
        <v>4849799.4901936781</v>
      </c>
      <c r="F44" s="39">
        <f t="shared" si="22"/>
        <v>4173478.6834130418</v>
      </c>
      <c r="G44" s="39">
        <f t="shared" si="22"/>
        <v>3505246.9085899703</v>
      </c>
      <c r="H44" s="39">
        <f t="shared" si="22"/>
        <v>2844518.2778957672</v>
      </c>
      <c r="I44" s="39">
        <f t="shared" si="22"/>
        <v>2190706.9035017323</v>
      </c>
      <c r="J44" s="39">
        <f t="shared" si="22"/>
        <v>1538029.5055503435</v>
      </c>
      <c r="K44" s="39">
        <f t="shared" si="22"/>
        <v>885371.00720633566</v>
      </c>
      <c r="L44" s="39">
        <f t="shared" si="22"/>
        <v>801040.95908793155</v>
      </c>
      <c r="M44" s="39">
        <f t="shared" si="22"/>
        <v>716729.81057690713</v>
      </c>
      <c r="N44" s="39">
        <f t="shared" si="22"/>
        <v>632399.76245850511</v>
      </c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</row>
    <row r="45" spans="1:25">
      <c r="A45" s="42" t="s">
        <v>47</v>
      </c>
      <c r="B45" s="44">
        <f t="shared" ref="B45:N45" si="23">B23*WACD</f>
        <v>2674446.0816604821</v>
      </c>
      <c r="C45" s="44">
        <f t="shared" si="23"/>
        <v>2402619.173344166</v>
      </c>
      <c r="D45" s="44">
        <f t="shared" si="23"/>
        <v>2134743.0984142423</v>
      </c>
      <c r="E45" s="44">
        <f t="shared" si="23"/>
        <v>1870511.7037300691</v>
      </c>
      <c r="F45" s="44">
        <f t="shared" si="23"/>
        <v>1609662.572313952</v>
      </c>
      <c r="G45" s="44">
        <f t="shared" si="23"/>
        <v>1351933.2871881973</v>
      </c>
      <c r="H45" s="44">
        <f t="shared" si="23"/>
        <v>1097097.8781775679</v>
      </c>
      <c r="I45" s="44">
        <f t="shared" si="23"/>
        <v>844930.37510682771</v>
      </c>
      <c r="J45" s="44">
        <f t="shared" si="23"/>
        <v>593200.23366557725</v>
      </c>
      <c r="K45" s="44">
        <f t="shared" si="23"/>
        <v>341477.38158481859</v>
      </c>
      <c r="L45" s="44">
        <f t="shared" si="23"/>
        <v>308952.25507174479</v>
      </c>
      <c r="M45" s="44">
        <f t="shared" si="23"/>
        <v>276434.41791916237</v>
      </c>
      <c r="N45" s="44">
        <f t="shared" si="23"/>
        <v>243909.29140608845</v>
      </c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</row>
    <row r="46" spans="1:25">
      <c r="A46" s="4" t="s">
        <v>69</v>
      </c>
      <c r="B46" s="39">
        <f>B44-B45</f>
        <v>4259767.2769207014</v>
      </c>
      <c r="C46" s="39">
        <f>C44-C45</f>
        <v>3826810.5697458601</v>
      </c>
      <c r="D46" s="39">
        <f>D44-D45</f>
        <v>3400146.6163832359</v>
      </c>
      <c r="E46" s="39">
        <f>E44-E45</f>
        <v>2979287.786463609</v>
      </c>
      <c r="F46" s="39">
        <f>F44-F45</f>
        <v>2563816.1110990895</v>
      </c>
      <c r="G46" s="39">
        <f t="shared" ref="G46:L46" si="24">G44-G45</f>
        <v>2153313.6214017728</v>
      </c>
      <c r="H46" s="39">
        <f t="shared" si="24"/>
        <v>1747420.3997181994</v>
      </c>
      <c r="I46" s="39">
        <f t="shared" si="24"/>
        <v>1345776.5283949045</v>
      </c>
      <c r="J46" s="39">
        <f t="shared" si="24"/>
        <v>944829.27188476629</v>
      </c>
      <c r="K46" s="39">
        <f t="shared" si="24"/>
        <v>543893.62562151707</v>
      </c>
      <c r="L46" s="39">
        <f t="shared" si="24"/>
        <v>492088.70401618676</v>
      </c>
      <c r="M46" s="39">
        <f t="shared" ref="M46:N46" si="25">M44-M45</f>
        <v>440295.39265774476</v>
      </c>
      <c r="N46" s="39">
        <f t="shared" si="25"/>
        <v>388490.47105241666</v>
      </c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</row>
    <row r="47" spans="1:25">
      <c r="A47" s="42" t="s">
        <v>68</v>
      </c>
      <c r="B47" s="43">
        <f t="shared" ref="B47:N47" si="26">B23*EquityWeighting</f>
        <v>44939884.22802645</v>
      </c>
      <c r="C47" s="43">
        <f t="shared" si="26"/>
        <v>40372258.104035519</v>
      </c>
      <c r="D47" s="43">
        <f t="shared" si="26"/>
        <v>35871019.556973591</v>
      </c>
      <c r="E47" s="43">
        <f t="shared" si="26"/>
        <v>31431024.162060194</v>
      </c>
      <c r="F47" s="43">
        <f t="shared" si="26"/>
        <v>27047862.412340641</v>
      </c>
      <c r="G47" s="43">
        <f t="shared" si="26"/>
        <v>22717124.800860237</v>
      </c>
      <c r="H47" s="43">
        <f t="shared" si="26"/>
        <v>18435014.252185769</v>
      </c>
      <c r="I47" s="43">
        <f t="shared" si="26"/>
        <v>14197733.690884028</v>
      </c>
      <c r="J47" s="43">
        <f t="shared" si="26"/>
        <v>9967802.307840107</v>
      </c>
      <c r="K47" s="43">
        <f t="shared" si="26"/>
        <v>5737993.4111004863</v>
      </c>
      <c r="L47" s="43">
        <f t="shared" si="26"/>
        <v>5191459.5213269666</v>
      </c>
      <c r="M47" s="43">
        <f t="shared" si="26"/>
        <v>4645048.1178577431</v>
      </c>
      <c r="N47" s="43">
        <f t="shared" si="26"/>
        <v>4098514.2280842219</v>
      </c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</row>
    <row r="48" spans="1:25">
      <c r="A48" s="4" t="s">
        <v>102</v>
      </c>
      <c r="B48" s="183">
        <f>ROUND(B46/B47,3)</f>
        <v>9.5000000000000001E-2</v>
      </c>
      <c r="C48" s="183">
        <f t="shared" ref="C48:N48" si="27">ROUND(C46/C47,3)</f>
        <v>9.5000000000000001E-2</v>
      </c>
      <c r="D48" s="183">
        <f t="shared" si="27"/>
        <v>9.5000000000000001E-2</v>
      </c>
      <c r="E48" s="183">
        <f t="shared" si="27"/>
        <v>9.5000000000000001E-2</v>
      </c>
      <c r="F48" s="183">
        <f t="shared" si="27"/>
        <v>9.5000000000000001E-2</v>
      </c>
      <c r="G48" s="183">
        <f t="shared" si="27"/>
        <v>9.5000000000000001E-2</v>
      </c>
      <c r="H48" s="183">
        <f t="shared" si="27"/>
        <v>9.5000000000000001E-2</v>
      </c>
      <c r="I48" s="183">
        <f t="shared" si="27"/>
        <v>9.5000000000000001E-2</v>
      </c>
      <c r="J48" s="183">
        <f t="shared" si="27"/>
        <v>9.5000000000000001E-2</v>
      </c>
      <c r="K48" s="183">
        <f t="shared" si="27"/>
        <v>9.5000000000000001E-2</v>
      </c>
      <c r="L48" s="183">
        <f t="shared" si="27"/>
        <v>9.5000000000000001E-2</v>
      </c>
      <c r="M48" s="183">
        <f t="shared" si="27"/>
        <v>9.5000000000000001E-2</v>
      </c>
      <c r="N48" s="183">
        <f t="shared" si="27"/>
        <v>9.5000000000000001E-2</v>
      </c>
      <c r="O48" s="193"/>
      <c r="P48" s="193"/>
      <c r="Q48" s="193"/>
      <c r="R48" s="193"/>
      <c r="S48" s="193"/>
      <c r="T48" s="193"/>
      <c r="U48" s="193"/>
      <c r="V48" s="193"/>
      <c r="W48" s="193"/>
      <c r="X48" s="193"/>
      <c r="Y48" s="193"/>
    </row>
    <row r="49" spans="1:25">
      <c r="B49" s="1" t="b">
        <f>B48=ROE</f>
        <v>1</v>
      </c>
      <c r="C49" s="1" t="b">
        <f>C48=ROE</f>
        <v>1</v>
      </c>
      <c r="D49" s="1" t="b">
        <f>D48=ROE</f>
        <v>1</v>
      </c>
      <c r="E49" s="1" t="b">
        <f>E48=ROE</f>
        <v>1</v>
      </c>
      <c r="F49" s="1" t="b">
        <f>F48=ROE</f>
        <v>1</v>
      </c>
      <c r="G49" s="1" t="b">
        <f t="shared" ref="G49:L49" si="28">G48=ROE</f>
        <v>1</v>
      </c>
      <c r="H49" s="1" t="b">
        <f t="shared" si="28"/>
        <v>1</v>
      </c>
      <c r="I49" s="1" t="b">
        <f t="shared" si="28"/>
        <v>1</v>
      </c>
      <c r="J49" s="1" t="b">
        <f t="shared" si="28"/>
        <v>1</v>
      </c>
      <c r="K49" s="1" t="b">
        <f t="shared" si="28"/>
        <v>1</v>
      </c>
      <c r="L49" s="1" t="b">
        <f t="shared" si="28"/>
        <v>1</v>
      </c>
      <c r="M49" s="1" t="b">
        <f t="shared" ref="M49:N49" si="29">M48=ROE</f>
        <v>1</v>
      </c>
      <c r="N49" s="1" t="b">
        <f t="shared" si="29"/>
        <v>1</v>
      </c>
    </row>
    <row r="50" spans="1:25">
      <c r="A50" s="4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193"/>
      <c r="P50" s="193"/>
      <c r="Q50" s="193"/>
      <c r="R50" s="193"/>
      <c r="S50" s="193"/>
      <c r="T50" s="193"/>
      <c r="U50" s="193"/>
      <c r="V50" s="193"/>
      <c r="W50" s="193"/>
      <c r="X50" s="193"/>
      <c r="Y50" s="193"/>
    </row>
    <row r="51" spans="1:25">
      <c r="A51" s="4" t="s">
        <v>108</v>
      </c>
      <c r="B51" s="38">
        <f t="shared" ref="B51:N51" si="30">B13</f>
        <v>0</v>
      </c>
      <c r="C51" s="38">
        <f t="shared" si="30"/>
        <v>0</v>
      </c>
      <c r="D51" s="38">
        <f t="shared" si="30"/>
        <v>0</v>
      </c>
      <c r="E51" s="38">
        <f t="shared" si="30"/>
        <v>0</v>
      </c>
      <c r="F51" s="38">
        <f t="shared" si="30"/>
        <v>0</v>
      </c>
      <c r="G51" s="38">
        <f t="shared" si="30"/>
        <v>0</v>
      </c>
      <c r="H51" s="38">
        <f t="shared" si="30"/>
        <v>0</v>
      </c>
      <c r="I51" s="38">
        <f t="shared" si="30"/>
        <v>0</v>
      </c>
      <c r="J51" s="38">
        <f t="shared" si="30"/>
        <v>0</v>
      </c>
      <c r="K51" s="38">
        <f t="shared" si="30"/>
        <v>0</v>
      </c>
      <c r="L51" s="38">
        <f t="shared" si="30"/>
        <v>0</v>
      </c>
      <c r="M51" s="38">
        <f t="shared" si="30"/>
        <v>0</v>
      </c>
      <c r="N51" s="38">
        <f t="shared" si="30"/>
        <v>0</v>
      </c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</row>
    <row r="52" spans="1:25">
      <c r="A52" s="4" t="s">
        <v>109</v>
      </c>
      <c r="B52" s="38">
        <f t="shared" ref="B52:N52" si="31">B14</f>
        <v>10891700</v>
      </c>
      <c r="C52" s="38">
        <f t="shared" si="31"/>
        <v>10891700</v>
      </c>
      <c r="D52" s="38">
        <f t="shared" si="31"/>
        <v>10891700</v>
      </c>
      <c r="E52" s="38">
        <f t="shared" si="31"/>
        <v>10891700</v>
      </c>
      <c r="F52" s="38">
        <f t="shared" si="31"/>
        <v>10891700</v>
      </c>
      <c r="G52" s="38">
        <f t="shared" si="31"/>
        <v>10891700</v>
      </c>
      <c r="H52" s="38">
        <f t="shared" si="31"/>
        <v>10891700</v>
      </c>
      <c r="I52" s="38">
        <f t="shared" si="31"/>
        <v>10891700</v>
      </c>
      <c r="J52" s="38">
        <f t="shared" si="31"/>
        <v>10891700</v>
      </c>
      <c r="K52" s="38">
        <f t="shared" si="31"/>
        <v>10891700</v>
      </c>
      <c r="L52" s="38">
        <f t="shared" si="31"/>
        <v>0</v>
      </c>
      <c r="M52" s="38">
        <f t="shared" si="31"/>
        <v>0</v>
      </c>
      <c r="N52" s="38">
        <f t="shared" si="31"/>
        <v>0</v>
      </c>
      <c r="O52" s="188"/>
      <c r="P52" s="188"/>
      <c r="Q52" s="188"/>
      <c r="R52" s="188"/>
      <c r="S52" s="188"/>
      <c r="T52" s="188"/>
      <c r="U52" s="188"/>
      <c r="V52" s="188"/>
      <c r="W52" s="188"/>
      <c r="X52" s="188"/>
      <c r="Y52" s="188"/>
    </row>
    <row r="53" spans="1:25">
      <c r="A53" s="4" t="s">
        <v>111</v>
      </c>
      <c r="B53" s="3">
        <f t="shared" ref="B53:N53" si="32">B28-SUM(B51:B52,B54)</f>
        <v>1320617.7833680548</v>
      </c>
      <c r="C53" s="3">
        <f t="shared" si="32"/>
        <v>1180874.4176699705</v>
      </c>
      <c r="D53" s="3">
        <f t="shared" si="32"/>
        <v>1043162.1340238713</v>
      </c>
      <c r="E53" s="3">
        <f t="shared" si="32"/>
        <v>907323.54230763949</v>
      </c>
      <c r="F53" s="3">
        <f t="shared" si="32"/>
        <v>773223.73670233786</v>
      </c>
      <c r="G53" s="3">
        <f t="shared" si="32"/>
        <v>640727.81138899922</v>
      </c>
      <c r="H53" s="3">
        <f t="shared" si="32"/>
        <v>509719.59746797755</v>
      </c>
      <c r="I53" s="3">
        <f t="shared" si="32"/>
        <v>380082.92603963241</v>
      </c>
      <c r="J53" s="3">
        <f t="shared" si="32"/>
        <v>250671.09764286131</v>
      </c>
      <c r="K53" s="3">
        <f t="shared" si="32"/>
        <v>121263.01662995666</v>
      </c>
      <c r="L53" s="3">
        <f t="shared" si="32"/>
        <v>158829.11751142005</v>
      </c>
      <c r="M53" s="3">
        <f t="shared" si="32"/>
        <v>142112.03811309859</v>
      </c>
      <c r="N53" s="3">
        <f t="shared" si="32"/>
        <v>125391.21133091778</v>
      </c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>
      <c r="A54" s="4" t="s">
        <v>110</v>
      </c>
      <c r="B54" s="48">
        <f t="shared" ref="B54:N54" si="33">B24</f>
        <v>6934213.3585811807</v>
      </c>
      <c r="C54" s="48">
        <f t="shared" si="33"/>
        <v>6229429.7430900279</v>
      </c>
      <c r="D54" s="48">
        <f t="shared" si="33"/>
        <v>5534889.7147974791</v>
      </c>
      <c r="E54" s="48">
        <f t="shared" si="33"/>
        <v>4849799.490193679</v>
      </c>
      <c r="F54" s="48">
        <f t="shared" si="33"/>
        <v>4173478.6834130404</v>
      </c>
      <c r="G54" s="48">
        <f t="shared" si="33"/>
        <v>3505246.9085899708</v>
      </c>
      <c r="H54" s="48">
        <f t="shared" si="33"/>
        <v>2844518.2778957686</v>
      </c>
      <c r="I54" s="48">
        <f t="shared" si="33"/>
        <v>2190706.9035017313</v>
      </c>
      <c r="J54" s="48">
        <f t="shared" si="33"/>
        <v>1538029.5055503433</v>
      </c>
      <c r="K54" s="48">
        <f t="shared" si="33"/>
        <v>885371.00720633334</v>
      </c>
      <c r="L54" s="48">
        <f t="shared" si="33"/>
        <v>801040.95908793155</v>
      </c>
      <c r="M54" s="48">
        <f t="shared" si="33"/>
        <v>716729.81057690713</v>
      </c>
      <c r="N54" s="48">
        <f t="shared" si="33"/>
        <v>632399.76245850511</v>
      </c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>
      <c r="B55" s="39">
        <f t="shared" ref="B55:N55" si="34">SUM(B51:B54)-B28</f>
        <v>0</v>
      </c>
      <c r="C55" s="39">
        <f t="shared" si="34"/>
        <v>0</v>
      </c>
      <c r="D55" s="39">
        <f t="shared" si="34"/>
        <v>0</v>
      </c>
      <c r="E55" s="39">
        <f t="shared" si="34"/>
        <v>0</v>
      </c>
      <c r="F55" s="39">
        <f t="shared" si="34"/>
        <v>0</v>
      </c>
      <c r="G55" s="39">
        <f t="shared" si="34"/>
        <v>0</v>
      </c>
      <c r="H55" s="39">
        <f t="shared" si="34"/>
        <v>0</v>
      </c>
      <c r="I55" s="39">
        <f t="shared" si="34"/>
        <v>0</v>
      </c>
      <c r="J55" s="39">
        <f t="shared" si="34"/>
        <v>0</v>
      </c>
      <c r="K55" s="39">
        <f t="shared" si="34"/>
        <v>0</v>
      </c>
      <c r="L55" s="39">
        <f t="shared" si="34"/>
        <v>0</v>
      </c>
      <c r="M55" s="39">
        <f t="shared" si="34"/>
        <v>0</v>
      </c>
      <c r="N55" s="39">
        <f t="shared" si="34"/>
        <v>0</v>
      </c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</row>
    <row r="56" spans="1:25"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</row>
    <row r="57" spans="1:25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</row>
    <row r="58" spans="1: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1: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1: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2: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8" type="noConversion"/>
  <pageMargins left="0.7" right="0.7" top="0.75" bottom="0.75" header="0.3" footer="0.3"/>
  <pageSetup fitToHeight="0" orientation="landscape" r:id="rId2"/>
  <headerFooter>
    <oddHeader>&amp;RCase No. 2026-00001
KPSC 1-10 Confidential Attachment 5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N43"/>
  <sheetViews>
    <sheetView workbookViewId="0">
      <selection activeCell="B14" sqref="B14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14" width="13.85546875" style="1" bestFit="1" customWidth="1"/>
    <col min="15" max="16384" width="9.140625" style="1"/>
  </cols>
  <sheetData>
    <row r="1" spans="1:14" ht="14.25">
      <c r="A1" s="256" t="str">
        <f>Input!B2&amp;" "&amp;Input!B3</f>
        <v>KPCO KY</v>
      </c>
      <c r="B1" s="256"/>
      <c r="C1" s="256"/>
      <c r="D1" s="256"/>
      <c r="E1" s="256"/>
      <c r="F1" s="256"/>
      <c r="G1" s="256"/>
      <c r="H1" s="256"/>
      <c r="I1" s="256"/>
      <c r="J1" s="256"/>
    </row>
    <row r="2" spans="1:14" ht="14.25">
      <c r="A2" s="256" t="s">
        <v>13</v>
      </c>
      <c r="B2" s="256"/>
      <c r="C2" s="256"/>
      <c r="D2" s="256"/>
      <c r="E2" s="256"/>
      <c r="F2" s="256"/>
      <c r="G2" s="256"/>
      <c r="H2" s="256"/>
      <c r="I2" s="256"/>
      <c r="J2" s="256"/>
    </row>
    <row r="3" spans="1:14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</row>
    <row r="4" spans="1:14">
      <c r="A4" s="7"/>
      <c r="B4" s="115">
        <f>'OPCO Rev Req'!B5</f>
        <v>2028</v>
      </c>
      <c r="C4" s="115">
        <f>'OPCO Rev Req'!C5</f>
        <v>2029</v>
      </c>
      <c r="D4" s="115">
        <f>'OPCO Rev Req'!D5</f>
        <v>2030</v>
      </c>
      <c r="E4" s="115">
        <f>'OPCO Rev Req'!E5</f>
        <v>2031</v>
      </c>
      <c r="F4" s="115">
        <f>'OPCO Rev Req'!F5</f>
        <v>2032</v>
      </c>
      <c r="G4" s="115">
        <f>'OPCO Rev Req'!G5</f>
        <v>2033</v>
      </c>
      <c r="H4" s="115">
        <f>'OPCO Rev Req'!H5</f>
        <v>2034</v>
      </c>
      <c r="I4" s="115">
        <f>'OPCO Rev Req'!I5</f>
        <v>2035</v>
      </c>
      <c r="J4" s="115">
        <f>'OPCO Rev Req'!J5</f>
        <v>2036</v>
      </c>
      <c r="K4" s="115">
        <f>'OPCO Rev Req'!K5</f>
        <v>2037</v>
      </c>
      <c r="L4" s="115">
        <f>'OPCO Rev Req'!L5</f>
        <v>2038</v>
      </c>
      <c r="M4" s="115">
        <f>'OPCO Rev Req'!M5</f>
        <v>2039</v>
      </c>
      <c r="N4" s="115">
        <f>'OPCO Rev Req'!N5</f>
        <v>2040</v>
      </c>
    </row>
    <row r="5" spans="1:14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</row>
    <row r="6" spans="1:14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</row>
    <row r="7" spans="1:14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</row>
    <row r="8" spans="1:14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</row>
    <row r="9" spans="1:14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</row>
    <row r="10" spans="1:14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</row>
    <row r="11" spans="1:14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</row>
    <row r="12" spans="1:14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</row>
    <row r="13" spans="1:14">
      <c r="A13" s="7" t="str">
        <f>'OPCO Rev Req'!A14</f>
        <v>Plant Depreciation - Account 403</v>
      </c>
      <c r="B13" s="55">
        <f>'OPCO Rev Req'!B14*Allocator</f>
        <v>10891700</v>
      </c>
      <c r="C13" s="55" cm="1">
        <f t="array" ref="C13">'OPCO Rev Req'!C14*Allocator</f>
        <v>10891700</v>
      </c>
      <c r="D13" s="55" cm="1">
        <f t="array" ref="D13">'OPCO Rev Req'!D14*Allocator</f>
        <v>10891700</v>
      </c>
      <c r="E13" s="55" cm="1">
        <f t="array" ref="E13">'OPCO Rev Req'!E14*Allocator</f>
        <v>10891700</v>
      </c>
      <c r="F13" s="55" cm="1">
        <f t="array" ref="F13">'OPCO Rev Req'!F14*Allocator</f>
        <v>10891700</v>
      </c>
      <c r="G13" s="55" cm="1">
        <f t="array" ref="G13">'OPCO Rev Req'!G14*Allocator</f>
        <v>10891700</v>
      </c>
      <c r="H13" s="55" cm="1">
        <f t="array" ref="H13">'OPCO Rev Req'!H14*Allocator</f>
        <v>10891700</v>
      </c>
      <c r="I13" s="55" cm="1">
        <f t="array" ref="I13">'OPCO Rev Req'!I14*Allocator</f>
        <v>10891700</v>
      </c>
      <c r="J13" s="55" cm="1">
        <f t="array" ref="J13">'OPCO Rev Req'!J14*Allocator</f>
        <v>10891700</v>
      </c>
      <c r="K13" s="55" cm="1">
        <f t="array" ref="K13">'OPCO Rev Req'!K14*Allocator</f>
        <v>10891700</v>
      </c>
      <c r="L13" s="55" cm="1">
        <f t="array" ref="L13">'OPCO Rev Req'!L14*Allocator</f>
        <v>0</v>
      </c>
      <c r="M13" s="55" cm="1">
        <f t="array" ref="M13">'OPCO Rev Req'!M14*Allocator</f>
        <v>0</v>
      </c>
      <c r="N13" s="55" cm="1">
        <f t="array" ref="N13">'OPCO Rev Req'!N14*Allocator</f>
        <v>0</v>
      </c>
    </row>
    <row r="14" spans="1:14">
      <c r="A14" s="7" t="str">
        <f>'OPCO Rev Req'!A15</f>
        <v>Current SIT</v>
      </c>
      <c r="B14" s="55" cm="1">
        <f t="array" ref="B14">'OPCO Rev Req'!B15*Allocator</f>
        <v>-338381.00326583209</v>
      </c>
      <c r="C14" s="55" cm="1">
        <f t="array" ref="C14">'OPCO Rev Req'!C15*Allocator</f>
        <v>-513934.11709842569</v>
      </c>
      <c r="D14" s="55" cm="1">
        <f t="array" ref="D14">'OPCO Rev Req'!D15*Allocator</f>
        <v>-470968.02294795908</v>
      </c>
      <c r="E14" s="55" cm="1">
        <f t="array" ref="E14">'OPCO Rev Req'!E15*Allocator</f>
        <v>-430474.63014809595</v>
      </c>
      <c r="F14" s="55" cm="1">
        <f t="array" ref="F14">'OPCO Rev Req'!F15*Allocator</f>
        <v>-392113.62501654797</v>
      </c>
      <c r="G14" s="55" cm="1">
        <f t="array" ref="G14">'OPCO Rev Req'!G15*Allocator</f>
        <v>-355871.86964732705</v>
      </c>
      <c r="H14" s="55" cm="1">
        <f t="array" ref="H14">'OPCO Rev Req'!H15*Allocator</f>
        <v>-321465.40436335996</v>
      </c>
      <c r="I14" s="55" cm="1">
        <f t="array" ref="I14">'OPCO Rev Req'!I15*Allocator</f>
        <v>-288882.91596782336</v>
      </c>
      <c r="J14" s="55" cm="1">
        <f t="array" ref="J14">'OPCO Rev Req'!J15*Allocator</f>
        <v>-273008.28867356718</v>
      </c>
      <c r="K14" s="55" cm="1">
        <f t="array" ref="K14">'OPCO Rev Req'!K15*Allocator</f>
        <v>-260351.25478809397</v>
      </c>
      <c r="L14" s="55" cm="1">
        <f t="array" ref="L14">'OPCO Rev Req'!L15*Allocator</f>
        <v>-258777.41362526696</v>
      </c>
      <c r="M14" s="55" cm="1">
        <f t="array" ref="M14">'OPCO Rev Req'!M15*Allocator</f>
        <v>-257094.87881217292</v>
      </c>
      <c r="N14" s="55" cm="1">
        <f t="array" ref="N14">'OPCO Rev Req'!N15*Allocator</f>
        <v>-255521.03764934585</v>
      </c>
    </row>
    <row r="15" spans="1:14">
      <c r="A15" s="7" t="str">
        <f>'OPCO Rev Req'!A16</f>
        <v>Deferred SIT</v>
      </c>
      <c r="B15" s="55" cm="1">
        <f t="array" ref="B15">'OPCO Rev Req'!B16*Allocator</f>
        <v>-340808.10031250009</v>
      </c>
      <c r="C15" s="55" cm="1">
        <f t="array" ref="C15">'OPCO Rev Req'!C16*Allocator</f>
        <v>-151645.97231505005</v>
      </c>
      <c r="D15" s="55" cm="1">
        <f t="array" ref="D15">'OPCO Rev Req'!D16*Allocator</f>
        <v>-181200.85077415008</v>
      </c>
      <c r="E15" s="55" cm="1">
        <f t="array" ref="E15">'OPCO Rev Req'!E16*Allocator</f>
        <v>-208465.49879915008</v>
      </c>
      <c r="F15" s="55" cm="1">
        <f t="array" ref="F15">'OPCO Rev Req'!F16*Allocator</f>
        <v>-233767.09216635008</v>
      </c>
      <c r="G15" s="55" cm="1">
        <f t="array" ref="G15">'OPCO Rev Req'!G16*Allocator</f>
        <v>-257105.63087575004</v>
      </c>
      <c r="H15" s="55" cm="1">
        <f t="array" ref="H15">'OPCO Rev Req'!H16*Allocator</f>
        <v>-278753.76140760008</v>
      </c>
      <c r="I15" s="55" cm="1">
        <f t="array" ref="I15">'OPCO Rev Req'!I16*Allocator</f>
        <v>-298711.48376190005</v>
      </c>
      <c r="J15" s="55" cm="1">
        <f t="array" ref="J15">'OPCO Rev Req'!J16*Allocator</f>
        <v>-301983.24152490008</v>
      </c>
      <c r="K15" s="55" cm="1">
        <f t="array" ref="K15">'OPCO Rev Req'!K16*Allocator</f>
        <v>-302037.7708209501</v>
      </c>
      <c r="L15" s="55" cm="1">
        <f t="array" ref="L15">'OPCO Rev Req'!L16*Allocator</f>
        <v>243309.71897510003</v>
      </c>
      <c r="M15" s="55" cm="1">
        <f t="array" ref="M15">'OPCO Rev Req'!M16*Allocator</f>
        <v>243255.18967905003</v>
      </c>
      <c r="N15" s="55" cm="1">
        <f t="array" ref="N15">'OPCO Rev Req'!N16*Allocator</f>
        <v>243309.71897510003</v>
      </c>
    </row>
    <row r="16" spans="1:14">
      <c r="A16" s="7" t="str">
        <f>'OPCO Rev Req'!A17</f>
        <v>Current FIT</v>
      </c>
      <c r="B16" s="55" cm="1">
        <f t="array" ref="B16">'OPCO Rev Req'!B17*Allocator</f>
        <v>-1348295.0414628766</v>
      </c>
      <c r="C16" s="55" cm="1">
        <f t="array" ref="C16">'OPCO Rev Req'!C17*Allocator</f>
        <v>-2047794.6901116055</v>
      </c>
      <c r="D16" s="55" cm="1">
        <f t="array" ref="D16">'OPCO Rev Req'!D17*Allocator</f>
        <v>-1876594.2647479193</v>
      </c>
      <c r="E16" s="55" cm="1">
        <f t="array" ref="E16">'OPCO Rev Req'!E17*Allocator</f>
        <v>-1715246.434352214</v>
      </c>
      <c r="F16" s="55" cm="1">
        <f t="array" ref="F16">'OPCO Rev Req'!F17*Allocator</f>
        <v>-1562395.2030324545</v>
      </c>
      <c r="G16" s="55" cm="1">
        <f t="array" ref="G16">'OPCO Rev Req'!G17*Allocator</f>
        <v>-1417988.2221835821</v>
      </c>
      <c r="H16" s="55" cm="1">
        <f t="array" ref="H16">'OPCO Rev Req'!H17*Allocator</f>
        <v>-1280894.0411009837</v>
      </c>
      <c r="I16" s="55" cm="1">
        <f t="array" ref="I16">'OPCO Rev Req'!I17*Allocator</f>
        <v>-1151067.5818191906</v>
      </c>
      <c r="J16" s="55" cm="1">
        <f t="array" ref="J16">'OPCO Rev Req'!J17*Allocator</f>
        <v>-1087814.3818483222</v>
      </c>
      <c r="K16" s="55" cm="1">
        <f t="array" ref="K16">'OPCO Rev Req'!K17*Allocator</f>
        <v>-1037381.8343273123</v>
      </c>
      <c r="L16" s="55" cm="1">
        <f t="array" ref="L16">'OPCO Rev Req'!L17*Allocator</f>
        <v>-1031110.7901037603</v>
      </c>
      <c r="M16" s="55" cm="1">
        <f t="array" ref="M16">'OPCO Rev Req'!M17*Allocator</f>
        <v>-1024406.6509124677</v>
      </c>
      <c r="N16" s="55" cm="1">
        <f t="array" ref="N16">'OPCO Rev Req'!N17*Allocator</f>
        <v>-1018135.606688916</v>
      </c>
    </row>
    <row r="17" spans="1:14">
      <c r="A17" s="7" t="str">
        <f>'OPCO Rev Req'!A18</f>
        <v>Deferred FIT</v>
      </c>
      <c r="B17" s="55" cm="1">
        <f t="array" ref="B17">'OPCO Rev Req'!B18*Allocator</f>
        <v>-1357965.9239343752</v>
      </c>
      <c r="C17" s="55" cm="1">
        <f t="array" ref="C17">'OPCO Rev Req'!C18*Allocator</f>
        <v>-604240.51751383953</v>
      </c>
      <c r="D17" s="55" cm="1">
        <f t="array" ref="D17">'OPCO Rev Req'!D18*Allocator</f>
        <v>-722003.32243742875</v>
      </c>
      <c r="E17" s="55" cm="1">
        <f t="array" ref="E17">'OPCO Rev Req'!E18*Allocator</f>
        <v>-830640.59635217872</v>
      </c>
      <c r="F17" s="55" cm="1">
        <f t="array" ref="F17">'OPCO Rev Req'!F18*Allocator</f>
        <v>-931455.98654506658</v>
      </c>
      <c r="G17" s="55" cm="1">
        <f t="array" ref="G17">'OPCO Rev Req'!G18*Allocator</f>
        <v>-1024449.4930160925</v>
      </c>
      <c r="H17" s="55" cm="1">
        <f t="array" ref="H17">'OPCO Rev Req'!H18*Allocator</f>
        <v>-1110707.488504404</v>
      </c>
      <c r="I17" s="55" cm="1">
        <f t="array" ref="I17">'OPCO Rev Req'!I18*Allocator</f>
        <v>-1190229.973010001</v>
      </c>
      <c r="J17" s="55" cm="1">
        <f t="array" ref="J17">'OPCO Rev Req'!J18*Allocator</f>
        <v>-1203266.4458797711</v>
      </c>
      <c r="K17" s="55" cm="1">
        <f t="array" ref="K17">'OPCO Rev Req'!K18*Allocator</f>
        <v>-1203483.7204276004</v>
      </c>
      <c r="L17" s="55" cm="1">
        <f t="array" ref="L17">'OPCO Rev Req'!L18*Allocator</f>
        <v>969479.03241522901</v>
      </c>
      <c r="M17" s="55" cm="1">
        <f t="array" ref="M17">'OPCO Rev Req'!M18*Allocator</f>
        <v>969261.75786739937</v>
      </c>
      <c r="N17" s="55" cm="1">
        <f t="array" ref="N17">'OPCO Rev Req'!N18*Allocator</f>
        <v>969479.03241522901</v>
      </c>
    </row>
    <row r="18" spans="1:14">
      <c r="A18" s="7" t="str">
        <f>'OPCO Rev Req'!A19</f>
        <v>Total Expenses</v>
      </c>
      <c r="B18" s="22" cm="1">
        <f t="array" ref="B18">'OPCO Rev Req'!B19*Allocator</f>
        <v>7506249.9310244182</v>
      </c>
      <c r="C18" s="22" cm="1">
        <f t="array" ref="C18">'OPCO Rev Req'!C19*Allocator</f>
        <v>7574084.7029610779</v>
      </c>
      <c r="D18" s="22" cm="1">
        <f t="array" ref="D18">'OPCO Rev Req'!D19*Allocator</f>
        <v>7640933.5390925417</v>
      </c>
      <c r="E18" s="22" cm="1">
        <f t="array" ref="E18">'OPCO Rev Req'!E19*Allocator</f>
        <v>7706872.8403483611</v>
      </c>
      <c r="F18" s="22" cm="1">
        <f t="array" ref="F18">'OPCO Rev Req'!F19*Allocator</f>
        <v>7771968.0932395821</v>
      </c>
      <c r="G18" s="22" cm="1">
        <f t="array" ref="G18">'OPCO Rev Req'!G19*Allocator</f>
        <v>7836284.7842772491</v>
      </c>
      <c r="H18" s="22" cm="1">
        <f t="array" ref="H18">'OPCO Rev Req'!H19*Allocator</f>
        <v>7899879.3046236504</v>
      </c>
      <c r="I18" s="22" cm="1">
        <f t="array" ref="I18">'OPCO Rev Req'!I19*Allocator</f>
        <v>7962808.0454410864</v>
      </c>
      <c r="J18" s="22" cm="1">
        <f t="array" ref="J18">'OPCO Rev Req'!J19*Allocator</f>
        <v>8025627.6420734404</v>
      </c>
      <c r="K18" s="22" cm="1">
        <f t="array" ref="K18">'OPCO Rev Req'!K19*Allocator</f>
        <v>8088445.4196360447</v>
      </c>
      <c r="L18" s="22" cm="1">
        <f t="array" ref="L18">'OPCO Rev Req'!L19*Allocator</f>
        <v>-77099.452338698204</v>
      </c>
      <c r="M18" s="22" cm="1">
        <f t="array" ref="M18">'OPCO Rev Req'!M19*Allocator</f>
        <v>-68984.582178191282</v>
      </c>
      <c r="N18" s="22" cm="1">
        <f t="array" ref="N18">'OPCO Rev Req'!N19*Allocator</f>
        <v>-60867.892947932822</v>
      </c>
    </row>
    <row r="19" spans="1:14">
      <c r="A19" s="7"/>
    </row>
    <row r="20" spans="1:14">
      <c r="A20" s="7" t="str">
        <f>'OPCO Rev Req'!A23</f>
        <v>Rate Base</v>
      </c>
      <c r="B20" s="55" cm="1">
        <f t="array" ref="B20">'OPCO Rev Req'!B23*Allocator</f>
        <v>99724074.024246871</v>
      </c>
      <c r="C20" s="55" cm="1">
        <f t="array" ref="C20">'OPCO Rev Req'!C23*Allocator</f>
        <v>89588260.514075771</v>
      </c>
      <c r="D20" s="55" cm="1">
        <f t="array" ref="D20">'OPCO Rev Req'!D23*Allocator</f>
        <v>79599764.687287346</v>
      </c>
      <c r="E20" s="55" cm="1">
        <f t="array" ref="E20">'OPCO Rev Req'!E23*Allocator</f>
        <v>69747170.782438666</v>
      </c>
      <c r="F20" s="55" cm="1">
        <f t="array" ref="F20">'OPCO Rev Req'!F23*Allocator</f>
        <v>60020693.861150086</v>
      </c>
      <c r="G20" s="55" cm="1">
        <f t="array" ref="G20">'OPCO Rev Req'!G23*Allocator</f>
        <v>50410548.985041931</v>
      </c>
      <c r="H20" s="55" cm="1">
        <f t="array" ref="H20">'OPCO Rev Req'!H23*Allocator</f>
        <v>40908310.23495394</v>
      </c>
      <c r="I20" s="55" cm="1">
        <f t="array" ref="I20">'OPCO Rev Req'!I23*Allocator</f>
        <v>31505551.691725846</v>
      </c>
      <c r="J20" s="55" cm="1">
        <f t="array" ref="J20">'OPCO Rev Req'!J23*Allocator</f>
        <v>22119101.379130516</v>
      </c>
      <c r="K20" s="55" cm="1">
        <f t="array" ref="K20">'OPCO Rev Req'!K23*Allocator</f>
        <v>12732922.870379072</v>
      </c>
      <c r="L20" s="55" cm="1">
        <f t="array" ref="L20">'OPCO Rev Req'!L23*Allocator</f>
        <v>11520134.118988745</v>
      </c>
      <c r="M20" s="55" cm="1">
        <f t="array" ref="M20">'OPCO Rev Req'!M23*Allocator</f>
        <v>10307617.171442294</v>
      </c>
      <c r="N20" s="55" cm="1">
        <f t="array" ref="N20">'OPCO Rev Req'!N23*Allocator</f>
        <v>9094828.420051964</v>
      </c>
    </row>
    <row r="21" spans="1:14">
      <c r="A21" s="7" t="str">
        <f>'OPCO Rev Req'!A24</f>
        <v>Return on Rate Base</v>
      </c>
      <c r="B21" s="55" cm="1">
        <f t="array" ref="B21">'OPCO Rev Req'!B24*Allocator</f>
        <v>6934213.3585811807</v>
      </c>
      <c r="C21" s="55" cm="1">
        <f t="array" ref="C21">'OPCO Rev Req'!C24*Allocator</f>
        <v>6229429.7430900279</v>
      </c>
      <c r="D21" s="55" cm="1">
        <f t="array" ref="D21">'OPCO Rev Req'!D24*Allocator</f>
        <v>5534889.7147974791</v>
      </c>
      <c r="E21" s="55" cm="1">
        <f t="array" ref="E21">'OPCO Rev Req'!E24*Allocator</f>
        <v>4849799.490193679</v>
      </c>
      <c r="F21" s="55" cm="1">
        <f t="array" ref="F21">'OPCO Rev Req'!F24*Allocator</f>
        <v>4173478.6834130404</v>
      </c>
      <c r="G21" s="55" cm="1">
        <f t="array" ref="G21">'OPCO Rev Req'!G24*Allocator</f>
        <v>3505246.9085899708</v>
      </c>
      <c r="H21" s="55" cm="1">
        <f t="array" ref="H21">'OPCO Rev Req'!H24*Allocator</f>
        <v>2844518.2778957686</v>
      </c>
      <c r="I21" s="55" cm="1">
        <f t="array" ref="I21">'OPCO Rev Req'!I24*Allocator</f>
        <v>2190706.9035017313</v>
      </c>
      <c r="J21" s="55" cm="1">
        <f t="array" ref="J21">'OPCO Rev Req'!J24*Allocator</f>
        <v>1538029.5055503433</v>
      </c>
      <c r="K21" s="55" cm="1">
        <f t="array" ref="K21">'OPCO Rev Req'!K24*Allocator</f>
        <v>885371.00720633334</v>
      </c>
      <c r="L21" s="55" cm="1">
        <f t="array" ref="L21">'OPCO Rev Req'!L24*Allocator</f>
        <v>801040.95908793155</v>
      </c>
      <c r="M21" s="55" cm="1">
        <f t="array" ref="M21">'OPCO Rev Req'!M24*Allocator</f>
        <v>716729.81057690713</v>
      </c>
      <c r="N21" s="55" cm="1">
        <f t="array" ref="N21">'OPCO Rev Req'!N24*Allocator</f>
        <v>632399.76245850511</v>
      </c>
    </row>
    <row r="22" spans="1:14">
      <c r="A22" s="7"/>
    </row>
    <row r="23" spans="1:14">
      <c r="A23" s="7" t="str">
        <f>'OPCO Rev Req'!A26</f>
        <v>Operating Income Deficiency</v>
      </c>
      <c r="B23" s="55">
        <f t="shared" ref="B23:N23" si="0">B21+B18</f>
        <v>14440463.289605599</v>
      </c>
      <c r="C23" s="55">
        <f t="shared" si="0"/>
        <v>13803514.446051106</v>
      </c>
      <c r="D23" s="55">
        <f t="shared" si="0"/>
        <v>13175823.253890021</v>
      </c>
      <c r="E23" s="55">
        <f t="shared" si="0"/>
        <v>12556672.330542039</v>
      </c>
      <c r="F23" s="55">
        <f t="shared" si="0"/>
        <v>11945446.776652623</v>
      </c>
      <c r="G23" s="55">
        <f t="shared" si="0"/>
        <v>11341531.692867219</v>
      </c>
      <c r="H23" s="55">
        <f t="shared" si="0"/>
        <v>10744397.582519419</v>
      </c>
      <c r="I23" s="55">
        <f t="shared" si="0"/>
        <v>10153514.948942818</v>
      </c>
      <c r="J23" s="55">
        <f t="shared" si="0"/>
        <v>9563657.147623783</v>
      </c>
      <c r="K23" s="55">
        <f t="shared" si="0"/>
        <v>8973816.4268423785</v>
      </c>
      <c r="L23" s="55">
        <f t="shared" si="0"/>
        <v>723941.50674923335</v>
      </c>
      <c r="M23" s="55">
        <f t="shared" si="0"/>
        <v>647745.22839871584</v>
      </c>
      <c r="N23" s="55">
        <f t="shared" si="0"/>
        <v>571531.86951057229</v>
      </c>
    </row>
    <row r="24" spans="1:14">
      <c r="A24" s="7" t="str">
        <f>'OPCO Rev Req'!A27</f>
        <v>Gross Up Factor</v>
      </c>
      <c r="B24" s="106">
        <f t="shared" ref="B24:N24" si="1">GRCF</f>
        <v>1.3258945200000001</v>
      </c>
      <c r="C24" s="106">
        <f t="shared" si="1"/>
        <v>1.3258945200000001</v>
      </c>
      <c r="D24" s="106">
        <f t="shared" si="1"/>
        <v>1.3258945200000001</v>
      </c>
      <c r="E24" s="106">
        <f t="shared" si="1"/>
        <v>1.3258945200000001</v>
      </c>
      <c r="F24" s="106">
        <f t="shared" si="1"/>
        <v>1.3258945200000001</v>
      </c>
      <c r="G24" s="106">
        <f t="shared" si="1"/>
        <v>1.3258945200000001</v>
      </c>
      <c r="H24" s="106">
        <f t="shared" si="1"/>
        <v>1.3258945200000001</v>
      </c>
      <c r="I24" s="106">
        <f t="shared" si="1"/>
        <v>1.3258945200000001</v>
      </c>
      <c r="J24" s="106">
        <f t="shared" si="1"/>
        <v>1.3258945200000001</v>
      </c>
      <c r="K24" s="106">
        <f t="shared" si="1"/>
        <v>1.3258945200000001</v>
      </c>
      <c r="L24" s="106">
        <f t="shared" si="1"/>
        <v>1.3258945200000001</v>
      </c>
      <c r="M24" s="106">
        <f t="shared" si="1"/>
        <v>1.3258945200000001</v>
      </c>
      <c r="N24" s="106">
        <f t="shared" si="1"/>
        <v>1.3258945200000001</v>
      </c>
    </row>
    <row r="25" spans="1:14" s="84" customFormat="1">
      <c r="A25" s="111" t="str">
        <f>'OPCO Rev Req'!A28</f>
        <v>Revenue Requirement</v>
      </c>
      <c r="B25" s="112">
        <f t="shared" ref="B25:N25" si="2">B23*B24</f>
        <v>19146531.141949236</v>
      </c>
      <c r="C25" s="112">
        <f t="shared" si="2"/>
        <v>18302004.160759997</v>
      </c>
      <c r="D25" s="112">
        <f t="shared" si="2"/>
        <v>17469751.848821349</v>
      </c>
      <c r="E25" s="112">
        <f t="shared" si="2"/>
        <v>16648823.032501319</v>
      </c>
      <c r="F25" s="112">
        <f t="shared" si="2"/>
        <v>15838402.420115378</v>
      </c>
      <c r="G25" s="112">
        <f>G23*G24</f>
        <v>15037674.71997897</v>
      </c>
      <c r="H25" s="112">
        <f t="shared" si="2"/>
        <v>14245937.875363747</v>
      </c>
      <c r="I25" s="112">
        <f t="shared" si="2"/>
        <v>13462489.829541363</v>
      </c>
      <c r="J25" s="112">
        <f t="shared" si="2"/>
        <v>12680400.603193205</v>
      </c>
      <c r="K25" s="112">
        <f t="shared" si="2"/>
        <v>11898334.02383629</v>
      </c>
      <c r="L25" s="112">
        <f t="shared" si="2"/>
        <v>959870.0765993516</v>
      </c>
      <c r="M25" s="112">
        <f t="shared" si="2"/>
        <v>858841.84869000572</v>
      </c>
      <c r="N25" s="112">
        <f t="shared" si="2"/>
        <v>757790.97378942289</v>
      </c>
    </row>
    <row r="26" spans="1:14" s="39" customFormat="1">
      <c r="A26" s="7"/>
    </row>
    <row r="27" spans="1:14">
      <c r="A27" s="84" t="s">
        <v>112</v>
      </c>
    </row>
    <row r="28" spans="1:14">
      <c r="A28" s="107" t="s">
        <v>66</v>
      </c>
      <c r="B28" s="100">
        <f>B25</f>
        <v>19146531.141949236</v>
      </c>
      <c r="C28" s="100">
        <f t="shared" ref="C28:N28" si="3">C25</f>
        <v>18302004.160759997</v>
      </c>
      <c r="D28" s="100">
        <f t="shared" si="3"/>
        <v>17469751.848821349</v>
      </c>
      <c r="E28" s="100">
        <f t="shared" si="3"/>
        <v>16648823.032501319</v>
      </c>
      <c r="F28" s="100">
        <f t="shared" si="3"/>
        <v>15838402.420115378</v>
      </c>
      <c r="G28" s="100">
        <f t="shared" si="3"/>
        <v>15037674.71997897</v>
      </c>
      <c r="H28" s="100">
        <f t="shared" si="3"/>
        <v>14245937.875363747</v>
      </c>
      <c r="I28" s="100">
        <f t="shared" si="3"/>
        <v>13462489.829541363</v>
      </c>
      <c r="J28" s="100">
        <f t="shared" si="3"/>
        <v>12680400.603193205</v>
      </c>
      <c r="K28" s="100">
        <f t="shared" si="3"/>
        <v>11898334.02383629</v>
      </c>
      <c r="L28" s="100">
        <f t="shared" si="3"/>
        <v>959870.0765993516</v>
      </c>
      <c r="M28" s="100">
        <f t="shared" si="3"/>
        <v>858841.84869000572</v>
      </c>
      <c r="N28" s="100">
        <f t="shared" si="3"/>
        <v>757790.97378942289</v>
      </c>
    </row>
    <row r="29" spans="1:14">
      <c r="A29" s="1" t="s">
        <v>104</v>
      </c>
      <c r="B29" s="3">
        <f t="shared" ref="B29:N29" si="4">B12+B13</f>
        <v>10891700</v>
      </c>
      <c r="C29" s="3">
        <f t="shared" si="4"/>
        <v>10891700</v>
      </c>
      <c r="D29" s="3">
        <f t="shared" si="4"/>
        <v>10891700</v>
      </c>
      <c r="E29" s="3">
        <f t="shared" si="4"/>
        <v>10891700</v>
      </c>
      <c r="F29" s="3">
        <f t="shared" si="4"/>
        <v>10891700</v>
      </c>
      <c r="G29" s="3">
        <f t="shared" si="4"/>
        <v>10891700</v>
      </c>
      <c r="H29" s="3">
        <f t="shared" si="4"/>
        <v>10891700</v>
      </c>
      <c r="I29" s="3">
        <f t="shared" si="4"/>
        <v>10891700</v>
      </c>
      <c r="J29" s="3">
        <f t="shared" si="4"/>
        <v>10891700</v>
      </c>
      <c r="K29" s="3">
        <f t="shared" si="4"/>
        <v>10891700</v>
      </c>
      <c r="L29" s="3">
        <f t="shared" si="4"/>
        <v>0</v>
      </c>
      <c r="M29" s="3">
        <f t="shared" si="4"/>
        <v>0</v>
      </c>
      <c r="N29" s="3">
        <f t="shared" si="4"/>
        <v>0</v>
      </c>
    </row>
    <row r="30" spans="1:14">
      <c r="A30" s="1" t="s">
        <v>67</v>
      </c>
      <c r="B30" s="38">
        <f t="shared" ref="B30:N30" si="5">(B25-B23)+B14+B16+B15+B17</f>
        <v>1320617.7833680536</v>
      </c>
      <c r="C30" s="38">
        <f t="shared" si="5"/>
        <v>1180874.4176699703</v>
      </c>
      <c r="D30" s="38">
        <f t="shared" si="5"/>
        <v>1043162.1340238714</v>
      </c>
      <c r="E30" s="38">
        <f t="shared" si="5"/>
        <v>907323.54230764147</v>
      </c>
      <c r="F30" s="38">
        <f t="shared" si="5"/>
        <v>773223.736702336</v>
      </c>
      <c r="G30" s="38">
        <f t="shared" si="5"/>
        <v>640727.81138899864</v>
      </c>
      <c r="H30" s="38">
        <f t="shared" si="5"/>
        <v>509719.59746797965</v>
      </c>
      <c r="I30" s="38">
        <f t="shared" si="5"/>
        <v>380082.92603962985</v>
      </c>
      <c r="J30" s="38">
        <f t="shared" si="5"/>
        <v>250671.09764286131</v>
      </c>
      <c r="K30" s="38">
        <f t="shared" si="5"/>
        <v>121263.01662995503</v>
      </c>
      <c r="L30" s="38">
        <f t="shared" si="5"/>
        <v>158829.11751141993</v>
      </c>
      <c r="M30" s="38">
        <f t="shared" si="5"/>
        <v>142112.03811309848</v>
      </c>
      <c r="N30" s="38">
        <f t="shared" si="5"/>
        <v>125391.21133091778</v>
      </c>
    </row>
    <row r="31" spans="1:14">
      <c r="A31" s="45" t="s">
        <v>7</v>
      </c>
      <c r="B31" s="46">
        <f>B29+B30</f>
        <v>12212317.783368053</v>
      </c>
      <c r="C31" s="46">
        <f t="shared" ref="C31:N31" si="6">C29+C30</f>
        <v>12072574.417669971</v>
      </c>
      <c r="D31" s="46">
        <f t="shared" si="6"/>
        <v>11934862.134023871</v>
      </c>
      <c r="E31" s="46">
        <f t="shared" si="6"/>
        <v>11799023.542307641</v>
      </c>
      <c r="F31" s="46">
        <f t="shared" si="6"/>
        <v>11664923.736702336</v>
      </c>
      <c r="G31" s="46">
        <f t="shared" si="6"/>
        <v>11532427.811388999</v>
      </c>
      <c r="H31" s="46">
        <f t="shared" si="6"/>
        <v>11401419.597467979</v>
      </c>
      <c r="I31" s="46">
        <f t="shared" si="6"/>
        <v>11271782.926039631</v>
      </c>
      <c r="J31" s="46">
        <f t="shared" si="6"/>
        <v>11142371.097642861</v>
      </c>
      <c r="K31" s="46">
        <f t="shared" si="6"/>
        <v>11012963.016629955</v>
      </c>
      <c r="L31" s="46">
        <f t="shared" si="6"/>
        <v>158829.11751141993</v>
      </c>
      <c r="M31" s="46">
        <f t="shared" si="6"/>
        <v>142112.03811309848</v>
      </c>
      <c r="N31" s="46">
        <f t="shared" si="6"/>
        <v>125391.21133091778</v>
      </c>
    </row>
    <row r="32" spans="1:14">
      <c r="A32" s="4" t="s">
        <v>103</v>
      </c>
      <c r="B32" s="39">
        <f t="shared" ref="B32:N32" si="7">B21</f>
        <v>6934213.3585811807</v>
      </c>
      <c r="C32" s="39">
        <f t="shared" si="7"/>
        <v>6229429.7430900279</v>
      </c>
      <c r="D32" s="39">
        <f t="shared" si="7"/>
        <v>5534889.7147974791</v>
      </c>
      <c r="E32" s="39">
        <f t="shared" si="7"/>
        <v>4849799.490193679</v>
      </c>
      <c r="F32" s="39">
        <f t="shared" si="7"/>
        <v>4173478.6834130404</v>
      </c>
      <c r="G32" s="39">
        <f t="shared" si="7"/>
        <v>3505246.9085899708</v>
      </c>
      <c r="H32" s="39">
        <f t="shared" si="7"/>
        <v>2844518.2778957686</v>
      </c>
      <c r="I32" s="39">
        <f t="shared" si="7"/>
        <v>2190706.9035017313</v>
      </c>
      <c r="J32" s="39">
        <f t="shared" si="7"/>
        <v>1538029.5055503433</v>
      </c>
      <c r="K32" s="39">
        <f t="shared" si="7"/>
        <v>885371.00720633334</v>
      </c>
      <c r="L32" s="39">
        <f t="shared" si="7"/>
        <v>801040.95908793155</v>
      </c>
      <c r="M32" s="39">
        <f t="shared" si="7"/>
        <v>716729.81057690713</v>
      </c>
      <c r="N32" s="39">
        <f t="shared" si="7"/>
        <v>632399.76245850511</v>
      </c>
    </row>
    <row r="33" spans="1:14">
      <c r="A33" s="42" t="s">
        <v>47</v>
      </c>
      <c r="B33" s="44">
        <f t="shared" ref="B33:N33" si="8">B20*WACD</f>
        <v>2674446.0816604821</v>
      </c>
      <c r="C33" s="44">
        <f t="shared" si="8"/>
        <v>2402619.173344166</v>
      </c>
      <c r="D33" s="44">
        <f t="shared" si="8"/>
        <v>2134743.0984142423</v>
      </c>
      <c r="E33" s="44">
        <f t="shared" si="8"/>
        <v>1870511.7037300691</v>
      </c>
      <c r="F33" s="44">
        <f t="shared" si="8"/>
        <v>1609662.572313952</v>
      </c>
      <c r="G33" s="44">
        <f t="shared" si="8"/>
        <v>1351933.2871881973</v>
      </c>
      <c r="H33" s="44">
        <f t="shared" si="8"/>
        <v>1097097.8781775679</v>
      </c>
      <c r="I33" s="44">
        <f t="shared" si="8"/>
        <v>844930.37510682771</v>
      </c>
      <c r="J33" s="44">
        <f t="shared" si="8"/>
        <v>593200.23366557725</v>
      </c>
      <c r="K33" s="44">
        <f t="shared" si="8"/>
        <v>341477.38158481859</v>
      </c>
      <c r="L33" s="44">
        <f t="shared" si="8"/>
        <v>308952.25507174479</v>
      </c>
      <c r="M33" s="44">
        <f t="shared" si="8"/>
        <v>276434.41791916237</v>
      </c>
      <c r="N33" s="44">
        <f t="shared" si="8"/>
        <v>243909.29140608845</v>
      </c>
    </row>
    <row r="34" spans="1:14">
      <c r="A34" s="4" t="s">
        <v>69</v>
      </c>
      <c r="B34" s="39">
        <f>B32-B33</f>
        <v>4259767.2769206986</v>
      </c>
      <c r="C34" s="39">
        <f>C32-C33</f>
        <v>3826810.5697458619</v>
      </c>
      <c r="D34" s="39">
        <f t="shared" ref="D34:N34" si="9">D32-D33</f>
        <v>3400146.6163832368</v>
      </c>
      <c r="E34" s="39">
        <f t="shared" si="9"/>
        <v>2979287.7864636099</v>
      </c>
      <c r="F34" s="39">
        <f t="shared" si="9"/>
        <v>2563816.1110990886</v>
      </c>
      <c r="G34" s="39">
        <f t="shared" si="9"/>
        <v>2153313.6214017738</v>
      </c>
      <c r="H34" s="39">
        <f t="shared" si="9"/>
        <v>1747420.3997182008</v>
      </c>
      <c r="I34" s="39">
        <f t="shared" si="9"/>
        <v>1345776.5283949035</v>
      </c>
      <c r="J34" s="39">
        <f t="shared" si="9"/>
        <v>944829.27188476606</v>
      </c>
      <c r="K34" s="39">
        <f t="shared" si="9"/>
        <v>543893.62562151474</v>
      </c>
      <c r="L34" s="39">
        <f t="shared" si="9"/>
        <v>492088.70401618676</v>
      </c>
      <c r="M34" s="39">
        <f t="shared" si="9"/>
        <v>440295.39265774476</v>
      </c>
      <c r="N34" s="39">
        <f t="shared" si="9"/>
        <v>388490.47105241666</v>
      </c>
    </row>
    <row r="35" spans="1:14">
      <c r="A35" s="42" t="s">
        <v>68</v>
      </c>
      <c r="B35" s="43">
        <f t="shared" ref="B35:N35" si="10">B20*EquityWeighting</f>
        <v>44939884.22802645</v>
      </c>
      <c r="C35" s="43">
        <f t="shared" si="10"/>
        <v>40372258.104035519</v>
      </c>
      <c r="D35" s="43">
        <f t="shared" si="10"/>
        <v>35871019.556973591</v>
      </c>
      <c r="E35" s="43">
        <f t="shared" si="10"/>
        <v>31431024.162060194</v>
      </c>
      <c r="F35" s="43">
        <f t="shared" si="10"/>
        <v>27047862.412340641</v>
      </c>
      <c r="G35" s="43">
        <f t="shared" si="10"/>
        <v>22717124.800860237</v>
      </c>
      <c r="H35" s="43">
        <f t="shared" si="10"/>
        <v>18435014.252185769</v>
      </c>
      <c r="I35" s="43">
        <f t="shared" si="10"/>
        <v>14197733.690884028</v>
      </c>
      <c r="J35" s="43">
        <f t="shared" si="10"/>
        <v>9967802.307840107</v>
      </c>
      <c r="K35" s="43">
        <f t="shared" si="10"/>
        <v>5737993.4111004863</v>
      </c>
      <c r="L35" s="43">
        <f t="shared" si="10"/>
        <v>5191459.5213269666</v>
      </c>
      <c r="M35" s="43">
        <f t="shared" si="10"/>
        <v>4645048.1178577431</v>
      </c>
      <c r="N35" s="43">
        <f t="shared" si="10"/>
        <v>4098514.2280842219</v>
      </c>
    </row>
    <row r="36" spans="1:14">
      <c r="A36" s="4" t="s">
        <v>102</v>
      </c>
      <c r="B36" s="40">
        <f>ROUND(B34/B35,3)</f>
        <v>9.5000000000000001E-2</v>
      </c>
      <c r="C36" s="40">
        <f t="shared" ref="C36:N36" si="11">ROUND(C34/C35,3)</f>
        <v>9.5000000000000001E-2</v>
      </c>
      <c r="D36" s="40">
        <f t="shared" si="11"/>
        <v>9.5000000000000001E-2</v>
      </c>
      <c r="E36" s="40">
        <f t="shared" si="11"/>
        <v>9.5000000000000001E-2</v>
      </c>
      <c r="F36" s="40">
        <f t="shared" si="11"/>
        <v>9.5000000000000001E-2</v>
      </c>
      <c r="G36" s="40">
        <f t="shared" si="11"/>
        <v>9.5000000000000001E-2</v>
      </c>
      <c r="H36" s="40">
        <f t="shared" si="11"/>
        <v>9.5000000000000001E-2</v>
      </c>
      <c r="I36" s="40">
        <f t="shared" si="11"/>
        <v>9.5000000000000001E-2</v>
      </c>
      <c r="J36" s="40">
        <f t="shared" si="11"/>
        <v>9.5000000000000001E-2</v>
      </c>
      <c r="K36" s="40">
        <f t="shared" si="11"/>
        <v>9.5000000000000001E-2</v>
      </c>
      <c r="L36" s="40">
        <f t="shared" si="11"/>
        <v>9.5000000000000001E-2</v>
      </c>
      <c r="M36" s="40">
        <f t="shared" si="11"/>
        <v>9.5000000000000001E-2</v>
      </c>
      <c r="N36" s="40">
        <f t="shared" si="11"/>
        <v>9.5000000000000001E-2</v>
      </c>
    </row>
    <row r="37" spans="1:14">
      <c r="B37" s="1" t="b">
        <f t="shared" ref="B37:N37" si="12">B36=ROE</f>
        <v>1</v>
      </c>
      <c r="C37" s="1" t="b">
        <f t="shared" si="12"/>
        <v>1</v>
      </c>
      <c r="D37" s="1" t="b">
        <f t="shared" si="12"/>
        <v>1</v>
      </c>
      <c r="E37" s="1" t="b">
        <f t="shared" si="12"/>
        <v>1</v>
      </c>
      <c r="F37" s="1" t="b">
        <f t="shared" si="12"/>
        <v>1</v>
      </c>
      <c r="G37" s="1" t="b">
        <f t="shared" si="12"/>
        <v>1</v>
      </c>
      <c r="H37" s="1" t="b">
        <f t="shared" si="12"/>
        <v>1</v>
      </c>
      <c r="I37" s="1" t="b">
        <f t="shared" si="12"/>
        <v>1</v>
      </c>
      <c r="J37" s="1" t="b">
        <f t="shared" si="12"/>
        <v>1</v>
      </c>
      <c r="K37" s="1" t="b">
        <f t="shared" si="12"/>
        <v>1</v>
      </c>
      <c r="L37" s="1" t="b">
        <f t="shared" si="12"/>
        <v>1</v>
      </c>
      <c r="M37" s="1" t="b">
        <f t="shared" si="12"/>
        <v>1</v>
      </c>
      <c r="N37" s="1" t="b">
        <f t="shared" si="12"/>
        <v>1</v>
      </c>
    </row>
    <row r="38" spans="1:14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</row>
    <row r="39" spans="1:14">
      <c r="A39" s="4" t="s">
        <v>108</v>
      </c>
      <c r="B39" s="38">
        <f>B12</f>
        <v>0</v>
      </c>
      <c r="C39" s="38">
        <f t="shared" ref="C39:N39" si="13">C12</f>
        <v>0</v>
      </c>
      <c r="D39" s="38">
        <f t="shared" si="13"/>
        <v>0</v>
      </c>
      <c r="E39" s="38">
        <f t="shared" si="13"/>
        <v>0</v>
      </c>
      <c r="F39" s="38">
        <f t="shared" si="13"/>
        <v>0</v>
      </c>
      <c r="G39" s="38">
        <f t="shared" si="13"/>
        <v>0</v>
      </c>
      <c r="H39" s="38">
        <f t="shared" si="13"/>
        <v>0</v>
      </c>
      <c r="I39" s="38">
        <f t="shared" si="13"/>
        <v>0</v>
      </c>
      <c r="J39" s="38">
        <f t="shared" si="13"/>
        <v>0</v>
      </c>
      <c r="K39" s="38">
        <f t="shared" si="13"/>
        <v>0</v>
      </c>
      <c r="L39" s="38">
        <f t="shared" si="13"/>
        <v>0</v>
      </c>
      <c r="M39" s="38">
        <f t="shared" si="13"/>
        <v>0</v>
      </c>
      <c r="N39" s="38">
        <f t="shared" si="13"/>
        <v>0</v>
      </c>
    </row>
    <row r="40" spans="1:14">
      <c r="A40" s="4" t="s">
        <v>109</v>
      </c>
      <c r="B40" s="38">
        <f>B13</f>
        <v>10891700</v>
      </c>
      <c r="C40" s="38">
        <f t="shared" ref="C40:N40" si="14">C13</f>
        <v>10891700</v>
      </c>
      <c r="D40" s="38">
        <f t="shared" si="14"/>
        <v>10891700</v>
      </c>
      <c r="E40" s="38">
        <f t="shared" si="14"/>
        <v>10891700</v>
      </c>
      <c r="F40" s="38">
        <f t="shared" si="14"/>
        <v>10891700</v>
      </c>
      <c r="G40" s="38">
        <f t="shared" si="14"/>
        <v>10891700</v>
      </c>
      <c r="H40" s="38">
        <f t="shared" si="14"/>
        <v>10891700</v>
      </c>
      <c r="I40" s="38">
        <f t="shared" si="14"/>
        <v>10891700</v>
      </c>
      <c r="J40" s="38">
        <f t="shared" si="14"/>
        <v>10891700</v>
      </c>
      <c r="K40" s="38">
        <f t="shared" si="14"/>
        <v>10891700</v>
      </c>
      <c r="L40" s="38">
        <f t="shared" si="14"/>
        <v>0</v>
      </c>
      <c r="M40" s="38">
        <f t="shared" si="14"/>
        <v>0</v>
      </c>
      <c r="N40" s="38">
        <f t="shared" si="14"/>
        <v>0</v>
      </c>
    </row>
    <row r="41" spans="1:14">
      <c r="A41" s="4" t="s">
        <v>111</v>
      </c>
      <c r="B41" s="3">
        <f>B25-SUM(B39:B40,B42)</f>
        <v>1320617.7833680548</v>
      </c>
      <c r="C41" s="3">
        <f t="shared" ref="C41:N41" si="15">C25-SUM(C39:C40,C42)</f>
        <v>1180874.4176699705</v>
      </c>
      <c r="D41" s="3">
        <f t="shared" si="15"/>
        <v>1043162.1340238713</v>
      </c>
      <c r="E41" s="3">
        <f t="shared" si="15"/>
        <v>907323.54230763949</v>
      </c>
      <c r="F41" s="3">
        <f t="shared" si="15"/>
        <v>773223.73670233786</v>
      </c>
      <c r="G41" s="3">
        <f t="shared" si="15"/>
        <v>640727.81138899922</v>
      </c>
      <c r="H41" s="3">
        <f t="shared" si="15"/>
        <v>509719.59746797755</v>
      </c>
      <c r="I41" s="3">
        <f t="shared" si="15"/>
        <v>380082.92603963241</v>
      </c>
      <c r="J41" s="3">
        <f t="shared" si="15"/>
        <v>250671.09764286131</v>
      </c>
      <c r="K41" s="3">
        <f t="shared" si="15"/>
        <v>121263.01662995666</v>
      </c>
      <c r="L41" s="3">
        <f t="shared" si="15"/>
        <v>158829.11751142005</v>
      </c>
      <c r="M41" s="3">
        <f t="shared" si="15"/>
        <v>142112.03811309859</v>
      </c>
      <c r="N41" s="3">
        <f t="shared" si="15"/>
        <v>125391.21133091778</v>
      </c>
    </row>
    <row r="42" spans="1:14">
      <c r="A42" s="4" t="s">
        <v>110</v>
      </c>
      <c r="B42" s="48">
        <f>B21</f>
        <v>6934213.3585811807</v>
      </c>
      <c r="C42" s="48">
        <f t="shared" ref="C42:N42" si="16">C21</f>
        <v>6229429.7430900279</v>
      </c>
      <c r="D42" s="48">
        <f t="shared" si="16"/>
        <v>5534889.7147974791</v>
      </c>
      <c r="E42" s="48">
        <f t="shared" si="16"/>
        <v>4849799.490193679</v>
      </c>
      <c r="F42" s="48">
        <f t="shared" si="16"/>
        <v>4173478.6834130404</v>
      </c>
      <c r="G42" s="48">
        <f t="shared" si="16"/>
        <v>3505246.9085899708</v>
      </c>
      <c r="H42" s="48">
        <f t="shared" si="16"/>
        <v>2844518.2778957686</v>
      </c>
      <c r="I42" s="48">
        <f t="shared" si="16"/>
        <v>2190706.9035017313</v>
      </c>
      <c r="J42" s="48">
        <f t="shared" si="16"/>
        <v>1538029.5055503433</v>
      </c>
      <c r="K42" s="48">
        <f t="shared" si="16"/>
        <v>885371.00720633334</v>
      </c>
      <c r="L42" s="48">
        <f t="shared" si="16"/>
        <v>801040.95908793155</v>
      </c>
      <c r="M42" s="48">
        <f t="shared" si="16"/>
        <v>716729.81057690713</v>
      </c>
      <c r="N42" s="48">
        <f t="shared" si="16"/>
        <v>632399.76245850511</v>
      </c>
    </row>
    <row r="43" spans="1:14">
      <c r="B43" s="39">
        <f>SUM(B39:B42)-B25</f>
        <v>0</v>
      </c>
      <c r="C43" s="39">
        <f t="shared" ref="C43:N43" si="17">SUM(C39:C42)-C25</f>
        <v>0</v>
      </c>
      <c r="D43" s="39">
        <f t="shared" si="17"/>
        <v>0</v>
      </c>
      <c r="E43" s="39">
        <f t="shared" si="17"/>
        <v>0</v>
      </c>
      <c r="F43" s="39">
        <f t="shared" si="17"/>
        <v>0</v>
      </c>
      <c r="G43" s="39">
        <f t="shared" si="17"/>
        <v>0</v>
      </c>
      <c r="H43" s="39">
        <f t="shared" si="17"/>
        <v>0</v>
      </c>
      <c r="I43" s="39">
        <f t="shared" si="17"/>
        <v>0</v>
      </c>
      <c r="J43" s="39">
        <f t="shared" si="17"/>
        <v>0</v>
      </c>
      <c r="K43" s="39">
        <f t="shared" si="17"/>
        <v>0</v>
      </c>
      <c r="L43" s="39">
        <f t="shared" si="17"/>
        <v>0</v>
      </c>
      <c r="M43" s="39">
        <f t="shared" si="17"/>
        <v>0</v>
      </c>
      <c r="N43" s="39">
        <f t="shared" si="17"/>
        <v>0</v>
      </c>
    </row>
  </sheetData>
  <mergeCells count="2">
    <mergeCell ref="A1:J1"/>
    <mergeCell ref="A2:J2"/>
  </mergeCells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DA73704E-2F25-4B82-BDB1-070C9959A830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2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BED16907-84FB-4B00-8C46-AFBE14D8652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B363AF1-673F-4683-B594-BF8CF1AAA3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5C986F58-79D9-4062-A9F1-A84B8531A17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2026-04-01T02:00:58Z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1e19007e-90c3-41f5-9fe5-03b3e8c2f1ef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