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epenergy.sharepoint.com/sites/RegulatoryServices/OPCO/Kentucky Power/Certificate Filings/2026-00001 KPCo Mitchell Cooling Tower CPCN/07 Rebuttal Testimony/Coon/Exhibits and Workpapers/"/>
    </mc:Choice>
  </mc:AlternateContent>
  <xr:revisionPtr revIDLastSave="20" documentId="13_ncr:1_{F8E9D582-FF5C-4BB3-8ABC-C7967F2F06C0}" xr6:coauthVersionLast="47" xr6:coauthVersionMax="47" xr10:uidLastSave="{8134814D-3BCE-4DA1-95E1-E35D5EAC83C6}"/>
  <bookViews>
    <workbookView xWindow="28680" yWindow="-120" windowWidth="29040" windowHeight="15720" tabRatio="756" xr2:uid="{00000000-000D-0000-FFFF-FFFF00000000}"/>
  </bookViews>
  <sheets>
    <sheet name="Input" sheetId="25" r:id="rId1"/>
    <sheet name="Cash Flow of U2" sheetId="52" r:id="rId2"/>
    <sheet name="GRCF" sheetId="43" r:id="rId3"/>
    <sheet name="Allocators" sheetId="44" r:id="rId4"/>
    <sheet name="CAP Structure" sheetId="26" r:id="rId5"/>
    <sheet name="Rate Base - coal" sheetId="48" r:id="rId6"/>
    <sheet name="Total Rev Req" sheetId="9" r:id="rId7"/>
    <sheet name="50% Rev Req" sheetId="45" r:id="rId8"/>
    <sheet name="SIT" sheetId="28" r:id="rId9"/>
    <sheet name="FIT" sheetId="27" r:id="rId10"/>
    <sheet name="MACRS" sheetId="49" state="hidden" r:id="rId11"/>
    <sheet name="DropDowns" sheetId="46" state="hidden" r:id="rId12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5">'Rate Base - coal'!$A$1:$W$73</definedName>
    <definedName name="_xlnm.Print_Area" localSheetId="6">'Total Rev Req'!$A$2:$V$25</definedName>
    <definedName name="_xlnm.Print_Area">#REF!</definedName>
    <definedName name="Print_Area_0">#REF!</definedName>
    <definedName name="_xlnm.Print_Titles" localSheetId="5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5" hidden="1">'Rate Base - coal'!$A$1:$M$72</definedName>
    <definedName name="Z_B2261136_1BD6_4EB8_80BC_AC5217B292C2_.wvu.PrintArea" localSheetId="6" hidden="1">'Total Rev Req'!$A$2:$L$29</definedName>
    <definedName name="Z_B2261136_1BD6_4EB8_80BC_AC5217B292C2_.wvu.PrintTitles" localSheetId="5" hidden="1">'Rate Base - coal'!$A:$A,'Rate Base - coal'!$1:$3</definedName>
  </definedNames>
  <calcPr calcId="191029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" i="48" l="1"/>
  <c r="E29" i="48"/>
  <c r="F29" i="48"/>
  <c r="G29" i="48"/>
  <c r="H29" i="48"/>
  <c r="I29" i="48"/>
  <c r="J29" i="48"/>
  <c r="K29" i="48"/>
  <c r="L29" i="48"/>
  <c r="M29" i="48"/>
  <c r="N29" i="48"/>
  <c r="O29" i="48"/>
  <c r="P29" i="48"/>
  <c r="Q29" i="48"/>
  <c r="R29" i="48"/>
  <c r="S29" i="48"/>
  <c r="T29" i="48"/>
  <c r="U29" i="48"/>
  <c r="V29" i="48"/>
  <c r="W29" i="48"/>
  <c r="X29" i="48"/>
  <c r="Y29" i="48"/>
  <c r="Z29" i="48"/>
  <c r="AA29" i="48"/>
  <c r="C11" i="52" l="1"/>
  <c r="D14" i="43"/>
  <c r="A11" i="43"/>
  <c r="A12" i="43" s="1"/>
  <c r="A14" i="43" s="1"/>
  <c r="A16" i="43" s="1"/>
  <c r="A19" i="43" s="1"/>
  <c r="A21" i="43" s="1"/>
  <c r="A23" i="43" s="1"/>
  <c r="A25" i="43" s="1"/>
  <c r="D7" i="43"/>
  <c r="C18" i="26"/>
  <c r="D16" i="26"/>
  <c r="F16" i="26" s="1"/>
  <c r="H16" i="26" s="1"/>
  <c r="D14" i="26"/>
  <c r="F14" i="26" s="1"/>
  <c r="H14" i="26" s="1"/>
  <c r="D12" i="26"/>
  <c r="D18" i="26" s="1"/>
  <c r="G5" i="52"/>
  <c r="B17" i="25"/>
  <c r="B30" i="25"/>
  <c r="B22" i="25" s="1"/>
  <c r="B19" i="48" s="1"/>
  <c r="B40" i="25"/>
  <c r="C4" i="48"/>
  <c r="C40" i="25"/>
  <c r="D4" i="48"/>
  <c r="B37" i="25"/>
  <c r="C3" i="48"/>
  <c r="D3" i="48" s="1"/>
  <c r="E3" i="48" s="1"/>
  <c r="F3" i="48" s="1"/>
  <c r="G3" i="48" s="1"/>
  <c r="H3" i="48" s="1"/>
  <c r="I3" i="48" s="1"/>
  <c r="J3" i="48" s="1"/>
  <c r="K3" i="48" s="1"/>
  <c r="L3" i="48" s="1"/>
  <c r="M3" i="48" s="1"/>
  <c r="N3" i="48" s="1"/>
  <c r="O3" i="48" s="1"/>
  <c r="B29" i="25"/>
  <c r="C24" i="48"/>
  <c r="B28" i="48"/>
  <c r="O28" i="48" s="1" a="1"/>
  <c r="O28" i="48" s="1"/>
  <c r="C28" i="48" a="1"/>
  <c r="C28" i="48" s="1"/>
  <c r="D24" i="48"/>
  <c r="AA32" i="48" s="1"/>
  <c r="B34" i="25"/>
  <c r="E18" i="28" s="1"/>
  <c r="C45" i="25"/>
  <c r="C6" i="9"/>
  <c r="C9" i="9"/>
  <c r="C10" i="9"/>
  <c r="C11" i="9"/>
  <c r="C12" i="9"/>
  <c r="E19" i="27"/>
  <c r="D40" i="25"/>
  <c r="E4" i="48"/>
  <c r="E24" i="48" s="1"/>
  <c r="D45" i="25"/>
  <c r="D6" i="9"/>
  <c r="D9" i="9"/>
  <c r="D10" i="9"/>
  <c r="D11" i="9"/>
  <c r="D12" i="9"/>
  <c r="F19" i="27"/>
  <c r="E40" i="25"/>
  <c r="F4" i="48"/>
  <c r="F24" i="48"/>
  <c r="E45" i="25"/>
  <c r="E6" i="9"/>
  <c r="E9" i="9"/>
  <c r="E10" i="9"/>
  <c r="E11" i="9"/>
  <c r="E12" i="9"/>
  <c r="G19" i="27"/>
  <c r="F40" i="25"/>
  <c r="G4" i="48"/>
  <c r="G24" i="48" s="1"/>
  <c r="F45" i="25"/>
  <c r="F6" i="9"/>
  <c r="F9" i="9"/>
  <c r="F10" i="9"/>
  <c r="F11" i="9"/>
  <c r="F12" i="9"/>
  <c r="H19" i="27"/>
  <c r="G40" i="25"/>
  <c r="H4" i="48"/>
  <c r="H24" i="48" s="1"/>
  <c r="G45" i="25"/>
  <c r="G6" i="9"/>
  <c r="G9" i="9"/>
  <c r="G10" i="9"/>
  <c r="G11" i="9"/>
  <c r="G12" i="9"/>
  <c r="I19" i="27"/>
  <c r="H40" i="25"/>
  <c r="I4" i="48"/>
  <c r="I24" i="48" s="1"/>
  <c r="I28" i="48" a="1"/>
  <c r="I28" i="48" s="1"/>
  <c r="H45" i="25"/>
  <c r="H6" i="9"/>
  <c r="H9" i="9"/>
  <c r="H10" i="9"/>
  <c r="H11" i="9"/>
  <c r="H12" i="9"/>
  <c r="J19" i="27"/>
  <c r="I40" i="25"/>
  <c r="J4" i="48"/>
  <c r="J24" i="48" s="1"/>
  <c r="I45" i="25"/>
  <c r="I6" i="9"/>
  <c r="I9" i="9"/>
  <c r="I10" i="9"/>
  <c r="I11" i="9"/>
  <c r="I12" i="9"/>
  <c r="K18" i="28"/>
  <c r="K19" i="27"/>
  <c r="J40" i="25"/>
  <c r="K4" i="48"/>
  <c r="K24" i="48" s="1"/>
  <c r="J45" i="25"/>
  <c r="J6" i="9"/>
  <c r="J9" i="9"/>
  <c r="J10" i="9"/>
  <c r="J11" i="9"/>
  <c r="J12" i="9"/>
  <c r="L18" i="28"/>
  <c r="L19" i="27"/>
  <c r="K40" i="25"/>
  <c r="L4" i="48"/>
  <c r="L24" i="48" s="1"/>
  <c r="L28" i="48" a="1"/>
  <c r="L28" i="48" s="1"/>
  <c r="K45" i="25"/>
  <c r="K6" i="9"/>
  <c r="K9" i="9"/>
  <c r="K10" i="9"/>
  <c r="K11" i="9"/>
  <c r="K12" i="9"/>
  <c r="M18" i="28"/>
  <c r="M19" i="27"/>
  <c r="L40" i="25"/>
  <c r="M4" i="48"/>
  <c r="M24" i="48" s="1"/>
  <c r="M28" i="48" a="1"/>
  <c r="M28" i="48" s="1"/>
  <c r="L45" i="25"/>
  <c r="L6" i="9"/>
  <c r="L9" i="9"/>
  <c r="L10" i="9"/>
  <c r="L11" i="9"/>
  <c r="L12" i="9"/>
  <c r="N18" i="28"/>
  <c r="N19" i="27"/>
  <c r="M40" i="25"/>
  <c r="N4" i="48"/>
  <c r="N24" i="48" s="1"/>
  <c r="N28" i="48" a="1"/>
  <c r="N28" i="48" s="1"/>
  <c r="M45" i="25"/>
  <c r="M6" i="9"/>
  <c r="M9" i="9"/>
  <c r="M10" i="9"/>
  <c r="M11" i="9"/>
  <c r="M12" i="9"/>
  <c r="O19" i="27"/>
  <c r="N6" i="9"/>
  <c r="N7" i="9"/>
  <c r="N9" i="9"/>
  <c r="N10" i="9"/>
  <c r="N11" i="9"/>
  <c r="N12" i="9"/>
  <c r="N13" i="9"/>
  <c r="P6" i="28"/>
  <c r="P19" i="27"/>
  <c r="P6" i="27"/>
  <c r="O6" i="9"/>
  <c r="O7" i="9"/>
  <c r="O9" i="9"/>
  <c r="O10" i="9"/>
  <c r="O11" i="9"/>
  <c r="O12" i="9"/>
  <c r="O13" i="9"/>
  <c r="Q6" i="28"/>
  <c r="Q19" i="27"/>
  <c r="Q6" i="27"/>
  <c r="P6" i="9"/>
  <c r="P7" i="9"/>
  <c r="P9" i="9"/>
  <c r="P10" i="9"/>
  <c r="P11" i="9"/>
  <c r="P12" i="9"/>
  <c r="P13" i="9"/>
  <c r="R6" i="28"/>
  <c r="R18" i="28"/>
  <c r="R19" i="27"/>
  <c r="R6" i="27"/>
  <c r="Q6" i="9"/>
  <c r="Q7" i="9"/>
  <c r="Q9" i="9"/>
  <c r="Q10" i="9"/>
  <c r="Q11" i="9"/>
  <c r="Q12" i="9"/>
  <c r="Q13" i="9"/>
  <c r="S6" i="28"/>
  <c r="S18" i="28"/>
  <c r="S19" i="27"/>
  <c r="S6" i="27"/>
  <c r="R6" i="9"/>
  <c r="R7" i="9"/>
  <c r="R9" i="9"/>
  <c r="R10" i="9"/>
  <c r="R11" i="9"/>
  <c r="R12" i="9"/>
  <c r="R13" i="9"/>
  <c r="T6" i="28"/>
  <c r="T19" i="27"/>
  <c r="T6" i="27"/>
  <c r="S6" i="9"/>
  <c r="S7" i="9"/>
  <c r="S9" i="9"/>
  <c r="S10" i="9"/>
  <c r="S11" i="9"/>
  <c r="S12" i="9"/>
  <c r="S13" i="9"/>
  <c r="U6" i="28"/>
  <c r="U18" i="28"/>
  <c r="U19" i="27"/>
  <c r="U6" i="27"/>
  <c r="U28" i="48" a="1"/>
  <c r="U28" i="48" s="1"/>
  <c r="T6" i="9"/>
  <c r="T7" i="9"/>
  <c r="T9" i="9"/>
  <c r="T10" i="9"/>
  <c r="T11" i="9"/>
  <c r="T12" i="9"/>
  <c r="T13" i="9"/>
  <c r="V6" i="28"/>
  <c r="V18" i="28"/>
  <c r="V19" i="27"/>
  <c r="V6" i="27"/>
  <c r="U6" i="9"/>
  <c r="U7" i="9"/>
  <c r="U9" i="9"/>
  <c r="U10" i="9"/>
  <c r="U11" i="9"/>
  <c r="U12" i="9"/>
  <c r="U13" i="9"/>
  <c r="W6" i="28"/>
  <c r="W19" i="27"/>
  <c r="W6" i="27"/>
  <c r="V6" i="9"/>
  <c r="V7" i="9"/>
  <c r="V9" i="9"/>
  <c r="V10" i="9"/>
  <c r="V11" i="9"/>
  <c r="V12" i="9"/>
  <c r="V13" i="9"/>
  <c r="X6" i="28"/>
  <c r="X19" i="27"/>
  <c r="X6" i="27"/>
  <c r="W6" i="9"/>
  <c r="W7" i="9"/>
  <c r="W9" i="9"/>
  <c r="W10" i="9"/>
  <c r="W11" i="9"/>
  <c r="W12" i="9"/>
  <c r="W13" i="9"/>
  <c r="Y6" i="28"/>
  <c r="Y19" i="27"/>
  <c r="Y6" i="27"/>
  <c r="X6" i="9"/>
  <c r="X7" i="9"/>
  <c r="X9" i="9"/>
  <c r="X10" i="9"/>
  <c r="X11" i="9"/>
  <c r="X12" i="9"/>
  <c r="X13" i="9"/>
  <c r="Z6" i="28"/>
  <c r="Z18" i="28"/>
  <c r="Z19" i="27"/>
  <c r="Z6" i="27"/>
  <c r="Y6" i="9"/>
  <c r="Y7" i="9"/>
  <c r="Y9" i="9"/>
  <c r="Y10" i="9"/>
  <c r="Y11" i="9"/>
  <c r="Y12" i="9"/>
  <c r="Y13" i="9"/>
  <c r="AA6" i="28"/>
  <c r="AA18" i="28"/>
  <c r="AA19" i="27"/>
  <c r="AA6" i="27"/>
  <c r="Z6" i="9"/>
  <c r="Z7" i="9"/>
  <c r="Z9" i="9"/>
  <c r="Z10" i="9"/>
  <c r="Z11" i="9"/>
  <c r="Z12" i="9"/>
  <c r="Z13" i="9"/>
  <c r="AB6" i="28"/>
  <c r="AB19" i="27"/>
  <c r="AB6" i="27"/>
  <c r="B45" i="25"/>
  <c r="B6" i="9"/>
  <c r="B9" i="9"/>
  <c r="B10" i="9"/>
  <c r="B11" i="9"/>
  <c r="B12" i="9"/>
  <c r="D18" i="28"/>
  <c r="D19" i="27"/>
  <c r="D6" i="52"/>
  <c r="D11" i="52"/>
  <c r="E6" i="52"/>
  <c r="E11" i="52"/>
  <c r="E13" i="25"/>
  <c r="A29" i="45"/>
  <c r="A32" i="45"/>
  <c r="A33" i="45"/>
  <c r="E15" i="25"/>
  <c r="C37" i="25"/>
  <c r="D37" i="25"/>
  <c r="E37" i="25"/>
  <c r="F37" i="25"/>
  <c r="G37" i="25"/>
  <c r="H37" i="25"/>
  <c r="I37" i="25"/>
  <c r="J37" i="25"/>
  <c r="K37" i="25"/>
  <c r="L37" i="25"/>
  <c r="M37" i="25"/>
  <c r="N37" i="25"/>
  <c r="O37" i="25"/>
  <c r="P37" i="25"/>
  <c r="Q37" i="25"/>
  <c r="R37" i="25"/>
  <c r="S37" i="25"/>
  <c r="T37" i="25"/>
  <c r="U37" i="25"/>
  <c r="V37" i="25"/>
  <c r="W37" i="25"/>
  <c r="X37" i="25"/>
  <c r="Y37" i="25"/>
  <c r="Z37" i="25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U50" i="9"/>
  <c r="V50" i="9"/>
  <c r="X50" i="9"/>
  <c r="W50" i="9"/>
  <c r="T50" i="9"/>
  <c r="N50" i="9"/>
  <c r="Q50" i="9"/>
  <c r="S50" i="9"/>
  <c r="O50" i="9"/>
  <c r="P50" i="9"/>
  <c r="Y50" i="9"/>
  <c r="Z50" i="9"/>
  <c r="R50" i="9"/>
  <c r="A10" i="9"/>
  <c r="E17" i="25"/>
  <c r="J25" i="48"/>
  <c r="K25" i="48"/>
  <c r="L25" i="48"/>
  <c r="M25" i="48"/>
  <c r="N25" i="48"/>
  <c r="AL19" i="27"/>
  <c r="AC19" i="27"/>
  <c r="AD19" i="27"/>
  <c r="AE19" i="27"/>
  <c r="AF19" i="27"/>
  <c r="AG19" i="27"/>
  <c r="AH19" i="27"/>
  <c r="AI19" i="27"/>
  <c r="AJ19" i="27"/>
  <c r="AK19" i="27"/>
  <c r="AJ2" i="28"/>
  <c r="AJ1" i="27"/>
  <c r="AK2" i="28"/>
  <c r="AK1" i="27"/>
  <c r="AL2" i="28"/>
  <c r="AL1" i="27"/>
  <c r="Y2" i="28"/>
  <c r="Y1" i="27"/>
  <c r="Z2" i="28"/>
  <c r="Z1" i="27"/>
  <c r="AA2" i="28"/>
  <c r="AA1" i="27"/>
  <c r="AB2" i="28"/>
  <c r="AB1" i="27"/>
  <c r="AC2" i="28"/>
  <c r="AC1" i="27"/>
  <c r="AD2" i="28"/>
  <c r="AD1" i="27"/>
  <c r="AE2" i="28"/>
  <c r="AE1" i="27"/>
  <c r="AF2" i="28"/>
  <c r="AF1" i="27"/>
  <c r="AG2" i="28"/>
  <c r="AG1" i="27"/>
  <c r="AH2" i="28"/>
  <c r="AH1" i="27"/>
  <c r="AI2" i="28"/>
  <c r="AI1" i="27"/>
  <c r="AL6" i="28"/>
  <c r="AK6" i="28"/>
  <c r="AJ6" i="27"/>
  <c r="AI6" i="27"/>
  <c r="AH6" i="28"/>
  <c r="AL6" i="27"/>
  <c r="AI6" i="28"/>
  <c r="AK6" i="27"/>
  <c r="AJ6" i="28"/>
  <c r="AH6" i="27"/>
  <c r="AF18" i="28"/>
  <c r="AG18" i="28"/>
  <c r="AD18" i="28"/>
  <c r="V8" i="45" a="1"/>
  <c r="V8" i="45"/>
  <c r="W9" i="45" a="1"/>
  <c r="W9" i="45"/>
  <c r="X10" i="45" a="1"/>
  <c r="X10" i="45"/>
  <c r="Z11" i="45" a="1"/>
  <c r="Z11" i="45"/>
  <c r="V11" i="45" a="1"/>
  <c r="V11" i="45"/>
  <c r="X11" i="45" a="1"/>
  <c r="X11" i="45"/>
  <c r="V9" i="45" a="1"/>
  <c r="V9" i="45"/>
  <c r="W10" i="45" a="1"/>
  <c r="W10" i="45"/>
  <c r="Y11" i="45" a="1"/>
  <c r="Y11" i="45"/>
  <c r="W8" i="45" a="1"/>
  <c r="W8" i="45"/>
  <c r="X9" i="45" a="1"/>
  <c r="X9" i="45"/>
  <c r="X8" i="45" a="1"/>
  <c r="X8" i="45"/>
  <c r="Y9" i="45" a="1"/>
  <c r="Y9" i="45"/>
  <c r="Y10" i="45" a="1"/>
  <c r="Y10" i="45"/>
  <c r="V6" i="45" a="1"/>
  <c r="V6" i="45"/>
  <c r="Y8" i="45" a="1"/>
  <c r="Y8" i="45"/>
  <c r="Z9" i="45" a="1"/>
  <c r="Z9" i="45"/>
  <c r="X6" i="45" a="1"/>
  <c r="X6" i="45"/>
  <c r="Z8" i="45" a="1"/>
  <c r="Z8" i="45"/>
  <c r="Y6" i="45" a="1"/>
  <c r="Y6" i="45"/>
  <c r="W11" i="45" a="1"/>
  <c r="W11" i="45"/>
  <c r="Z6" i="45" a="1"/>
  <c r="Z6" i="45"/>
  <c r="V10" i="45" a="1"/>
  <c r="V10" i="45"/>
  <c r="W6" i="45" a="1"/>
  <c r="W6" i="45"/>
  <c r="Z10" i="45" a="1"/>
  <c r="Z10" i="45"/>
  <c r="G23" i="49"/>
  <c r="F23" i="49"/>
  <c r="E23" i="49"/>
  <c r="D23" i="49"/>
  <c r="C23" i="49"/>
  <c r="B23" i="49"/>
  <c r="E2" i="28"/>
  <c r="E1" i="27"/>
  <c r="F2" i="28"/>
  <c r="F1" i="27"/>
  <c r="G2" i="28"/>
  <c r="G1" i="27"/>
  <c r="H2" i="28"/>
  <c r="H1" i="27"/>
  <c r="I2" i="28"/>
  <c r="I1" i="27"/>
  <c r="J2" i="28"/>
  <c r="J1" i="27"/>
  <c r="K2" i="28"/>
  <c r="K1" i="27"/>
  <c r="L2" i="28"/>
  <c r="L1" i="27"/>
  <c r="M2" i="28"/>
  <c r="M1" i="27"/>
  <c r="N2" i="28"/>
  <c r="N1" i="27"/>
  <c r="O2" i="28"/>
  <c r="O1" i="27"/>
  <c r="P2" i="28"/>
  <c r="P1" i="27"/>
  <c r="Q2" i="28"/>
  <c r="Q1" i="27"/>
  <c r="R2" i="28"/>
  <c r="R1" i="27"/>
  <c r="S2" i="28"/>
  <c r="S1" i="27"/>
  <c r="T2" i="28"/>
  <c r="T1" i="27"/>
  <c r="U2" i="28"/>
  <c r="U1" i="27"/>
  <c r="V2" i="28"/>
  <c r="V1" i="27"/>
  <c r="W2" i="28"/>
  <c r="W1" i="27"/>
  <c r="X2" i="28"/>
  <c r="X1" i="27"/>
  <c r="D2" i="28"/>
  <c r="D1" i="27"/>
  <c r="A14" i="45"/>
  <c r="A15" i="45"/>
  <c r="A16" i="45"/>
  <c r="A17" i="45"/>
  <c r="A18" i="45"/>
  <c r="A20" i="45"/>
  <c r="A21" i="45"/>
  <c r="A23" i="45"/>
  <c r="A24" i="45"/>
  <c r="A25" i="45"/>
  <c r="A1" i="45"/>
  <c r="V5" i="45" a="1"/>
  <c r="V5" i="45"/>
  <c r="B5" i="9"/>
  <c r="B4" i="45"/>
  <c r="D3" i="28"/>
  <c r="D2" i="27"/>
  <c r="W5" i="45" a="1"/>
  <c r="W5" i="45"/>
  <c r="V12" i="45" a="1"/>
  <c r="V12" i="45"/>
  <c r="V48" i="45"/>
  <c r="X5" i="45" a="1"/>
  <c r="X5" i="45"/>
  <c r="W12" i="45" a="1"/>
  <c r="W12" i="45"/>
  <c r="W48" i="45"/>
  <c r="Y5" i="45" a="1"/>
  <c r="Y5" i="45"/>
  <c r="X12" i="45" a="1"/>
  <c r="X12" i="45"/>
  <c r="X48" i="45"/>
  <c r="A6" i="45"/>
  <c r="A8" i="45"/>
  <c r="A9" i="45"/>
  <c r="A10" i="45"/>
  <c r="A11" i="45"/>
  <c r="A12" i="45"/>
  <c r="A13" i="45"/>
  <c r="A5" i="45"/>
  <c r="Z5" i="45" a="1"/>
  <c r="Z5" i="45"/>
  <c r="Y12" i="45" a="1"/>
  <c r="Y12" i="45"/>
  <c r="Y48" i="45"/>
  <c r="E8" i="25"/>
  <c r="E4" i="25"/>
  <c r="C8" i="45" a="1"/>
  <c r="C8" i="45"/>
  <c r="D8" i="45" a="1"/>
  <c r="D8" i="45"/>
  <c r="E8" i="45" a="1"/>
  <c r="E8" i="45"/>
  <c r="F8" i="45" a="1"/>
  <c r="F8" i="45"/>
  <c r="G8" i="45" a="1"/>
  <c r="G8" i="45"/>
  <c r="H8" i="45" a="1"/>
  <c r="H8" i="45"/>
  <c r="I8" i="45" a="1"/>
  <c r="I8" i="45"/>
  <c r="J8" i="45" a="1"/>
  <c r="J8" i="45"/>
  <c r="K8" i="45" a="1"/>
  <c r="K8" i="45"/>
  <c r="L8" i="45" a="1"/>
  <c r="L8" i="45"/>
  <c r="M8" i="45" a="1"/>
  <c r="M8" i="45"/>
  <c r="N8" i="45" a="1"/>
  <c r="N8" i="45"/>
  <c r="O8" i="45" a="1"/>
  <c r="O8" i="45"/>
  <c r="P8" i="45" a="1"/>
  <c r="P8" i="45"/>
  <c r="Q8" i="45" a="1"/>
  <c r="Q8" i="45"/>
  <c r="R8" i="45" a="1"/>
  <c r="R8" i="45"/>
  <c r="S8" i="45" a="1"/>
  <c r="S8" i="45"/>
  <c r="T8" i="45" a="1"/>
  <c r="T8" i="45"/>
  <c r="U8" i="45" a="1"/>
  <c r="U8" i="45"/>
  <c r="C9" i="45" a="1"/>
  <c r="C9" i="45"/>
  <c r="D9" i="45" a="1"/>
  <c r="D9" i="45"/>
  <c r="E9" i="45" a="1"/>
  <c r="E9" i="45"/>
  <c r="F9" i="45" a="1"/>
  <c r="F9" i="45"/>
  <c r="G9" i="45" a="1"/>
  <c r="G9" i="45"/>
  <c r="H9" i="45" a="1"/>
  <c r="H9" i="45"/>
  <c r="I9" i="45" a="1"/>
  <c r="I9" i="45"/>
  <c r="J9" i="45" a="1"/>
  <c r="J9" i="45"/>
  <c r="K9" i="45" a="1"/>
  <c r="K9" i="45"/>
  <c r="L9" i="45" a="1"/>
  <c r="L9" i="45"/>
  <c r="M9" i="45" a="1"/>
  <c r="M9" i="45"/>
  <c r="N9" i="45" a="1"/>
  <c r="N9" i="45"/>
  <c r="O9" i="45" a="1"/>
  <c r="O9" i="45"/>
  <c r="P9" i="45" a="1"/>
  <c r="P9" i="45"/>
  <c r="Q9" i="45" a="1"/>
  <c r="Q9" i="45"/>
  <c r="R9" i="45" a="1"/>
  <c r="R9" i="45"/>
  <c r="S9" i="45" a="1"/>
  <c r="S9" i="45"/>
  <c r="T9" i="45" a="1"/>
  <c r="T9" i="45"/>
  <c r="U9" i="45" a="1"/>
  <c r="U9" i="45"/>
  <c r="C10" i="45" a="1"/>
  <c r="C10" i="45"/>
  <c r="D10" i="45" a="1"/>
  <c r="D10" i="45"/>
  <c r="E10" i="45" a="1"/>
  <c r="E10" i="45"/>
  <c r="F10" i="45" a="1"/>
  <c r="F10" i="45"/>
  <c r="G10" i="45" a="1"/>
  <c r="G10" i="45"/>
  <c r="H10" i="45" a="1"/>
  <c r="H10" i="45"/>
  <c r="I10" i="45" a="1"/>
  <c r="I10" i="45"/>
  <c r="J10" i="45" a="1"/>
  <c r="J10" i="45"/>
  <c r="K10" i="45" a="1"/>
  <c r="K10" i="45"/>
  <c r="L10" i="45" a="1"/>
  <c r="L10" i="45"/>
  <c r="M10" i="45" a="1"/>
  <c r="M10" i="45"/>
  <c r="N10" i="45" a="1"/>
  <c r="N10" i="45"/>
  <c r="O10" i="45" a="1"/>
  <c r="O10" i="45"/>
  <c r="P10" i="45" a="1"/>
  <c r="P10" i="45"/>
  <c r="Q10" i="45" a="1"/>
  <c r="Q10" i="45"/>
  <c r="R10" i="45" a="1"/>
  <c r="R10" i="45"/>
  <c r="S10" i="45" a="1"/>
  <c r="S10" i="45"/>
  <c r="T10" i="45" a="1"/>
  <c r="T10" i="45"/>
  <c r="U10" i="45" a="1"/>
  <c r="U10" i="45"/>
  <c r="C11" i="45" a="1"/>
  <c r="C11" i="45"/>
  <c r="D11" i="45" a="1"/>
  <c r="D11" i="45"/>
  <c r="E11" i="45" a="1"/>
  <c r="E11" i="45"/>
  <c r="F11" i="45" a="1"/>
  <c r="F11" i="45"/>
  <c r="G11" i="45" a="1"/>
  <c r="G11" i="45"/>
  <c r="H11" i="45" a="1"/>
  <c r="H11" i="45"/>
  <c r="I11" i="45" a="1"/>
  <c r="I11" i="45"/>
  <c r="J11" i="45" a="1"/>
  <c r="J11" i="45"/>
  <c r="K11" i="45" a="1"/>
  <c r="K11" i="45"/>
  <c r="L11" i="45" a="1"/>
  <c r="L11" i="45"/>
  <c r="M11" i="45" a="1"/>
  <c r="M11" i="45"/>
  <c r="N11" i="45" a="1"/>
  <c r="N11" i="45"/>
  <c r="O11" i="45" a="1"/>
  <c r="O11" i="45"/>
  <c r="P11" i="45" a="1"/>
  <c r="P11" i="45"/>
  <c r="Q11" i="45" a="1"/>
  <c r="Q11" i="45"/>
  <c r="R11" i="45" a="1"/>
  <c r="R11" i="45"/>
  <c r="S11" i="45" a="1"/>
  <c r="S11" i="45"/>
  <c r="T11" i="45" a="1"/>
  <c r="T11" i="45"/>
  <c r="U11" i="45" a="1"/>
  <c r="U11" i="45"/>
  <c r="B9" i="45" a="1"/>
  <c r="B9" i="45"/>
  <c r="B10" i="45" a="1"/>
  <c r="B10" i="45"/>
  <c r="B11" i="45" a="1"/>
  <c r="B11" i="45"/>
  <c r="B8" i="45" a="1"/>
  <c r="B8" i="45"/>
  <c r="N6" i="45" a="1"/>
  <c r="N6" i="45"/>
  <c r="O6" i="45" a="1"/>
  <c r="O6" i="45"/>
  <c r="P6" i="45" a="1"/>
  <c r="P6" i="45"/>
  <c r="Q6" i="45" a="1"/>
  <c r="Q6" i="45"/>
  <c r="R6" i="45" a="1"/>
  <c r="R6" i="45"/>
  <c r="S6" i="45" a="1"/>
  <c r="S6" i="45"/>
  <c r="T6" i="45" a="1"/>
  <c r="T6" i="45"/>
  <c r="U6" i="45" a="1"/>
  <c r="U6" i="45"/>
  <c r="C5" i="45" a="1"/>
  <c r="C5" i="45"/>
  <c r="D5" i="45" a="1"/>
  <c r="D5" i="45"/>
  <c r="E5" i="45" a="1"/>
  <c r="E5" i="45"/>
  <c r="F5" i="45" a="1"/>
  <c r="F5" i="45"/>
  <c r="G5" i="45" a="1"/>
  <c r="G5" i="45"/>
  <c r="H5" i="45" a="1"/>
  <c r="H5" i="45"/>
  <c r="I5" i="45" a="1"/>
  <c r="I5" i="45"/>
  <c r="J5" i="45" a="1"/>
  <c r="J5" i="45"/>
  <c r="K5" i="45" a="1"/>
  <c r="K5" i="45"/>
  <c r="L5" i="45" a="1"/>
  <c r="L5" i="45"/>
  <c r="M5" i="45" a="1"/>
  <c r="M5" i="45"/>
  <c r="N5" i="45" a="1"/>
  <c r="N5" i="45"/>
  <c r="O5" i="45" a="1"/>
  <c r="O5" i="45"/>
  <c r="P5" i="45" a="1"/>
  <c r="P5" i="45"/>
  <c r="Q5" i="45" a="1"/>
  <c r="Q5" i="45"/>
  <c r="R5" i="45" a="1"/>
  <c r="R5" i="45"/>
  <c r="S5" i="45" a="1"/>
  <c r="S5" i="45"/>
  <c r="T5" i="45" a="1"/>
  <c r="T5" i="45"/>
  <c r="U5" i="45" a="1"/>
  <c r="U5" i="45"/>
  <c r="Z12" i="45" a="1"/>
  <c r="Z12" i="45"/>
  <c r="Z48" i="45"/>
  <c r="B5" i="45" a="1"/>
  <c r="B5" i="45"/>
  <c r="E7" i="25"/>
  <c r="AC6" i="27"/>
  <c r="AC6" i="28"/>
  <c r="AD6" i="28"/>
  <c r="AD6" i="27"/>
  <c r="AE6" i="28"/>
  <c r="AE6" i="27"/>
  <c r="A37" i="25"/>
  <c r="AG6" i="28"/>
  <c r="AG6" i="27"/>
  <c r="AF6" i="28"/>
  <c r="AF6" i="27"/>
  <c r="D25" i="48"/>
  <c r="C5" i="9"/>
  <c r="C4" i="45"/>
  <c r="E3" i="28"/>
  <c r="E2" i="27"/>
  <c r="E25" i="48"/>
  <c r="D5" i="9"/>
  <c r="D4" i="45"/>
  <c r="F3" i="28"/>
  <c r="F2" i="27"/>
  <c r="Q12" i="45" a="1"/>
  <c r="Q12" i="45"/>
  <c r="Q48" i="45"/>
  <c r="N12" i="45" a="1"/>
  <c r="N12" i="45"/>
  <c r="N48" i="45"/>
  <c r="P12" i="45" a="1"/>
  <c r="P12" i="45"/>
  <c r="P48" i="45"/>
  <c r="O12" i="45" a="1"/>
  <c r="O12" i="45"/>
  <c r="O48" i="45"/>
  <c r="U12" i="45" a="1"/>
  <c r="U12" i="45"/>
  <c r="U48" i="45"/>
  <c r="T12" i="45" a="1"/>
  <c r="T12" i="45"/>
  <c r="T48" i="45"/>
  <c r="S12" i="45" a="1"/>
  <c r="S12" i="45"/>
  <c r="S48" i="45"/>
  <c r="R12" i="45" a="1"/>
  <c r="R12" i="45"/>
  <c r="R48" i="45"/>
  <c r="E5" i="9"/>
  <c r="E4" i="45"/>
  <c r="G3" i="28"/>
  <c r="G2" i="27"/>
  <c r="F25" i="48"/>
  <c r="F5" i="9"/>
  <c r="F4" i="45"/>
  <c r="H3" i="28"/>
  <c r="H2" i="27"/>
  <c r="G25" i="48"/>
  <c r="G5" i="9"/>
  <c r="G4" i="45"/>
  <c r="I3" i="28"/>
  <c r="I2" i="27"/>
  <c r="H25" i="48"/>
  <c r="H5" i="9"/>
  <c r="H4" i="45"/>
  <c r="J3" i="28"/>
  <c r="J2" i="27"/>
  <c r="I25" i="48"/>
  <c r="I5" i="9"/>
  <c r="I4" i="45"/>
  <c r="K3" i="28"/>
  <c r="K2" i="27"/>
  <c r="J5" i="9"/>
  <c r="J4" i="45"/>
  <c r="L3" i="28"/>
  <c r="L2" i="27"/>
  <c r="K5" i="9"/>
  <c r="K4" i="45"/>
  <c r="M3" i="28"/>
  <c r="M2" i="27"/>
  <c r="L5" i="9"/>
  <c r="M5" i="9"/>
  <c r="N5" i="9"/>
  <c r="O5" i="9"/>
  <c r="P5" i="9"/>
  <c r="Q5" i="9"/>
  <c r="R5" i="9"/>
  <c r="S5" i="9"/>
  <c r="T5" i="9"/>
  <c r="U5" i="9"/>
  <c r="V5" i="9"/>
  <c r="W5" i="9"/>
  <c r="X5" i="9"/>
  <c r="Y5" i="9"/>
  <c r="Z5" i="9"/>
  <c r="L4" i="45"/>
  <c r="N3" i="28"/>
  <c r="N2" i="27"/>
  <c r="M4" i="45"/>
  <c r="O3" i="28"/>
  <c r="O2" i="27"/>
  <c r="N4" i="45"/>
  <c r="P3" i="28"/>
  <c r="P2" i="27"/>
  <c r="O4" i="45"/>
  <c r="Q3" i="28"/>
  <c r="Q2" i="27"/>
  <c r="P4" i="45"/>
  <c r="R3" i="28"/>
  <c r="R2" i="27"/>
  <c r="Q4" i="45"/>
  <c r="S3" i="28"/>
  <c r="S2" i="27"/>
  <c r="R4" i="45"/>
  <c r="T3" i="28"/>
  <c r="T2" i="27"/>
  <c r="S4" i="45"/>
  <c r="U3" i="28"/>
  <c r="U2" i="27"/>
  <c r="T4" i="45"/>
  <c r="V3" i="28"/>
  <c r="V2" i="27"/>
  <c r="U4" i="45"/>
  <c r="W3" i="28"/>
  <c r="W2" i="27"/>
  <c r="V4" i="45"/>
  <c r="X3" i="28"/>
  <c r="X2" i="27"/>
  <c r="W4" i="45"/>
  <c r="Y3" i="28"/>
  <c r="Y2" i="27"/>
  <c r="X4" i="45"/>
  <c r="Z3" i="28"/>
  <c r="Z2" i="27"/>
  <c r="Y4" i="45"/>
  <c r="AA3" i="28"/>
  <c r="AA2" i="27"/>
  <c r="Z4" i="45"/>
  <c r="AB3" i="28"/>
  <c r="AB2" i="27"/>
  <c r="AC3" i="28"/>
  <c r="AC2" i="27"/>
  <c r="AD3" i="28"/>
  <c r="AD2" i="27"/>
  <c r="AE3" i="28"/>
  <c r="AE2" i="27"/>
  <c r="AC14" i="28"/>
  <c r="AC15" i="27" s="1"/>
  <c r="AF3" i="28"/>
  <c r="AF2" i="27"/>
  <c r="AC7" i="27"/>
  <c r="AC7" i="28"/>
  <c r="AD14" i="28"/>
  <c r="AD15" i="27" s="1"/>
  <c r="AG3" i="28"/>
  <c r="AG2" i="27"/>
  <c r="AE14" i="28"/>
  <c r="AE15" i="27"/>
  <c r="AD7" i="27"/>
  <c r="AD7" i="28"/>
  <c r="AH3" i="28"/>
  <c r="AH2" i="27"/>
  <c r="AE7" i="27"/>
  <c r="AE7" i="28"/>
  <c r="AF14" i="28"/>
  <c r="AF15" i="27" s="1"/>
  <c r="AI3" i="28"/>
  <c r="AI2" i="27"/>
  <c r="AG14" i="28"/>
  <c r="AG15" i="27"/>
  <c r="AF7" i="27"/>
  <c r="AF7" i="28"/>
  <c r="AJ3" i="28"/>
  <c r="AJ2" i="27"/>
  <c r="AH14" i="28"/>
  <c r="AH15" i="27" s="1"/>
  <c r="AG7" i="27"/>
  <c r="AG7" i="28"/>
  <c r="AK3" i="28"/>
  <c r="AK2" i="27"/>
  <c r="AI14" i="28"/>
  <c r="AI15" i="27"/>
  <c r="AH7" i="28"/>
  <c r="AH7" i="27"/>
  <c r="AL3" i="28"/>
  <c r="AL2" i="27"/>
  <c r="AJ14" i="28"/>
  <c r="AJ15" i="27" s="1"/>
  <c r="AI7" i="27"/>
  <c r="AI7" i="28"/>
  <c r="AK14" i="28"/>
  <c r="AK15" i="27" s="1"/>
  <c r="AJ7" i="27"/>
  <c r="AJ7" i="28"/>
  <c r="AL14" i="28"/>
  <c r="AL15" i="27"/>
  <c r="AK7" i="27"/>
  <c r="AK7" i="28"/>
  <c r="AL7" i="28"/>
  <c r="AL7" i="27"/>
  <c r="AC27" i="27"/>
  <c r="AC22" i="28"/>
  <c r="AD27" i="27"/>
  <c r="AD22" i="28"/>
  <c r="AE27" i="27"/>
  <c r="AE22" i="28"/>
  <c r="AF22" i="28"/>
  <c r="AF27" i="27"/>
  <c r="AG27" i="27"/>
  <c r="AG22" i="28"/>
  <c r="AH22" i="28"/>
  <c r="AH27" i="27"/>
  <c r="AI27" i="27"/>
  <c r="AI22" i="28"/>
  <c r="AJ27" i="27"/>
  <c r="AJ22" i="28"/>
  <c r="AL27" i="27"/>
  <c r="AL22" i="28"/>
  <c r="AK27" i="27"/>
  <c r="AK22" i="28"/>
  <c r="C8" i="52" l="1"/>
  <c r="X43" i="48"/>
  <c r="Y32" i="48"/>
  <c r="G28" i="48" a="1"/>
  <c r="G28" i="48" s="1"/>
  <c r="AA51" i="48" s="1"/>
  <c r="P28" i="48" a="1"/>
  <c r="P28" i="48" s="1"/>
  <c r="V37" i="48" s="1"/>
  <c r="Q28" i="48" a="1"/>
  <c r="Q28" i="48" s="1"/>
  <c r="AA41" i="48" s="1"/>
  <c r="V36" i="48"/>
  <c r="S28" i="48" a="1"/>
  <c r="S28" i="48" s="1"/>
  <c r="Z38" i="48" s="1"/>
  <c r="H32" i="48"/>
  <c r="M37" i="48"/>
  <c r="Z50" i="48"/>
  <c r="J34" i="48"/>
  <c r="S43" i="48"/>
  <c r="X46" i="48"/>
  <c r="Y47" i="48"/>
  <c r="AA37" i="48"/>
  <c r="Y35" i="48"/>
  <c r="Y53" i="48"/>
  <c r="I37" i="48"/>
  <c r="F34" i="48"/>
  <c r="H36" i="48"/>
  <c r="K39" i="48"/>
  <c r="O43" i="48"/>
  <c r="N42" i="48"/>
  <c r="X52" i="48"/>
  <c r="L40" i="48"/>
  <c r="W51" i="48"/>
  <c r="P44" i="48"/>
  <c r="AA44" i="48"/>
  <c r="T37" i="48"/>
  <c r="O32" i="48"/>
  <c r="R35" i="48"/>
  <c r="W40" i="48"/>
  <c r="O33" i="48"/>
  <c r="R36" i="48"/>
  <c r="W39" i="48"/>
  <c r="P32" i="48"/>
  <c r="X34" i="48"/>
  <c r="P3" i="48"/>
  <c r="Y37" i="48"/>
  <c r="U33" i="48"/>
  <c r="V34" i="48"/>
  <c r="R32" i="48"/>
  <c r="W37" i="48"/>
  <c r="Y44" i="48"/>
  <c r="Y41" i="48"/>
  <c r="V41" i="48"/>
  <c r="X41" i="48"/>
  <c r="S41" i="48"/>
  <c r="V38" i="48"/>
  <c r="P38" i="48"/>
  <c r="J38" i="48"/>
  <c r="X38" i="48"/>
  <c r="S38" i="48"/>
  <c r="U38" i="48"/>
  <c r="M38" i="48"/>
  <c r="N38" i="48"/>
  <c r="U49" i="48"/>
  <c r="AA49" i="48"/>
  <c r="X48" i="48"/>
  <c r="T48" i="48"/>
  <c r="Z48" i="48"/>
  <c r="Z40" i="48"/>
  <c r="V40" i="48"/>
  <c r="R40" i="48"/>
  <c r="U40" i="48"/>
  <c r="P40" i="48"/>
  <c r="W47" i="48"/>
  <c r="S47" i="48"/>
  <c r="R37" i="48"/>
  <c r="AA46" i="48"/>
  <c r="R46" i="48"/>
  <c r="Q45" i="48"/>
  <c r="W42" i="48"/>
  <c r="AA42" i="48"/>
  <c r="T42" i="48"/>
  <c r="Z42" i="48"/>
  <c r="Y42" i="48"/>
  <c r="X42" i="48"/>
  <c r="O39" i="48"/>
  <c r="U39" i="48"/>
  <c r="V39" i="48"/>
  <c r="AA39" i="48"/>
  <c r="V46" i="48"/>
  <c r="T39" i="48"/>
  <c r="Q41" i="48"/>
  <c r="N41" i="48"/>
  <c r="AA55" i="48"/>
  <c r="Z43" i="48"/>
  <c r="Y43" i="48"/>
  <c r="AA43" i="48"/>
  <c r="Y49" i="48"/>
  <c r="X40" i="48"/>
  <c r="T38" i="48"/>
  <c r="Q39" i="48"/>
  <c r="G32" i="48"/>
  <c r="M41" i="48"/>
  <c r="S36" i="48"/>
  <c r="U36" i="48"/>
  <c r="Q36" i="48"/>
  <c r="N36" i="48"/>
  <c r="T36" i="48"/>
  <c r="Z36" i="48"/>
  <c r="Y38" i="48"/>
  <c r="S33" i="48"/>
  <c r="D28" i="48" a="1"/>
  <c r="D28" i="48" s="1"/>
  <c r="K38" i="48" s="1"/>
  <c r="W28" i="48" a="1"/>
  <c r="W28" i="48" s="1"/>
  <c r="Y33" i="48" s="1"/>
  <c r="V28" i="48" a="1"/>
  <c r="V28" i="48" s="1"/>
  <c r="Y34" i="48" s="1"/>
  <c r="K28" i="48" a="1"/>
  <c r="K28" i="48" s="1"/>
  <c r="AA47" i="48" s="1"/>
  <c r="T28" i="48" a="1"/>
  <c r="T28" i="48" s="1"/>
  <c r="X35" i="48" s="1"/>
  <c r="E28" i="48" a="1"/>
  <c r="E28" i="48" s="1"/>
  <c r="H28" i="48" a="1"/>
  <c r="H28" i="48" s="1"/>
  <c r="R41" i="48" s="1"/>
  <c r="R28" i="48" a="1"/>
  <c r="R28" i="48" s="1"/>
  <c r="AA40" i="48" s="1"/>
  <c r="J28" i="48" a="1"/>
  <c r="J28" i="48" s="1"/>
  <c r="Q38" i="48" s="1"/>
  <c r="F28" i="48" a="1"/>
  <c r="F28" i="48" s="1"/>
  <c r="O40" i="48" s="1"/>
  <c r="O34" i="48"/>
  <c r="S34" i="48"/>
  <c r="G34" i="48"/>
  <c r="AA34" i="48"/>
  <c r="P34" i="48"/>
  <c r="L34" i="48"/>
  <c r="Q34" i="48"/>
  <c r="R34" i="48"/>
  <c r="I33" i="48"/>
  <c r="P33" i="48"/>
  <c r="L33" i="48"/>
  <c r="Q33" i="48"/>
  <c r="Z33" i="48"/>
  <c r="N33" i="48"/>
  <c r="W33" i="48"/>
  <c r="AA33" i="48"/>
  <c r="K33" i="48"/>
  <c r="R33" i="48"/>
  <c r="E33" i="48"/>
  <c r="V33" i="48"/>
  <c r="V50" i="48"/>
  <c r="W41" i="48"/>
  <c r="U43" i="48"/>
  <c r="P35" i="48"/>
  <c r="S35" i="48"/>
  <c r="U35" i="48"/>
  <c r="M35" i="48"/>
  <c r="G35" i="48"/>
  <c r="Q35" i="48"/>
  <c r="V44" i="48"/>
  <c r="V32" i="48"/>
  <c r="J32" i="48"/>
  <c r="Z45" i="48"/>
  <c r="AA45" i="48"/>
  <c r="Z44" i="48"/>
  <c r="Z32" i="48"/>
  <c r="W45" i="48"/>
  <c r="U37" i="48"/>
  <c r="T44" i="48"/>
  <c r="S37" i="48"/>
  <c r="O37" i="48"/>
  <c r="D32" i="48"/>
  <c r="Z54" i="48"/>
  <c r="Q32" i="48"/>
  <c r="N32" i="48"/>
  <c r="M32" i="48"/>
  <c r="D16" i="43"/>
  <c r="D19" i="43" s="1"/>
  <c r="AC18" i="28"/>
  <c r="H18" i="28"/>
  <c r="AK18" i="28"/>
  <c r="Q18" i="28"/>
  <c r="F18" i="28"/>
  <c r="AL18" i="28"/>
  <c r="AI18" i="28"/>
  <c r="W18" i="28"/>
  <c r="I18" i="28"/>
  <c r="AJ18" i="28"/>
  <c r="X18" i="28"/>
  <c r="P18" i="28"/>
  <c r="AE18" i="28"/>
  <c r="AH18" i="28"/>
  <c r="AB18" i="28"/>
  <c r="Y18" i="28"/>
  <c r="T18" i="28"/>
  <c r="O18" i="28"/>
  <c r="J18" i="28"/>
  <c r="G18" i="28"/>
  <c r="F12" i="26"/>
  <c r="G6" i="52"/>
  <c r="G8" i="52" s="1"/>
  <c r="C6" i="52"/>
  <c r="D8" i="52" l="1"/>
  <c r="L32" i="48"/>
  <c r="O35" i="48"/>
  <c r="T40" i="48"/>
  <c r="F33" i="48"/>
  <c r="Y45" i="48"/>
  <c r="Z35" i="48"/>
  <c r="AA36" i="48"/>
  <c r="X39" i="48"/>
  <c r="S46" i="48"/>
  <c r="U48" i="48"/>
  <c r="T35" i="48"/>
  <c r="W38" i="48"/>
  <c r="K35" i="48"/>
  <c r="U45" i="48"/>
  <c r="L36" i="48"/>
  <c r="R42" i="48"/>
  <c r="T45" i="48"/>
  <c r="K36" i="48"/>
  <c r="N39" i="48"/>
  <c r="H33" i="48"/>
  <c r="R43" i="48"/>
  <c r="L37" i="48"/>
  <c r="X36" i="48"/>
  <c r="W35" i="48"/>
  <c r="I34" i="48"/>
  <c r="S39" i="48"/>
  <c r="V47" i="48"/>
  <c r="T32" i="48"/>
  <c r="T34" i="48"/>
  <c r="U46" i="48"/>
  <c r="W48" i="48"/>
  <c r="P41" i="48"/>
  <c r="X49" i="48"/>
  <c r="Y39" i="48"/>
  <c r="Y40" i="48"/>
  <c r="Z41" i="48"/>
  <c r="R44" i="48"/>
  <c r="F32" i="48"/>
  <c r="AA53" i="48"/>
  <c r="K37" i="48"/>
  <c r="S45" i="48"/>
  <c r="Z52" i="48"/>
  <c r="T46" i="48"/>
  <c r="Q43" i="48"/>
  <c r="Y51" i="48"/>
  <c r="U47" i="48"/>
  <c r="N40" i="48"/>
  <c r="O41" i="48"/>
  <c r="L38" i="48"/>
  <c r="G33" i="48"/>
  <c r="M39" i="48"/>
  <c r="J36" i="48"/>
  <c r="P42" i="48"/>
  <c r="W49" i="48"/>
  <c r="V48" i="48"/>
  <c r="H34" i="48"/>
  <c r="I35" i="48"/>
  <c r="X50" i="48"/>
  <c r="W46" i="48"/>
  <c r="X47" i="48"/>
  <c r="AA48" i="48"/>
  <c r="N34" i="48"/>
  <c r="T33" i="48"/>
  <c r="M34" i="48"/>
  <c r="K32" i="48"/>
  <c r="U34" i="48"/>
  <c r="X37" i="48"/>
  <c r="N37" i="48"/>
  <c r="U44" i="48"/>
  <c r="I32" i="48"/>
  <c r="AA50" i="48"/>
  <c r="S42" i="48"/>
  <c r="V45" i="48"/>
  <c r="K34" i="48"/>
  <c r="Z37" i="48"/>
  <c r="U32" i="48"/>
  <c r="Y36" i="48"/>
  <c r="O36" i="48"/>
  <c r="Q3" i="48"/>
  <c r="X44" i="48"/>
  <c r="Z46" i="48"/>
  <c r="AA38" i="48"/>
  <c r="O38" i="48"/>
  <c r="W32" i="48"/>
  <c r="X33" i="48"/>
  <c r="W36" i="48"/>
  <c r="S40" i="48"/>
  <c r="T41" i="48"/>
  <c r="AA35" i="48"/>
  <c r="Z34" i="48"/>
  <c r="X32" i="48"/>
  <c r="R39" i="48"/>
  <c r="L35" i="48"/>
  <c r="E32" i="48"/>
  <c r="X51" i="48"/>
  <c r="H35" i="48"/>
  <c r="W50" i="48"/>
  <c r="J37" i="48"/>
  <c r="O42" i="48"/>
  <c r="L39" i="48"/>
  <c r="P43" i="48"/>
  <c r="M36" i="48"/>
  <c r="Y48" i="48"/>
  <c r="W43" i="48"/>
  <c r="Y52" i="48"/>
  <c r="W34" i="48"/>
  <c r="M40" i="48"/>
  <c r="P36" i="48"/>
  <c r="AA54" i="48"/>
  <c r="V43" i="48"/>
  <c r="Q44" i="48"/>
  <c r="V42" i="48"/>
  <c r="V49" i="48"/>
  <c r="Q37" i="48"/>
  <c r="N35" i="48"/>
  <c r="Z49" i="48"/>
  <c r="I36" i="48"/>
  <c r="Z47" i="48"/>
  <c r="U41" i="48"/>
  <c r="R45" i="48"/>
  <c r="M33" i="48"/>
  <c r="AA52" i="48"/>
  <c r="J35" i="48"/>
  <c r="S44" i="48"/>
  <c r="Y50" i="48"/>
  <c r="Q42" i="48"/>
  <c r="Z51" i="48"/>
  <c r="Y46" i="48"/>
  <c r="T47" i="48"/>
  <c r="R38" i="48"/>
  <c r="Z53" i="48"/>
  <c r="T43" i="48"/>
  <c r="P39" i="48"/>
  <c r="W44" i="48"/>
  <c r="P37" i="48"/>
  <c r="X45" i="48"/>
  <c r="U42" i="48"/>
  <c r="J33" i="48"/>
  <c r="S32" i="48"/>
  <c r="Z39" i="48"/>
  <c r="V35" i="48"/>
  <c r="Q40" i="48"/>
  <c r="D23" i="43"/>
  <c r="D25" i="43" s="1"/>
  <c r="E12" i="25" s="1"/>
  <c r="D21" i="43"/>
  <c r="F18" i="26"/>
  <c r="E14" i="25" s="1"/>
  <c r="E16" i="25"/>
  <c r="H12" i="26"/>
  <c r="H18" i="26" s="1"/>
  <c r="D10" i="52" l="1"/>
  <c r="E8" i="52"/>
  <c r="R3" i="48"/>
  <c r="I27" i="9"/>
  <c r="L27" i="9"/>
  <c r="B27" i="9"/>
  <c r="X24" i="45"/>
  <c r="N24" i="45"/>
  <c r="C24" i="45"/>
  <c r="V24" i="45"/>
  <c r="D24" i="45"/>
  <c r="O24" i="45"/>
  <c r="E27" i="9"/>
  <c r="H27" i="9"/>
  <c r="M27" i="9"/>
  <c r="P27" i="9"/>
  <c r="X27" i="9"/>
  <c r="Y27" i="9"/>
  <c r="W24" i="45"/>
  <c r="E24" i="45"/>
  <c r="H24" i="45"/>
  <c r="C27" i="9"/>
  <c r="R27" i="9"/>
  <c r="W27" i="9"/>
  <c r="Z27" i="9"/>
  <c r="M24" i="45"/>
  <c r="J24" i="45"/>
  <c r="U24" i="45"/>
  <c r="K24" i="45"/>
  <c r="G27" i="9"/>
  <c r="N27" i="9"/>
  <c r="V27" i="9"/>
  <c r="P24" i="45"/>
  <c r="T24" i="45"/>
  <c r="T27" i="9"/>
  <c r="F27" i="9"/>
  <c r="O27" i="9"/>
  <c r="S24" i="45"/>
  <c r="Z24" i="45"/>
  <c r="L24" i="45"/>
  <c r="J27" i="9"/>
  <c r="K27" i="9"/>
  <c r="S27" i="9"/>
  <c r="Y24" i="45"/>
  <c r="F24" i="45"/>
  <c r="U27" i="9"/>
  <c r="B24" i="45"/>
  <c r="Q24" i="45"/>
  <c r="G24" i="45"/>
  <c r="R24" i="45"/>
  <c r="I24" i="45"/>
  <c r="D27" i="9"/>
  <c r="Q27" i="9"/>
  <c r="D9" i="52"/>
  <c r="E9" i="52"/>
  <c r="C9" i="52"/>
  <c r="AL9" i="28"/>
  <c r="AC9" i="28"/>
  <c r="AJ9" i="28"/>
  <c r="AK9" i="28"/>
  <c r="AI9" i="28"/>
  <c r="AE9" i="28"/>
  <c r="AH9" i="28"/>
  <c r="AF9" i="28"/>
  <c r="AD9" i="28"/>
  <c r="AG9" i="28"/>
  <c r="F21" i="9"/>
  <c r="M21" i="9"/>
  <c r="P21" i="9"/>
  <c r="S21" i="9"/>
  <c r="B21" i="9"/>
  <c r="C21" i="9"/>
  <c r="N21" i="9"/>
  <c r="R21" i="9"/>
  <c r="E21" i="9"/>
  <c r="I21" i="9"/>
  <c r="J21" i="9"/>
  <c r="O21" i="9"/>
  <c r="H21" i="9"/>
  <c r="K21" i="9"/>
  <c r="Q21" i="9"/>
  <c r="W21" i="9"/>
  <c r="X21" i="9"/>
  <c r="D21" i="9"/>
  <c r="G21" i="9"/>
  <c r="L21" i="9"/>
  <c r="U21" i="9"/>
  <c r="V21" i="9"/>
  <c r="Y21" i="9"/>
  <c r="T21" i="9"/>
  <c r="Z21" i="9"/>
  <c r="E10" i="52" l="1"/>
  <c r="E13" i="52" s="1"/>
  <c r="C10" i="52"/>
  <c r="C13" i="52" s="1"/>
  <c r="D13" i="52"/>
  <c r="C26" i="48"/>
  <c r="B10" i="25"/>
  <c r="S3" i="48"/>
  <c r="AD10" i="27"/>
  <c r="AD11" i="28"/>
  <c r="AF10" i="27"/>
  <c r="AF11" i="28"/>
  <c r="AH10" i="27"/>
  <c r="AH11" i="28"/>
  <c r="AE10" i="27"/>
  <c r="AE11" i="28"/>
  <c r="AI10" i="27"/>
  <c r="AI11" i="28"/>
  <c r="AK10" i="27"/>
  <c r="AK11" i="28"/>
  <c r="AJ11" i="28"/>
  <c r="AJ10" i="27"/>
  <c r="AC11" i="28"/>
  <c r="AC10" i="27"/>
  <c r="AL10" i="27"/>
  <c r="AL11" i="28"/>
  <c r="AG10" i="27"/>
  <c r="AG11" i="28"/>
  <c r="B18" i="25" l="1"/>
  <c r="E9" i="25" s="1"/>
  <c r="B5" i="48" s="1"/>
  <c r="B6" i="48" s="1"/>
  <c r="E6" i="25"/>
  <c r="H7" i="52"/>
  <c r="R30" i="48"/>
  <c r="E30" i="48"/>
  <c r="Q30" i="48"/>
  <c r="C29" i="48"/>
  <c r="G30" i="48"/>
  <c r="S30" i="48"/>
  <c r="T30" i="48"/>
  <c r="C30" i="48"/>
  <c r="H30" i="48"/>
  <c r="I30" i="48"/>
  <c r="U30" i="48"/>
  <c r="V30" i="48"/>
  <c r="K30" i="48"/>
  <c r="W30" i="48"/>
  <c r="L30" i="48"/>
  <c r="X30" i="48"/>
  <c r="O30" i="48"/>
  <c r="D30" i="48"/>
  <c r="J30" i="48"/>
  <c r="M30" i="48"/>
  <c r="Y30" i="48"/>
  <c r="N30" i="48"/>
  <c r="Z30" i="48"/>
  <c r="AA30" i="48"/>
  <c r="P30" i="48"/>
  <c r="F30" i="48"/>
  <c r="T3" i="48"/>
  <c r="AK16" i="28"/>
  <c r="AK24" i="28"/>
  <c r="AI24" i="28"/>
  <c r="AI16" i="28"/>
  <c r="AG24" i="28"/>
  <c r="AG16" i="28"/>
  <c r="AE16" i="28"/>
  <c r="AE24" i="28"/>
  <c r="AL16" i="28"/>
  <c r="AL24" i="28"/>
  <c r="AH16" i="28"/>
  <c r="AH24" i="28"/>
  <c r="AF24" i="28"/>
  <c r="AF16" i="28"/>
  <c r="AC16" i="28"/>
  <c r="AC24" i="28"/>
  <c r="AD24" i="28"/>
  <c r="AD16" i="28"/>
  <c r="AJ16" i="28"/>
  <c r="AJ24" i="28"/>
  <c r="C25" i="48" l="1"/>
  <c r="C6" i="48"/>
  <c r="U3" i="48"/>
  <c r="AH20" i="28"/>
  <c r="AH8" i="27" s="1"/>
  <c r="AH12" i="27" s="1"/>
  <c r="AH17" i="27" s="1"/>
  <c r="AH26" i="28"/>
  <c r="AH28" i="28" s="1"/>
  <c r="AL20" i="28"/>
  <c r="AL8" i="27" s="1"/>
  <c r="AL12" i="27" s="1"/>
  <c r="AL17" i="27" s="1"/>
  <c r="AL26" i="28"/>
  <c r="AL28" i="28" s="1"/>
  <c r="AJ20" i="28"/>
  <c r="AJ8" i="27" s="1"/>
  <c r="AJ12" i="27" s="1"/>
  <c r="AJ17" i="27" s="1"/>
  <c r="AJ26" i="28"/>
  <c r="AJ28" i="28" s="1"/>
  <c r="AE20" i="28"/>
  <c r="AE8" i="27" s="1"/>
  <c r="AE12" i="27" s="1"/>
  <c r="AE17" i="27" s="1"/>
  <c r="AE26" i="28"/>
  <c r="AE28" i="28" s="1"/>
  <c r="AD20" i="28"/>
  <c r="AD8" i="27" s="1"/>
  <c r="AD12" i="27" s="1"/>
  <c r="AD17" i="27" s="1"/>
  <c r="AD26" i="28"/>
  <c r="AD28" i="28" s="1"/>
  <c r="AG20" i="28"/>
  <c r="AG8" i="27" s="1"/>
  <c r="AG12" i="27" s="1"/>
  <c r="AG17" i="27" s="1"/>
  <c r="AG26" i="28"/>
  <c r="AG28" i="28" s="1"/>
  <c r="AI20" i="28"/>
  <c r="AI8" i="27" s="1"/>
  <c r="AI12" i="27" s="1"/>
  <c r="AI17" i="27" s="1"/>
  <c r="AI26" i="28"/>
  <c r="AI28" i="28" s="1"/>
  <c r="AC20" i="28"/>
  <c r="AC8" i="27" s="1"/>
  <c r="AC12" i="27" s="1"/>
  <c r="AC17" i="27" s="1"/>
  <c r="AC26" i="28"/>
  <c r="AC28" i="28" s="1"/>
  <c r="AF26" i="28"/>
  <c r="AF28" i="28" s="1"/>
  <c r="AF20" i="28"/>
  <c r="AF8" i="27" s="1"/>
  <c r="AF12" i="27" s="1"/>
  <c r="AF17" i="27" s="1"/>
  <c r="AK20" i="28"/>
  <c r="AK8" i="27" s="1"/>
  <c r="AK12" i="27" s="1"/>
  <c r="AK17" i="27" s="1"/>
  <c r="AK26" i="28"/>
  <c r="AK28" i="28" s="1"/>
  <c r="C19" i="48" l="1"/>
  <c r="D6" i="48"/>
  <c r="C10" i="48"/>
  <c r="V31" i="48"/>
  <c r="V62" i="48" s="1"/>
  <c r="Z31" i="48"/>
  <c r="Z62" i="48" s="1"/>
  <c r="C31" i="48"/>
  <c r="C62" i="48" s="1"/>
  <c r="R31" i="48"/>
  <c r="R62" i="48" s="1"/>
  <c r="Q31" i="48"/>
  <c r="Q62" i="48" s="1"/>
  <c r="X31" i="48"/>
  <c r="X62" i="48" s="1"/>
  <c r="G31" i="48"/>
  <c r="G62" i="48" s="1"/>
  <c r="J31" i="48"/>
  <c r="J62" i="48" s="1"/>
  <c r="W31" i="48"/>
  <c r="W62" i="48" s="1"/>
  <c r="H31" i="48"/>
  <c r="H62" i="48" s="1"/>
  <c r="S31" i="48"/>
  <c r="S62" i="48" s="1"/>
  <c r="I31" i="48"/>
  <c r="I62" i="48" s="1"/>
  <c r="Y31" i="48"/>
  <c r="Y62" i="48" s="1"/>
  <c r="L31" i="48"/>
  <c r="L62" i="48" s="1"/>
  <c r="D31" i="48"/>
  <c r="D62" i="48" s="1"/>
  <c r="N31" i="48"/>
  <c r="N62" i="48" s="1"/>
  <c r="E31" i="48"/>
  <c r="E62" i="48" s="1"/>
  <c r="F31" i="48"/>
  <c r="F62" i="48" s="1"/>
  <c r="T31" i="48"/>
  <c r="T62" i="48" s="1"/>
  <c r="AA31" i="48"/>
  <c r="AA62" i="48" s="1"/>
  <c r="U31" i="48"/>
  <c r="U62" i="48" s="1"/>
  <c r="O31" i="48"/>
  <c r="O62" i="48" s="1"/>
  <c r="P31" i="48"/>
  <c r="P62" i="48" s="1"/>
  <c r="K31" i="48"/>
  <c r="K62" i="48" s="1"/>
  <c r="M31" i="48"/>
  <c r="M62" i="48" s="1"/>
  <c r="V3" i="48"/>
  <c r="AD21" i="27"/>
  <c r="AD25" i="27" s="1"/>
  <c r="AD29" i="27"/>
  <c r="AD31" i="27" s="1"/>
  <c r="AK21" i="27"/>
  <c r="AK25" i="27" s="1"/>
  <c r="AK29" i="27"/>
  <c r="AK31" i="27" s="1"/>
  <c r="AE29" i="27"/>
  <c r="AE31" i="27" s="1"/>
  <c r="AE21" i="27"/>
  <c r="AE25" i="27" s="1"/>
  <c r="AG21" i="27"/>
  <c r="AG25" i="27" s="1"/>
  <c r="AG29" i="27"/>
  <c r="AG31" i="27" s="1"/>
  <c r="AJ29" i="27"/>
  <c r="AJ31" i="27" s="1"/>
  <c r="AJ21" i="27"/>
  <c r="AJ25" i="27" s="1"/>
  <c r="AC21" i="27"/>
  <c r="AC25" i="27" s="1"/>
  <c r="AC29" i="27"/>
  <c r="AC31" i="27" s="1"/>
  <c r="AF21" i="27"/>
  <c r="AF25" i="27" s="1"/>
  <c r="AF29" i="27"/>
  <c r="AF31" i="27" s="1"/>
  <c r="AL21" i="27"/>
  <c r="AL25" i="27" s="1"/>
  <c r="AL29" i="27"/>
  <c r="AL31" i="27" s="1"/>
  <c r="AI29" i="27"/>
  <c r="AI31" i="27" s="1"/>
  <c r="AI21" i="27"/>
  <c r="AI25" i="27" s="1"/>
  <c r="AH21" i="27"/>
  <c r="AH25" i="27" s="1"/>
  <c r="AH29" i="27"/>
  <c r="AH31" i="27" s="1"/>
  <c r="C66" i="48" l="1"/>
  <c r="C63" i="48"/>
  <c r="D63" i="48" s="1"/>
  <c r="E63" i="48" s="1"/>
  <c r="F63" i="48" s="1"/>
  <c r="G63" i="48" s="1"/>
  <c r="H63" i="48" s="1"/>
  <c r="I63" i="48" s="1"/>
  <c r="J63" i="48" s="1"/>
  <c r="K63" i="48" s="1"/>
  <c r="L63" i="48" s="1"/>
  <c r="M63" i="48" s="1"/>
  <c r="N63" i="48" s="1"/>
  <c r="O63" i="48" s="1"/>
  <c r="P63" i="48" s="1"/>
  <c r="Q63" i="48" s="1"/>
  <c r="R63" i="48" s="1"/>
  <c r="S63" i="48" s="1"/>
  <c r="T63" i="48" s="1"/>
  <c r="U63" i="48" s="1"/>
  <c r="V63" i="48" s="1"/>
  <c r="W63" i="48" s="1"/>
  <c r="X63" i="48" s="1"/>
  <c r="Y63" i="48" s="1"/>
  <c r="Z63" i="48" s="1"/>
  <c r="AA63" i="48" s="1"/>
  <c r="C68" i="48"/>
  <c r="D14" i="28"/>
  <c r="D15" i="27" s="1"/>
  <c r="D10" i="48"/>
  <c r="E6" i="48"/>
  <c r="D19" i="48"/>
  <c r="D66" i="48"/>
  <c r="E14" i="28"/>
  <c r="E15" i="27" s="1"/>
  <c r="C20" i="48"/>
  <c r="B14" i="9"/>
  <c r="W3" i="48"/>
  <c r="D68" i="48" l="1"/>
  <c r="C14" i="9"/>
  <c r="E10" i="48"/>
  <c r="E19" i="48"/>
  <c r="F6" i="48"/>
  <c r="D7" i="27"/>
  <c r="D7" i="28"/>
  <c r="B13" i="45"/>
  <c r="B49" i="45" s="1"/>
  <c r="B51" i="9"/>
  <c r="C11" i="48"/>
  <c r="D20" i="48"/>
  <c r="D11" i="48" s="1"/>
  <c r="C69" i="48"/>
  <c r="C13" i="48" s="1"/>
  <c r="B16" i="9"/>
  <c r="B15" i="45" s="1" a="1"/>
  <c r="B15" i="45" s="1"/>
  <c r="C70" i="48"/>
  <c r="C71" i="48" s="1"/>
  <c r="C67" i="48"/>
  <c r="D67" i="48" s="1"/>
  <c r="X3" i="48"/>
  <c r="B18" i="9" l="1"/>
  <c r="B17" i="45" s="1" a="1"/>
  <c r="B17" i="45" s="1"/>
  <c r="F10" i="48"/>
  <c r="G6" i="48"/>
  <c r="F19" i="48"/>
  <c r="E20" i="48"/>
  <c r="E11" i="48" s="1"/>
  <c r="E66" i="48"/>
  <c r="E67" i="48" s="1"/>
  <c r="E68" i="48"/>
  <c r="D14" i="9"/>
  <c r="F14" i="28"/>
  <c r="F15" i="27" s="1"/>
  <c r="C12" i="48"/>
  <c r="C16" i="48" s="1"/>
  <c r="D71" i="48"/>
  <c r="C51" i="9"/>
  <c r="C13" i="45" a="1"/>
  <c r="C13" i="45" s="1"/>
  <c r="C49" i="45" s="1"/>
  <c r="E7" i="27"/>
  <c r="E7" i="28"/>
  <c r="D69" i="48"/>
  <c r="C16" i="9"/>
  <c r="C15" i="45" s="1" a="1"/>
  <c r="C15" i="45" s="1"/>
  <c r="D70" i="48"/>
  <c r="C18" i="9" s="1"/>
  <c r="C17" i="45" s="1" a="1"/>
  <c r="C17" i="45" s="1"/>
  <c r="Y3" i="48"/>
  <c r="D12" i="48" l="1"/>
  <c r="F7" i="27"/>
  <c r="D13" i="45" a="1"/>
  <c r="D13" i="45" s="1"/>
  <c r="D49" i="45" s="1"/>
  <c r="F7" i="28"/>
  <c r="D51" i="9"/>
  <c r="B23" i="9"/>
  <c r="B47" i="25"/>
  <c r="E70" i="48"/>
  <c r="D18" i="9" s="1"/>
  <c r="D17" i="45" s="1" a="1"/>
  <c r="D17" i="45" s="1"/>
  <c r="D16" i="9"/>
  <c r="D15" i="45" s="1" a="1"/>
  <c r="D15" i="45" s="1"/>
  <c r="D13" i="48"/>
  <c r="E69" i="48"/>
  <c r="F20" i="48"/>
  <c r="F68" i="48"/>
  <c r="E14" i="9"/>
  <c r="G14" i="28"/>
  <c r="G15" i="27" s="1"/>
  <c r="F66" i="48"/>
  <c r="F67" i="48" s="1"/>
  <c r="G19" i="48"/>
  <c r="H6" i="48"/>
  <c r="G10" i="48"/>
  <c r="Z3" i="48"/>
  <c r="B7" i="9" l="1"/>
  <c r="B52" i="25"/>
  <c r="I6" i="48"/>
  <c r="H19" i="48"/>
  <c r="H10" i="48"/>
  <c r="B24" i="9"/>
  <c r="D9" i="28"/>
  <c r="D10" i="27" s="1"/>
  <c r="B20" i="45" a="1"/>
  <c r="B20" i="45" s="1"/>
  <c r="B44" i="9"/>
  <c r="B46" i="9"/>
  <c r="G67" i="48"/>
  <c r="F70" i="48"/>
  <c r="E18" i="9" s="1"/>
  <c r="E17" i="45" s="1" a="1"/>
  <c r="E17" i="45" s="1"/>
  <c r="E16" i="9"/>
  <c r="E15" i="45" s="1" a="1"/>
  <c r="E15" i="45" s="1"/>
  <c r="E71" i="48"/>
  <c r="E13" i="48"/>
  <c r="F69" i="48"/>
  <c r="G68" i="48"/>
  <c r="H14" i="28"/>
  <c r="H15" i="27" s="1"/>
  <c r="F14" i="9"/>
  <c r="G66" i="48"/>
  <c r="G7" i="27"/>
  <c r="E51" i="9"/>
  <c r="G7" i="28"/>
  <c r="E13" i="45" a="1"/>
  <c r="E13" i="45" s="1"/>
  <c r="E49" i="45" s="1"/>
  <c r="F11" i="48"/>
  <c r="G20" i="48"/>
  <c r="D16" i="48"/>
  <c r="AA3" i="48"/>
  <c r="B42" i="45" l="1"/>
  <c r="B44" i="45"/>
  <c r="H7" i="27"/>
  <c r="F13" i="45" a="1"/>
  <c r="F13" i="45" s="1"/>
  <c r="F49" i="45" s="1"/>
  <c r="H7" i="28"/>
  <c r="F51" i="9"/>
  <c r="B53" i="9"/>
  <c r="B21" i="45" a="1"/>
  <c r="B21" i="45" s="1"/>
  <c r="B51" i="45" s="1"/>
  <c r="F16" i="9"/>
  <c r="F15" i="45" s="1" a="1"/>
  <c r="F15" i="45" s="1"/>
  <c r="G70" i="48"/>
  <c r="F18" i="9" s="1"/>
  <c r="F17" i="45" s="1" a="1"/>
  <c r="F17" i="45" s="1"/>
  <c r="F13" i="48"/>
  <c r="G69" i="48"/>
  <c r="H66" i="48"/>
  <c r="H67" i="48" s="1"/>
  <c r="G14" i="9"/>
  <c r="I14" i="28"/>
  <c r="I15" i="27" s="1"/>
  <c r="H68" i="48"/>
  <c r="C47" i="25"/>
  <c r="C23" i="9"/>
  <c r="I10" i="48"/>
  <c r="I19" i="48"/>
  <c r="J6" i="48"/>
  <c r="G11" i="48"/>
  <c r="H20" i="48"/>
  <c r="E12" i="48"/>
  <c r="E16" i="48" s="1"/>
  <c r="F71" i="48"/>
  <c r="B13" i="9"/>
  <c r="B6" i="45" a="1"/>
  <c r="B6" i="45" s="1"/>
  <c r="J10" i="48" l="1"/>
  <c r="J19" i="48"/>
  <c r="K6" i="48"/>
  <c r="J14" i="28"/>
  <c r="J15" i="27" s="1"/>
  <c r="I68" i="48"/>
  <c r="H14" i="9"/>
  <c r="I66" i="48"/>
  <c r="I67" i="48" s="1"/>
  <c r="C24" i="9"/>
  <c r="E9" i="28"/>
  <c r="E10" i="27" s="1"/>
  <c r="C20" i="45" a="1"/>
  <c r="C20" i="45" s="1"/>
  <c r="C44" i="9"/>
  <c r="C46" i="9"/>
  <c r="C7" i="9"/>
  <c r="C52" i="25"/>
  <c r="H11" i="48"/>
  <c r="I20" i="48"/>
  <c r="H70" i="48"/>
  <c r="G18" i="9" s="1"/>
  <c r="G17" i="45" s="1" a="1"/>
  <c r="G17" i="45" s="1"/>
  <c r="G16" i="9"/>
  <c r="G15" i="45" s="1" a="1"/>
  <c r="G15" i="45" s="1"/>
  <c r="B40" i="9"/>
  <c r="D6" i="28"/>
  <c r="D11" i="28" s="1"/>
  <c r="D16" i="28" s="1"/>
  <c r="D20" i="28" s="1"/>
  <c r="B12" i="45"/>
  <c r="D6" i="27"/>
  <c r="B50" i="9"/>
  <c r="I7" i="28"/>
  <c r="I7" i="27"/>
  <c r="G13" i="45" a="1"/>
  <c r="G13" i="45" s="1"/>
  <c r="G49" i="45" s="1"/>
  <c r="G51" i="9"/>
  <c r="G71" i="48"/>
  <c r="F12" i="48"/>
  <c r="F16" i="48" s="1"/>
  <c r="D23" i="9"/>
  <c r="D47" i="25"/>
  <c r="G13" i="48"/>
  <c r="H69" i="48"/>
  <c r="C44" i="45" l="1"/>
  <c r="C42" i="45"/>
  <c r="J68" i="48"/>
  <c r="K14" i="28"/>
  <c r="K15" i="27" s="1"/>
  <c r="J66" i="48"/>
  <c r="J67" i="48" s="1"/>
  <c r="I14" i="9"/>
  <c r="I69" i="48"/>
  <c r="H13" i="48"/>
  <c r="B38" i="45"/>
  <c r="B48" i="45"/>
  <c r="D8" i="27"/>
  <c r="D12" i="27" s="1"/>
  <c r="D17" i="27" s="1"/>
  <c r="D21" i="27" s="1"/>
  <c r="D25" i="27" s="1"/>
  <c r="B17" i="9" s="1"/>
  <c r="B15" i="9"/>
  <c r="B14" i="45" s="1" a="1"/>
  <c r="B14" i="45" s="1"/>
  <c r="C53" i="9"/>
  <c r="C21" i="45" a="1"/>
  <c r="C21" i="45" s="1"/>
  <c r="C51" i="45" s="1"/>
  <c r="D20" i="45" a="1"/>
  <c r="D20" i="45" s="1"/>
  <c r="F9" i="28"/>
  <c r="F10" i="27" s="1"/>
  <c r="D46" i="9"/>
  <c r="D24" i="9"/>
  <c r="D44" i="9"/>
  <c r="C13" i="9"/>
  <c r="C6" i="45" a="1"/>
  <c r="C6" i="45" s="1"/>
  <c r="D52" i="25"/>
  <c r="D7" i="9"/>
  <c r="H13" i="45" a="1"/>
  <c r="H13" i="45" s="1"/>
  <c r="H49" i="45" s="1"/>
  <c r="J7" i="27"/>
  <c r="J7" i="28"/>
  <c r="H51" i="9"/>
  <c r="E23" i="9"/>
  <c r="E47" i="25"/>
  <c r="H16" i="9"/>
  <c r="H15" i="45" s="1" a="1"/>
  <c r="H15" i="45" s="1"/>
  <c r="I70" i="48"/>
  <c r="H18" i="9" s="1"/>
  <c r="H17" i="45" s="1" a="1"/>
  <c r="H17" i="45" s="1"/>
  <c r="G12" i="48"/>
  <c r="G16" i="48" s="1"/>
  <c r="H71" i="48"/>
  <c r="I11" i="48"/>
  <c r="J20" i="48"/>
  <c r="L6" i="48"/>
  <c r="K10" i="48"/>
  <c r="K19" i="48"/>
  <c r="F23" i="9" l="1"/>
  <c r="F47" i="25"/>
  <c r="B19" i="9"/>
  <c r="B16" i="45" a="1"/>
  <c r="B16" i="45" s="1"/>
  <c r="I71" i="48"/>
  <c r="H12" i="48"/>
  <c r="H16" i="48" s="1"/>
  <c r="J69" i="48"/>
  <c r="I13" i="48"/>
  <c r="D21" i="45" a="1"/>
  <c r="D21" i="45" s="1"/>
  <c r="D51" i="45" s="1"/>
  <c r="D53" i="9"/>
  <c r="I51" i="9"/>
  <c r="K7" i="27"/>
  <c r="K7" i="28"/>
  <c r="I13" i="45" a="1"/>
  <c r="I13" i="45" s="1"/>
  <c r="I49" i="45" s="1"/>
  <c r="E24" i="9"/>
  <c r="E20" i="45" a="1"/>
  <c r="E20" i="45" s="1"/>
  <c r="E46" i="9"/>
  <c r="G9" i="28"/>
  <c r="G10" i="27" s="1"/>
  <c r="E44" i="9"/>
  <c r="E6" i="27"/>
  <c r="C40" i="9"/>
  <c r="E6" i="28"/>
  <c r="E11" i="28" s="1"/>
  <c r="E16" i="28" s="1"/>
  <c r="E20" i="28" s="1"/>
  <c r="C12" i="45" a="1"/>
  <c r="C12" i="45" s="1"/>
  <c r="C50" i="9"/>
  <c r="J70" i="48"/>
  <c r="I18" i="9" s="1"/>
  <c r="I17" i="45" s="1" a="1"/>
  <c r="I17" i="45" s="1"/>
  <c r="I16" i="9"/>
  <c r="I15" i="45" s="1" a="1"/>
  <c r="I15" i="45" s="1"/>
  <c r="K20" i="48"/>
  <c r="J11" i="48"/>
  <c r="E7" i="9"/>
  <c r="E52" i="25"/>
  <c r="J14" i="9"/>
  <c r="K68" i="48"/>
  <c r="L14" i="28"/>
  <c r="L15" i="27" s="1"/>
  <c r="K66" i="48"/>
  <c r="K67" i="48" s="1"/>
  <c r="D42" i="45"/>
  <c r="D44" i="45"/>
  <c r="D13" i="9"/>
  <c r="D6" i="45" a="1"/>
  <c r="D6" i="45" s="1"/>
  <c r="L10" i="48"/>
  <c r="M6" i="48"/>
  <c r="L19" i="48"/>
  <c r="M14" i="28" l="1"/>
  <c r="M15" i="27" s="1"/>
  <c r="L66" i="48"/>
  <c r="L67" i="48" s="1"/>
  <c r="L68" i="48"/>
  <c r="K14" i="9"/>
  <c r="J13" i="48"/>
  <c r="K69" i="48"/>
  <c r="K70" i="48"/>
  <c r="J18" i="9" s="1"/>
  <c r="J17" i="45" s="1" a="1"/>
  <c r="J17" i="45" s="1"/>
  <c r="J16" i="9"/>
  <c r="J15" i="45" s="1" a="1"/>
  <c r="J15" i="45" s="1"/>
  <c r="J51" i="9"/>
  <c r="J13" i="45" a="1"/>
  <c r="J13" i="45" s="1"/>
  <c r="J49" i="45" s="1"/>
  <c r="L7" i="27"/>
  <c r="L7" i="28"/>
  <c r="E13" i="9"/>
  <c r="E6" i="45" a="1"/>
  <c r="E6" i="45" s="1"/>
  <c r="M19" i="48"/>
  <c r="N6" i="48"/>
  <c r="M10" i="48"/>
  <c r="G23" i="9"/>
  <c r="G47" i="25"/>
  <c r="K11" i="48"/>
  <c r="L20" i="48"/>
  <c r="I12" i="48"/>
  <c r="I16" i="48" s="1"/>
  <c r="J71" i="48"/>
  <c r="B18" i="45" a="1"/>
  <c r="B18" i="45" s="1"/>
  <c r="B23" i="45" s="1"/>
  <c r="B25" i="45" s="1"/>
  <c r="B26" i="9"/>
  <c r="B28" i="9" s="1"/>
  <c r="E44" i="45"/>
  <c r="E42" i="45"/>
  <c r="F6" i="28"/>
  <c r="F11" i="28" s="1"/>
  <c r="F16" i="28" s="1"/>
  <c r="F20" i="28" s="1"/>
  <c r="D12" i="45" a="1"/>
  <c r="D12" i="45" s="1"/>
  <c r="F6" i="27"/>
  <c r="D50" i="9"/>
  <c r="D40" i="9"/>
  <c r="E21" i="45" a="1"/>
  <c r="E21" i="45" s="1"/>
  <c r="E51" i="45" s="1"/>
  <c r="E53" i="9"/>
  <c r="C48" i="45"/>
  <c r="C38" i="45"/>
  <c r="F52" i="25"/>
  <c r="F7" i="9"/>
  <c r="E8" i="27"/>
  <c r="E12" i="27" s="1"/>
  <c r="E17" i="27" s="1"/>
  <c r="E21" i="27" s="1"/>
  <c r="E25" i="27" s="1"/>
  <c r="C17" i="9" s="1"/>
  <c r="C16" i="45" s="1" a="1"/>
  <c r="C16" i="45" s="1"/>
  <c r="C15" i="9"/>
  <c r="H9" i="28"/>
  <c r="H10" i="27" s="1"/>
  <c r="F20" i="45" a="1"/>
  <c r="F20" i="45" s="1"/>
  <c r="F46" i="9"/>
  <c r="F44" i="9"/>
  <c r="F24" i="9"/>
  <c r="M20" i="48" l="1"/>
  <c r="L11" i="48"/>
  <c r="H23" i="9"/>
  <c r="H47" i="25"/>
  <c r="K71" i="48"/>
  <c r="J12" i="48"/>
  <c r="J16" i="48" s="1"/>
  <c r="K13" i="45" a="1"/>
  <c r="K13" i="45" s="1"/>
  <c r="K49" i="45" s="1"/>
  <c r="K51" i="9"/>
  <c r="M7" i="27"/>
  <c r="M7" i="28"/>
  <c r="L69" i="48"/>
  <c r="K13" i="48"/>
  <c r="D38" i="45"/>
  <c r="D48" i="45"/>
  <c r="F8" i="27"/>
  <c r="F12" i="27" s="1"/>
  <c r="F17" i="27" s="1"/>
  <c r="F21" i="27" s="1"/>
  <c r="F25" i="27" s="1"/>
  <c r="D17" i="9" s="1"/>
  <c r="D16" i="45" s="1" a="1"/>
  <c r="D16" i="45" s="1"/>
  <c r="D15" i="9"/>
  <c r="O6" i="48"/>
  <c r="N10" i="48"/>
  <c r="N19" i="48"/>
  <c r="F13" i="9"/>
  <c r="F6" i="45" a="1"/>
  <c r="F6" i="45" s="1"/>
  <c r="M66" i="48"/>
  <c r="M67" i="48" s="1"/>
  <c r="N14" i="28"/>
  <c r="N15" i="27" s="1"/>
  <c r="L14" i="9"/>
  <c r="M68" i="48"/>
  <c r="K16" i="9"/>
  <c r="K15" i="45" s="1" a="1"/>
  <c r="K15" i="45" s="1"/>
  <c r="L70" i="48"/>
  <c r="K18" i="9" s="1"/>
  <c r="K17" i="45" s="1" a="1"/>
  <c r="K17" i="45" s="1"/>
  <c r="B50" i="45"/>
  <c r="B52" i="45" s="1"/>
  <c r="B37" i="45"/>
  <c r="B29" i="45"/>
  <c r="B30" i="45" s="1"/>
  <c r="B39" i="45"/>
  <c r="B40" i="45" s="1"/>
  <c r="F21" i="45" a="1"/>
  <c r="F21" i="45" s="1"/>
  <c r="F51" i="45" s="1"/>
  <c r="F53" i="9"/>
  <c r="F44" i="45"/>
  <c r="F42" i="45"/>
  <c r="G7" i="9"/>
  <c r="G52" i="25"/>
  <c r="I9" i="28"/>
  <c r="I10" i="27" s="1"/>
  <c r="G24" i="9"/>
  <c r="G46" i="9"/>
  <c r="G20" i="45" a="1"/>
  <c r="G20" i="45" s="1"/>
  <c r="G44" i="9"/>
  <c r="C14" i="45" a="1"/>
  <c r="C14" i="45" s="1"/>
  <c r="C19" i="9"/>
  <c r="B41" i="9"/>
  <c r="B42" i="9" s="1"/>
  <c r="D22" i="28"/>
  <c r="B32" i="9"/>
  <c r="B52" i="9"/>
  <c r="B54" i="9" s="1"/>
  <c r="B39" i="9"/>
  <c r="D27" i="27"/>
  <c r="D29" i="27" s="1"/>
  <c r="D31" i="27" s="1"/>
  <c r="E40" i="9"/>
  <c r="G6" i="27"/>
  <c r="G6" i="28"/>
  <c r="G11" i="28" s="1"/>
  <c r="G16" i="28" s="1"/>
  <c r="G20" i="28" s="1"/>
  <c r="E12" i="45" a="1"/>
  <c r="E12" i="45" s="1"/>
  <c r="E50" i="9"/>
  <c r="H6" i="27" l="1"/>
  <c r="H6" i="28"/>
  <c r="H11" i="28" s="1"/>
  <c r="H16" i="28" s="1"/>
  <c r="H20" i="28" s="1"/>
  <c r="F12" i="45" a="1"/>
  <c r="F12" i="45" s="1"/>
  <c r="F50" i="9"/>
  <c r="F40" i="9"/>
  <c r="E38" i="45"/>
  <c r="E48" i="45"/>
  <c r="M14" i="9"/>
  <c r="N68" i="48"/>
  <c r="N66" i="48"/>
  <c r="N67" i="48" s="1"/>
  <c r="O14" i="28"/>
  <c r="O15" i="27" s="1"/>
  <c r="C18" i="45" a="1"/>
  <c r="C18" i="45" s="1"/>
  <c r="C23" i="45" s="1"/>
  <c r="C25" i="45" s="1"/>
  <c r="C26" i="9"/>
  <c r="C28" i="9" s="1"/>
  <c r="G44" i="45"/>
  <c r="G42" i="45"/>
  <c r="I23" i="9"/>
  <c r="I47" i="25"/>
  <c r="H52" i="25"/>
  <c r="H7" i="9"/>
  <c r="D24" i="28"/>
  <c r="D26" i="28"/>
  <c r="D28" i="28" s="1"/>
  <c r="L13" i="48"/>
  <c r="M69" i="48"/>
  <c r="B41" i="45"/>
  <c r="B43" i="45" s="1"/>
  <c r="B45" i="45" s="1"/>
  <c r="B46" i="45" s="1"/>
  <c r="O19" i="48"/>
  <c r="O10" i="48"/>
  <c r="P6" i="48"/>
  <c r="H46" i="9"/>
  <c r="H24" i="9"/>
  <c r="J9" i="28"/>
  <c r="J10" i="27" s="1"/>
  <c r="H20" i="45" a="1"/>
  <c r="H20" i="45" s="1"/>
  <c r="H44" i="9"/>
  <c r="N7" i="27"/>
  <c r="L51" i="9"/>
  <c r="N7" i="28"/>
  <c r="L13" i="45" a="1"/>
  <c r="L13" i="45" s="1"/>
  <c r="L49" i="45" s="1"/>
  <c r="G8" i="27"/>
  <c r="G12" i="27" s="1"/>
  <c r="G17" i="27" s="1"/>
  <c r="G21" i="27" s="1"/>
  <c r="G25" i="27" s="1"/>
  <c r="E17" i="9" s="1"/>
  <c r="E16" i="45" s="1" a="1"/>
  <c r="E16" i="45" s="1"/>
  <c r="E15" i="9"/>
  <c r="L71" i="48"/>
  <c r="K12" i="48"/>
  <c r="K16" i="48" s="1"/>
  <c r="G53" i="9"/>
  <c r="G21" i="45" a="1"/>
  <c r="G21" i="45" s="1"/>
  <c r="G51" i="45" s="1"/>
  <c r="D14" i="45" a="1"/>
  <c r="D14" i="45" s="1"/>
  <c r="D19" i="9"/>
  <c r="B43" i="9"/>
  <c r="B45" i="9" s="1"/>
  <c r="B47" i="9" s="1"/>
  <c r="B48" i="9" s="1"/>
  <c r="G13" i="9"/>
  <c r="G6" i="45" a="1"/>
  <c r="G6" i="45" s="1"/>
  <c r="M70" i="48"/>
  <c r="L18" i="9" s="1"/>
  <c r="L17" i="45" s="1" a="1"/>
  <c r="L17" i="45" s="1"/>
  <c r="L16" i="9"/>
  <c r="L15" i="45" s="1" a="1"/>
  <c r="L15" i="45" s="1"/>
  <c r="M11" i="48"/>
  <c r="N20" i="48"/>
  <c r="D18" i="45" l="1" a="1"/>
  <c r="D18" i="45" s="1"/>
  <c r="D23" i="45" s="1"/>
  <c r="D25" i="45" s="1"/>
  <c r="D26" i="9"/>
  <c r="D28" i="9" s="1"/>
  <c r="M51" i="9"/>
  <c r="O7" i="27"/>
  <c r="O7" i="28"/>
  <c r="M13" i="45" a="1"/>
  <c r="M13" i="45" s="1"/>
  <c r="M49" i="45" s="1"/>
  <c r="H6" i="45" a="1"/>
  <c r="H6" i="45" s="1"/>
  <c r="H13" i="9"/>
  <c r="N69" i="48"/>
  <c r="M13" i="48"/>
  <c r="I6" i="27"/>
  <c r="G40" i="9"/>
  <c r="I6" i="28"/>
  <c r="I11" i="28" s="1"/>
  <c r="I16" i="28" s="1"/>
  <c r="I20" i="28" s="1"/>
  <c r="G12" i="45" a="1"/>
  <c r="G12" i="45" s="1"/>
  <c r="G50" i="9"/>
  <c r="M16" i="9"/>
  <c r="M15" i="45" s="1" a="1"/>
  <c r="M15" i="45" s="1"/>
  <c r="N70" i="48"/>
  <c r="M18" i="9" s="1"/>
  <c r="M17" i="45" s="1" a="1"/>
  <c r="M17" i="45" s="1"/>
  <c r="H53" i="9"/>
  <c r="H21" i="45" a="1"/>
  <c r="H21" i="45" s="1"/>
  <c r="H51" i="45" s="1"/>
  <c r="H44" i="45"/>
  <c r="H42" i="45"/>
  <c r="I52" i="25"/>
  <c r="I7" i="9"/>
  <c r="J47" i="25"/>
  <c r="J23" i="9"/>
  <c r="K9" i="28"/>
  <c r="K10" i="27" s="1"/>
  <c r="I24" i="9"/>
  <c r="I46" i="9"/>
  <c r="I44" i="9"/>
  <c r="I20" i="45" a="1"/>
  <c r="I20" i="45" s="1"/>
  <c r="N11" i="48"/>
  <c r="O20" i="48"/>
  <c r="L12" i="48"/>
  <c r="L16" i="48" s="1"/>
  <c r="M71" i="48"/>
  <c r="P19" i="48"/>
  <c r="Q6" i="48"/>
  <c r="P10" i="48"/>
  <c r="E14" i="45" a="1"/>
  <c r="E14" i="45" s="1"/>
  <c r="E19" i="9"/>
  <c r="F48" i="45"/>
  <c r="F38" i="45"/>
  <c r="P14" i="28"/>
  <c r="P15" i="27" s="1"/>
  <c r="N14" i="9"/>
  <c r="O68" i="48"/>
  <c r="O66" i="48"/>
  <c r="O67" i="48" s="1"/>
  <c r="E22" i="28"/>
  <c r="C32" i="9"/>
  <c r="C39" i="9"/>
  <c r="C52" i="9"/>
  <c r="C54" i="9" s="1"/>
  <c r="E27" i="27"/>
  <c r="E29" i="27" s="1"/>
  <c r="E31" i="27" s="1"/>
  <c r="C41" i="9"/>
  <c r="C42" i="9" s="1"/>
  <c r="F15" i="9"/>
  <c r="H8" i="27"/>
  <c r="H12" i="27" s="1"/>
  <c r="H17" i="27" s="1"/>
  <c r="H21" i="27" s="1"/>
  <c r="H25" i="27" s="1"/>
  <c r="F17" i="9" s="1"/>
  <c r="F16" i="45" s="1" a="1"/>
  <c r="F16" i="45" s="1"/>
  <c r="C37" i="45"/>
  <c r="C50" i="45"/>
  <c r="C52" i="45" s="1"/>
  <c r="C29" i="45"/>
  <c r="C39" i="45"/>
  <c r="C40" i="45" s="1"/>
  <c r="C41" i="45" l="1"/>
  <c r="C43" i="45" s="1"/>
  <c r="C45" i="45" s="1"/>
  <c r="C46" i="45" s="1"/>
  <c r="N13" i="48"/>
  <c r="O69" i="48"/>
  <c r="O11" i="48"/>
  <c r="P20" i="48"/>
  <c r="J6" i="28"/>
  <c r="J11" i="28" s="1"/>
  <c r="J16" i="28" s="1"/>
  <c r="J20" i="28" s="1"/>
  <c r="J6" i="27"/>
  <c r="H12" i="45" a="1"/>
  <c r="H12" i="45" s="1"/>
  <c r="H40" i="9"/>
  <c r="H50" i="9"/>
  <c r="O70" i="48"/>
  <c r="N18" i="9" s="1"/>
  <c r="N17" i="45" s="1" a="1"/>
  <c r="N17" i="45" s="1"/>
  <c r="N16" i="9"/>
  <c r="N15" i="45" s="1" a="1"/>
  <c r="N15" i="45" s="1"/>
  <c r="F14" i="45" a="1"/>
  <c r="F14" i="45" s="1"/>
  <c r="F19" i="9"/>
  <c r="I44" i="45"/>
  <c r="I42" i="45"/>
  <c r="E26" i="9"/>
  <c r="E28" i="9" s="1"/>
  <c r="E18" i="45" a="1"/>
  <c r="E18" i="45" s="1"/>
  <c r="E23" i="45" s="1"/>
  <c r="E25" i="45" s="1"/>
  <c r="I21" i="45" a="1"/>
  <c r="I21" i="45" s="1"/>
  <c r="I51" i="45" s="1"/>
  <c r="I53" i="9"/>
  <c r="C43" i="9"/>
  <c r="C45" i="9" s="1"/>
  <c r="C47" i="9" s="1"/>
  <c r="C48" i="9" s="1"/>
  <c r="Q19" i="48"/>
  <c r="R6" i="48"/>
  <c r="Q10" i="48"/>
  <c r="P66" i="48"/>
  <c r="P67" i="48" s="1"/>
  <c r="P68" i="48"/>
  <c r="Q14" i="28"/>
  <c r="Q15" i="27" s="1"/>
  <c r="O14" i="9"/>
  <c r="J46" i="9"/>
  <c r="J44" i="9"/>
  <c r="J20" i="45" a="1"/>
  <c r="J20" i="45" s="1"/>
  <c r="L9" i="28"/>
  <c r="L10" i="27" s="1"/>
  <c r="J24" i="9"/>
  <c r="G38" i="45"/>
  <c r="G48" i="45"/>
  <c r="D32" i="9"/>
  <c r="F22" i="28"/>
  <c r="D52" i="9"/>
  <c r="D54" i="9" s="1"/>
  <c r="F27" i="27"/>
  <c r="F29" i="27" s="1"/>
  <c r="F31" i="27" s="1"/>
  <c r="D41" i="9"/>
  <c r="D42" i="9" s="1"/>
  <c r="D39" i="9"/>
  <c r="E24" i="28"/>
  <c r="E26" i="28"/>
  <c r="E28" i="28" s="1"/>
  <c r="N71" i="48"/>
  <c r="M12" i="48"/>
  <c r="M16" i="48" s="1"/>
  <c r="J52" i="25"/>
  <c r="J7" i="9"/>
  <c r="G15" i="9"/>
  <c r="I8" i="27"/>
  <c r="I12" i="27" s="1"/>
  <c r="I17" i="27" s="1"/>
  <c r="I21" i="27" s="1"/>
  <c r="I25" i="27" s="1"/>
  <c r="G17" i="9" s="1"/>
  <c r="G16" i="45" s="1" a="1"/>
  <c r="G16" i="45" s="1"/>
  <c r="D29" i="45"/>
  <c r="D50" i="45"/>
  <c r="D52" i="45" s="1"/>
  <c r="D39" i="45"/>
  <c r="D40" i="45" s="1"/>
  <c r="D37" i="45"/>
  <c r="P7" i="28"/>
  <c r="N51" i="9"/>
  <c r="N13" i="45" a="1"/>
  <c r="N13" i="45" s="1"/>
  <c r="P7" i="27"/>
  <c r="N40" i="9"/>
  <c r="K23" i="9"/>
  <c r="K47" i="25"/>
  <c r="I6" i="45" a="1"/>
  <c r="I6" i="45" s="1"/>
  <c r="I13" i="9"/>
  <c r="N38" i="45" l="1"/>
  <c r="N49" i="45"/>
  <c r="O71" i="48"/>
  <c r="N12" i="48"/>
  <c r="N16" i="48" s="1"/>
  <c r="H48" i="45"/>
  <c r="H38" i="45"/>
  <c r="Q68" i="48"/>
  <c r="R14" i="28"/>
  <c r="R15" i="27" s="1"/>
  <c r="Q66" i="48"/>
  <c r="Q67" i="48" s="1"/>
  <c r="P14" i="9"/>
  <c r="J21" i="45" a="1"/>
  <c r="J21" i="45" s="1"/>
  <c r="J51" i="45" s="1"/>
  <c r="J53" i="9"/>
  <c r="J42" i="45"/>
  <c r="J44" i="45"/>
  <c r="E29" i="45"/>
  <c r="E37" i="45"/>
  <c r="E50" i="45"/>
  <c r="E52" i="45" s="1"/>
  <c r="E39" i="45"/>
  <c r="E40" i="45" s="1"/>
  <c r="J8" i="27"/>
  <c r="J12" i="27" s="1"/>
  <c r="J17" i="27" s="1"/>
  <c r="J21" i="27" s="1"/>
  <c r="J25" i="27" s="1"/>
  <c r="H17" i="9" s="1"/>
  <c r="H16" i="45" s="1" a="1"/>
  <c r="H16" i="45" s="1"/>
  <c r="H15" i="9"/>
  <c r="M9" i="28"/>
  <c r="M10" i="27" s="1"/>
  <c r="K20" i="45" a="1"/>
  <c r="K20" i="45" s="1"/>
  <c r="K24" i="9"/>
  <c r="K46" i="9"/>
  <c r="K44" i="9"/>
  <c r="R19" i="48"/>
  <c r="R10" i="48"/>
  <c r="S6" i="48"/>
  <c r="D41" i="45"/>
  <c r="D43" i="45" s="1"/>
  <c r="D45" i="45" s="1"/>
  <c r="D46" i="45" s="1"/>
  <c r="D43" i="9"/>
  <c r="D45" i="9" s="1"/>
  <c r="D47" i="9" s="1"/>
  <c r="D48" i="9" s="1"/>
  <c r="E41" i="9"/>
  <c r="E42" i="9" s="1"/>
  <c r="E39" i="9"/>
  <c r="E43" i="9" s="1"/>
  <c r="E45" i="9" s="1"/>
  <c r="E47" i="9" s="1"/>
  <c r="E48" i="9" s="1"/>
  <c r="E32" i="9"/>
  <c r="G22" i="28"/>
  <c r="G27" i="27"/>
  <c r="G29" i="27" s="1"/>
  <c r="G31" i="27" s="1"/>
  <c r="E52" i="9"/>
  <c r="E54" i="9" s="1"/>
  <c r="P11" i="48"/>
  <c r="Q20" i="48"/>
  <c r="O51" i="9"/>
  <c r="Q7" i="28"/>
  <c r="Q7" i="27"/>
  <c r="O13" i="45" a="1"/>
  <c r="O13" i="45" s="1"/>
  <c r="O40" i="9"/>
  <c r="O13" i="48"/>
  <c r="P69" i="48"/>
  <c r="J6" i="45" a="1"/>
  <c r="J6" i="45" s="1"/>
  <c r="J13" i="9"/>
  <c r="L47" i="25"/>
  <c r="L23" i="9"/>
  <c r="O16" i="9"/>
  <c r="O15" i="45" s="1" a="1"/>
  <c r="O15" i="45" s="1"/>
  <c r="P70" i="48"/>
  <c r="O18" i="9" s="1"/>
  <c r="O17" i="45" s="1" a="1"/>
  <c r="O17" i="45" s="1"/>
  <c r="F18" i="45" a="1"/>
  <c r="F18" i="45" s="1"/>
  <c r="F23" i="45" s="1"/>
  <c r="F25" i="45" s="1"/>
  <c r="F26" i="9"/>
  <c r="F28" i="9" s="1"/>
  <c r="F24" i="28"/>
  <c r="F26" i="28"/>
  <c r="F28" i="28" s="1"/>
  <c r="I40" i="9"/>
  <c r="I50" i="9"/>
  <c r="K6" i="27"/>
  <c r="K6" i="28"/>
  <c r="K11" i="28" s="1"/>
  <c r="K16" i="28" s="1"/>
  <c r="K20" i="28" s="1"/>
  <c r="I12" i="45" a="1"/>
  <c r="I12" i="45" s="1"/>
  <c r="K7" i="9"/>
  <c r="K52" i="25"/>
  <c r="G14" i="45" a="1"/>
  <c r="G14" i="45" s="1"/>
  <c r="G19" i="9"/>
  <c r="P13" i="48" l="1"/>
  <c r="Q69" i="48"/>
  <c r="O49" i="45"/>
  <c r="O38" i="45"/>
  <c r="Q70" i="48"/>
  <c r="P18" i="9" s="1"/>
  <c r="P17" i="45" s="1" a="1"/>
  <c r="P17" i="45" s="1"/>
  <c r="P16" i="9"/>
  <c r="P15" i="45" s="1" a="1"/>
  <c r="P15" i="45" s="1"/>
  <c r="F32" i="9"/>
  <c r="H22" i="28"/>
  <c r="H27" i="27"/>
  <c r="H29" i="27" s="1"/>
  <c r="H31" i="27" s="1"/>
  <c r="F41" i="9"/>
  <c r="F42" i="9" s="1"/>
  <c r="F39" i="9"/>
  <c r="F52" i="9"/>
  <c r="F54" i="9" s="1"/>
  <c r="S19" i="48"/>
  <c r="S10" i="48"/>
  <c r="T6" i="48"/>
  <c r="E41" i="45"/>
  <c r="E43" i="45" s="1"/>
  <c r="E45" i="45" s="1"/>
  <c r="E46" i="45" s="1"/>
  <c r="P51" i="9"/>
  <c r="R7" i="27"/>
  <c r="R7" i="28"/>
  <c r="P40" i="9"/>
  <c r="P13" i="45" a="1"/>
  <c r="P13" i="45" s="1"/>
  <c r="G18" i="45" a="1"/>
  <c r="G18" i="45" s="1"/>
  <c r="G23" i="45" s="1"/>
  <c r="G25" i="45" s="1"/>
  <c r="G26" i="9"/>
  <c r="G28" i="9" s="1"/>
  <c r="M23" i="9"/>
  <c r="M47" i="25"/>
  <c r="Q14" i="9"/>
  <c r="R68" i="48"/>
  <c r="S14" i="28"/>
  <c r="S15" i="27" s="1"/>
  <c r="R66" i="48"/>
  <c r="R67" i="48" s="1"/>
  <c r="P71" i="48"/>
  <c r="O12" i="48"/>
  <c r="O16" i="48" s="1"/>
  <c r="N23" i="9" s="1"/>
  <c r="R20" i="48"/>
  <c r="Q11" i="48"/>
  <c r="K13" i="9"/>
  <c r="K6" i="45" a="1"/>
  <c r="K6" i="45" s="1"/>
  <c r="L44" i="9"/>
  <c r="L24" i="9"/>
  <c r="N9" i="28"/>
  <c r="N10" i="27" s="1"/>
  <c r="L46" i="9"/>
  <c r="L20" i="45" a="1"/>
  <c r="L20" i="45" s="1"/>
  <c r="H19" i="9"/>
  <c r="H14" i="45" a="1"/>
  <c r="H14" i="45" s="1"/>
  <c r="F29" i="45"/>
  <c r="F37" i="45"/>
  <c r="F50" i="45"/>
  <c r="F52" i="45" s="1"/>
  <c r="F39" i="45"/>
  <c r="F40" i="45" s="1"/>
  <c r="J40" i="9"/>
  <c r="J50" i="9"/>
  <c r="J12" i="45" a="1"/>
  <c r="J12" i="45" s="1"/>
  <c r="L6" i="27"/>
  <c r="L6" i="28"/>
  <c r="L11" i="28" s="1"/>
  <c r="L16" i="28" s="1"/>
  <c r="L20" i="28" s="1"/>
  <c r="I48" i="45"/>
  <c r="I38" i="45"/>
  <c r="L7" i="9"/>
  <c r="L52" i="25"/>
  <c r="K8" i="27"/>
  <c r="K12" i="27" s="1"/>
  <c r="K17" i="27" s="1"/>
  <c r="K21" i="27" s="1"/>
  <c r="K25" i="27" s="1"/>
  <c r="I17" i="9" s="1"/>
  <c r="I16" i="45" s="1" a="1"/>
  <c r="I16" i="45" s="1"/>
  <c r="I15" i="9"/>
  <c r="K53" i="9"/>
  <c r="K21" i="45" a="1"/>
  <c r="K21" i="45" s="1"/>
  <c r="K51" i="45" s="1"/>
  <c r="G26" i="28"/>
  <c r="G28" i="28" s="1"/>
  <c r="G24" i="28"/>
  <c r="K44" i="45"/>
  <c r="K42" i="45"/>
  <c r="M6" i="27" l="1"/>
  <c r="K40" i="9"/>
  <c r="M6" i="28"/>
  <c r="M11" i="28" s="1"/>
  <c r="M16" i="28" s="1"/>
  <c r="M20" i="28" s="1"/>
  <c r="K50" i="9"/>
  <c r="K12" i="45" a="1"/>
  <c r="K12" i="45" s="1"/>
  <c r="P49" i="45"/>
  <c r="P38" i="45"/>
  <c r="N20" i="45" a="1"/>
  <c r="N20" i="45" s="1"/>
  <c r="N46" i="9"/>
  <c r="P9" i="28"/>
  <c r="N44" i="9"/>
  <c r="N24" i="9"/>
  <c r="Q71" i="48"/>
  <c r="P12" i="48"/>
  <c r="P16" i="48" s="1"/>
  <c r="O23" i="9" s="1"/>
  <c r="S20" i="48"/>
  <c r="R11" i="48"/>
  <c r="L13" i="9"/>
  <c r="L6" i="45" a="1"/>
  <c r="L6" i="45" s="1"/>
  <c r="G37" i="45"/>
  <c r="G29" i="45"/>
  <c r="G39" i="45"/>
  <c r="G40" i="45" s="1"/>
  <c r="G50" i="45"/>
  <c r="G52" i="45" s="1"/>
  <c r="H24" i="28"/>
  <c r="H26" i="28"/>
  <c r="H28" i="28" s="1"/>
  <c r="I14" i="45" a="1"/>
  <c r="I14" i="45" s="1"/>
  <c r="I19" i="9"/>
  <c r="F41" i="45"/>
  <c r="F43" i="45" s="1"/>
  <c r="F45" i="45" s="1"/>
  <c r="F46" i="45" s="1"/>
  <c r="H18" i="45" a="1"/>
  <c r="H18" i="45" s="1"/>
  <c r="H23" i="45" s="1"/>
  <c r="H25" i="45" s="1"/>
  <c r="H26" i="9"/>
  <c r="H28" i="9" s="1"/>
  <c r="L44" i="45"/>
  <c r="L42" i="45"/>
  <c r="L8" i="27"/>
  <c r="L12" i="27" s="1"/>
  <c r="L17" i="27" s="1"/>
  <c r="L21" i="27" s="1"/>
  <c r="L25" i="27" s="1"/>
  <c r="J17" i="9" s="1"/>
  <c r="J16" i="45" s="1" a="1"/>
  <c r="J16" i="45" s="1"/>
  <c r="J15" i="9"/>
  <c r="R70" i="48"/>
  <c r="Q18" i="9" s="1"/>
  <c r="Q17" i="45" s="1" a="1"/>
  <c r="Q17" i="45" s="1"/>
  <c r="Q16" i="9"/>
  <c r="Q15" i="45" s="1" a="1"/>
  <c r="Q15" i="45" s="1"/>
  <c r="T19" i="48"/>
  <c r="T10" i="48"/>
  <c r="U6" i="48"/>
  <c r="S7" i="27"/>
  <c r="S7" i="28"/>
  <c r="Q51" i="9"/>
  <c r="Q40" i="9"/>
  <c r="Q13" i="45" a="1"/>
  <c r="Q13" i="45" s="1"/>
  <c r="R69" i="48"/>
  <c r="Q13" i="48"/>
  <c r="J48" i="45"/>
  <c r="J38" i="45"/>
  <c r="L53" i="9"/>
  <c r="L21" i="45" a="1"/>
  <c r="L21" i="45" s="1"/>
  <c r="L51" i="45" s="1"/>
  <c r="M52" i="25"/>
  <c r="M7" i="9"/>
  <c r="S66" i="48"/>
  <c r="S67" i="48" s="1"/>
  <c r="R14" i="9"/>
  <c r="T14" i="28"/>
  <c r="T15" i="27" s="1"/>
  <c r="S68" i="48"/>
  <c r="M46" i="9"/>
  <c r="O9" i="28"/>
  <c r="O10" i="27" s="1"/>
  <c r="M24" i="9"/>
  <c r="M20" i="45" a="1"/>
  <c r="M20" i="45" s="1"/>
  <c r="M44" i="9"/>
  <c r="G39" i="9"/>
  <c r="I22" i="28"/>
  <c r="G52" i="9"/>
  <c r="G54" i="9" s="1"/>
  <c r="G32" i="9"/>
  <c r="G41" i="9"/>
  <c r="G42" i="9" s="1"/>
  <c r="I27" i="27"/>
  <c r="I29" i="27" s="1"/>
  <c r="I31" i="27" s="1"/>
  <c r="F43" i="9"/>
  <c r="F45" i="9" s="1"/>
  <c r="F47" i="9" s="1"/>
  <c r="F48" i="9" s="1"/>
  <c r="P10" i="27" l="1"/>
  <c r="P11" i="28"/>
  <c r="P16" i="28" s="1"/>
  <c r="P20" i="28" s="1"/>
  <c r="R13" i="48"/>
  <c r="S69" i="48"/>
  <c r="R16" i="9"/>
  <c r="R15" i="45" s="1" a="1"/>
  <c r="R15" i="45" s="1"/>
  <c r="S70" i="48"/>
  <c r="R18" i="9" s="1"/>
  <c r="R17" i="45" s="1" a="1"/>
  <c r="R17" i="45" s="1"/>
  <c r="Q38" i="45"/>
  <c r="Q49" i="45"/>
  <c r="G41" i="45"/>
  <c r="G43" i="45" s="1"/>
  <c r="G45" i="45" s="1"/>
  <c r="G46" i="45" s="1"/>
  <c r="H41" i="9"/>
  <c r="H42" i="9" s="1"/>
  <c r="H39" i="9"/>
  <c r="H43" i="9" s="1"/>
  <c r="H45" i="9" s="1"/>
  <c r="H47" i="9" s="1"/>
  <c r="H48" i="9" s="1"/>
  <c r="H32" i="9"/>
  <c r="H52" i="9"/>
  <c r="H54" i="9" s="1"/>
  <c r="J27" i="27"/>
  <c r="J29" i="27" s="1"/>
  <c r="J31" i="27" s="1"/>
  <c r="J22" i="28"/>
  <c r="U19" i="48"/>
  <c r="U10" i="48"/>
  <c r="V6" i="48"/>
  <c r="O24" i="9"/>
  <c r="O46" i="9"/>
  <c r="Q9" i="28"/>
  <c r="O20" i="45" a="1"/>
  <c r="O20" i="45" s="1"/>
  <c r="O44" i="9"/>
  <c r="K15" i="9"/>
  <c r="M8" i="27"/>
  <c r="M12" i="27" s="1"/>
  <c r="M17" i="27" s="1"/>
  <c r="M21" i="27" s="1"/>
  <c r="M25" i="27" s="1"/>
  <c r="K17" i="9" s="1"/>
  <c r="K16" i="45" s="1" a="1"/>
  <c r="K16" i="45" s="1"/>
  <c r="M44" i="45"/>
  <c r="M42" i="45"/>
  <c r="M53" i="9"/>
  <c r="M21" i="45" a="1"/>
  <c r="M21" i="45" s="1"/>
  <c r="M51" i="45" s="1"/>
  <c r="N42" i="45"/>
  <c r="N44" i="45"/>
  <c r="R40" i="9"/>
  <c r="T7" i="28"/>
  <c r="R51" i="9"/>
  <c r="T7" i="27"/>
  <c r="R13" i="45" a="1"/>
  <c r="R13" i="45" s="1"/>
  <c r="N6" i="28"/>
  <c r="N11" i="28" s="1"/>
  <c r="N16" i="28" s="1"/>
  <c r="N20" i="28" s="1"/>
  <c r="N6" i="27"/>
  <c r="L50" i="9"/>
  <c r="L12" i="45" a="1"/>
  <c r="L12" i="45" s="1"/>
  <c r="L40" i="9"/>
  <c r="H50" i="45"/>
  <c r="H52" i="45" s="1"/>
  <c r="H37" i="45"/>
  <c r="H39" i="45"/>
  <c r="H40" i="45" s="1"/>
  <c r="H29" i="45"/>
  <c r="K48" i="45"/>
  <c r="K38" i="45"/>
  <c r="M13" i="9"/>
  <c r="M6" i="45" a="1"/>
  <c r="M6" i="45" s="1"/>
  <c r="T20" i="48"/>
  <c r="S11" i="48"/>
  <c r="I26" i="28"/>
  <c r="I28" i="28" s="1"/>
  <c r="I24" i="28"/>
  <c r="I18" i="45" a="1"/>
  <c r="I18" i="45" s="1"/>
  <c r="I23" i="45" s="1"/>
  <c r="I25" i="45" s="1"/>
  <c r="I26" i="9"/>
  <c r="I28" i="9" s="1"/>
  <c r="G43" i="9"/>
  <c r="G45" i="9" s="1"/>
  <c r="G47" i="9" s="1"/>
  <c r="G48" i="9" s="1"/>
  <c r="R71" i="48"/>
  <c r="Q12" i="48"/>
  <c r="Q16" i="48" s="1"/>
  <c r="P23" i="9" s="1"/>
  <c r="J14" i="45" a="1"/>
  <c r="J14" i="45" s="1"/>
  <c r="J19" i="9"/>
  <c r="S14" i="9"/>
  <c r="T68" i="48"/>
  <c r="U14" i="28"/>
  <c r="U15" i="27" s="1"/>
  <c r="T66" i="48"/>
  <c r="T67" i="48" s="1"/>
  <c r="N21" i="45" a="1"/>
  <c r="N21" i="45" s="1"/>
  <c r="N51" i="45" s="1"/>
  <c r="N53" i="9"/>
  <c r="H41" i="45" l="1"/>
  <c r="H43" i="45" s="1"/>
  <c r="H45" i="45" s="1"/>
  <c r="H46" i="45" s="1"/>
  <c r="R38" i="45"/>
  <c r="R49" i="45"/>
  <c r="R9" i="28"/>
  <c r="P24" i="9"/>
  <c r="P44" i="9"/>
  <c r="P46" i="9"/>
  <c r="P20" i="45" a="1"/>
  <c r="P20" i="45" s="1"/>
  <c r="O44" i="45"/>
  <c r="O42" i="45"/>
  <c r="S71" i="48"/>
  <c r="R12" i="48"/>
  <c r="R16" i="48" s="1"/>
  <c r="Q23" i="9" s="1"/>
  <c r="Q10" i="27"/>
  <c r="Q11" i="28"/>
  <c r="Q16" i="28" s="1"/>
  <c r="Q20" i="28" s="1"/>
  <c r="J18" i="45" a="1"/>
  <c r="J18" i="45" s="1"/>
  <c r="J23" i="45" s="1"/>
  <c r="J25" i="45" s="1"/>
  <c r="J26" i="9"/>
  <c r="J28" i="9" s="1"/>
  <c r="K14" i="45" a="1"/>
  <c r="K14" i="45" s="1"/>
  <c r="K19" i="9"/>
  <c r="O53" i="9"/>
  <c r="O21" i="45" a="1"/>
  <c r="O21" i="45" s="1"/>
  <c r="O51" i="45" s="1"/>
  <c r="I39" i="45"/>
  <c r="I40" i="45" s="1"/>
  <c r="I29" i="45"/>
  <c r="I37" i="45"/>
  <c r="I41" i="45" s="1"/>
  <c r="I43" i="45" s="1"/>
  <c r="I45" i="45" s="1"/>
  <c r="I46" i="45" s="1"/>
  <c r="I50" i="45"/>
  <c r="I52" i="45" s="1"/>
  <c r="L48" i="45"/>
  <c r="L38" i="45"/>
  <c r="V14" i="28"/>
  <c r="V15" i="27" s="1"/>
  <c r="T14" i="9"/>
  <c r="U68" i="48"/>
  <c r="U66" i="48"/>
  <c r="U67" i="48" s="1"/>
  <c r="S13" i="48"/>
  <c r="T69" i="48"/>
  <c r="I39" i="9"/>
  <c r="I32" i="9"/>
  <c r="K22" i="28"/>
  <c r="K27" i="27"/>
  <c r="K29" i="27" s="1"/>
  <c r="K31" i="27" s="1"/>
  <c r="I52" i="9"/>
  <c r="I54" i="9" s="1"/>
  <c r="I41" i="9"/>
  <c r="I42" i="9" s="1"/>
  <c r="J26" i="28"/>
  <c r="J28" i="28" s="1"/>
  <c r="J24" i="28"/>
  <c r="S51" i="9"/>
  <c r="U7" i="27"/>
  <c r="S40" i="9"/>
  <c r="S13" i="45" a="1"/>
  <c r="S13" i="45" s="1"/>
  <c r="U7" i="28"/>
  <c r="T11" i="48"/>
  <c r="U20" i="48"/>
  <c r="N15" i="9"/>
  <c r="P8" i="27"/>
  <c r="P12" i="27" s="1"/>
  <c r="P17" i="27" s="1"/>
  <c r="P21" i="27" s="1"/>
  <c r="P25" i="27" s="1"/>
  <c r="N17" i="9" s="1"/>
  <c r="N16" i="45" s="1" a="1"/>
  <c r="N16" i="45" s="1"/>
  <c r="O6" i="27"/>
  <c r="O6" i="28"/>
  <c r="O11" i="28" s="1"/>
  <c r="O16" i="28" s="1"/>
  <c r="O20" i="28" s="1"/>
  <c r="M12" i="45" a="1"/>
  <c r="M12" i="45" s="1"/>
  <c r="M50" i="9"/>
  <c r="M40" i="9"/>
  <c r="V19" i="48"/>
  <c r="W6" i="48"/>
  <c r="V10" i="48"/>
  <c r="S16" i="9"/>
  <c r="S15" i="45" s="1" a="1"/>
  <c r="S15" i="45" s="1"/>
  <c r="T70" i="48"/>
  <c r="S18" i="9" s="1"/>
  <c r="S17" i="45" s="1" a="1"/>
  <c r="S17" i="45" s="1"/>
  <c r="N8" i="27"/>
  <c r="N12" i="27" s="1"/>
  <c r="N17" i="27" s="1"/>
  <c r="N21" i="27" s="1"/>
  <c r="N25" i="27" s="1"/>
  <c r="L17" i="9" s="1"/>
  <c r="L16" i="45" s="1" a="1"/>
  <c r="L16" i="45" s="1"/>
  <c r="L15" i="9"/>
  <c r="I43" i="9" l="1"/>
  <c r="I45" i="9" s="1"/>
  <c r="I47" i="9" s="1"/>
  <c r="I48" i="9" s="1"/>
  <c r="Q24" i="9"/>
  <c r="S9" i="28"/>
  <c r="Q20" i="45" a="1"/>
  <c r="Q20" i="45" s="1"/>
  <c r="Q46" i="9"/>
  <c r="Q44" i="9"/>
  <c r="T71" i="48"/>
  <c r="S12" i="48"/>
  <c r="S16" i="48" s="1"/>
  <c r="R23" i="9" s="1"/>
  <c r="K24" i="28"/>
  <c r="K26" i="28"/>
  <c r="K28" i="28" s="1"/>
  <c r="W19" i="48"/>
  <c r="W10" i="48"/>
  <c r="X6" i="48"/>
  <c r="S49" i="45"/>
  <c r="S38" i="45"/>
  <c r="T13" i="48"/>
  <c r="U69" i="48"/>
  <c r="P42" i="45"/>
  <c r="P44" i="45"/>
  <c r="N19" i="9"/>
  <c r="N14" i="45" a="1"/>
  <c r="N14" i="45" s="1"/>
  <c r="V20" i="48"/>
  <c r="U11" i="48"/>
  <c r="P21" i="45" a="1"/>
  <c r="P21" i="45" s="1"/>
  <c r="P51" i="45" s="1"/>
  <c r="P53" i="9"/>
  <c r="U14" i="9"/>
  <c r="V68" i="48"/>
  <c r="V66" i="48"/>
  <c r="V67" i="48" s="1"/>
  <c r="W14" i="28"/>
  <c r="W15" i="27" s="1"/>
  <c r="K18" i="45" a="1"/>
  <c r="K18" i="45" s="1"/>
  <c r="K23" i="45" s="1"/>
  <c r="K25" i="45" s="1"/>
  <c r="K26" i="9"/>
  <c r="K28" i="9" s="1"/>
  <c r="U70" i="48"/>
  <c r="T18" i="9" s="1"/>
  <c r="T17" i="45" s="1" a="1"/>
  <c r="T17" i="45" s="1"/>
  <c r="T16" i="9"/>
  <c r="T15" i="45" s="1" a="1"/>
  <c r="T15" i="45" s="1"/>
  <c r="M38" i="45"/>
  <c r="M48" i="45"/>
  <c r="T40" i="9"/>
  <c r="T13" i="45" a="1"/>
  <c r="T13" i="45" s="1"/>
  <c r="V7" i="27"/>
  <c r="V7" i="28"/>
  <c r="T51" i="9"/>
  <c r="J52" i="9"/>
  <c r="J54" i="9" s="1"/>
  <c r="J41" i="9"/>
  <c r="J42" i="9" s="1"/>
  <c r="L27" i="27"/>
  <c r="L29" i="27" s="1"/>
  <c r="L31" i="27" s="1"/>
  <c r="L22" i="28"/>
  <c r="J39" i="9"/>
  <c r="J43" i="9" s="1"/>
  <c r="J45" i="9" s="1"/>
  <c r="J47" i="9" s="1"/>
  <c r="J48" i="9" s="1"/>
  <c r="J32" i="9"/>
  <c r="R11" i="28"/>
  <c r="R16" i="28" s="1"/>
  <c r="R20" i="28" s="1"/>
  <c r="R10" i="27"/>
  <c r="M15" i="9"/>
  <c r="O8" i="27"/>
  <c r="O12" i="27" s="1"/>
  <c r="O17" i="27" s="1"/>
  <c r="O21" i="27" s="1"/>
  <c r="O25" i="27" s="1"/>
  <c r="M17" i="9" s="1"/>
  <c r="M16" i="45" s="1" a="1"/>
  <c r="M16" i="45" s="1"/>
  <c r="J29" i="45"/>
  <c r="J39" i="45"/>
  <c r="J40" i="45" s="1"/>
  <c r="J37" i="45"/>
  <c r="J50" i="45"/>
  <c r="J52" i="45" s="1"/>
  <c r="L14" i="45" a="1"/>
  <c r="L14" i="45" s="1"/>
  <c r="L19" i="9"/>
  <c r="Q8" i="27"/>
  <c r="Q12" i="27" s="1"/>
  <c r="Q17" i="27" s="1"/>
  <c r="Q21" i="27" s="1"/>
  <c r="Q25" i="27" s="1"/>
  <c r="O17" i="9" s="1"/>
  <c r="O16" i="45" s="1" a="1"/>
  <c r="O16" i="45" s="1"/>
  <c r="O15" i="9"/>
  <c r="T38" i="45" l="1"/>
  <c r="T49" i="45"/>
  <c r="M14" i="45" a="1"/>
  <c r="M14" i="45" s="1"/>
  <c r="M19" i="9"/>
  <c r="X19" i="48"/>
  <c r="Y6" i="48"/>
  <c r="X10" i="48"/>
  <c r="P15" i="9"/>
  <c r="R8" i="27"/>
  <c r="R12" i="27" s="1"/>
  <c r="R17" i="27" s="1"/>
  <c r="R21" i="27" s="1"/>
  <c r="R25" i="27" s="1"/>
  <c r="P17" i="9" s="1"/>
  <c r="P16" i="45" s="1" a="1"/>
  <c r="P16" i="45" s="1"/>
  <c r="W68" i="48"/>
  <c r="V14" i="9"/>
  <c r="X14" i="28"/>
  <c r="X15" i="27" s="1"/>
  <c r="W66" i="48"/>
  <c r="W67" i="48" s="1"/>
  <c r="O19" i="9"/>
  <c r="O14" i="45" a="1"/>
  <c r="O14" i="45" s="1"/>
  <c r="V11" i="48"/>
  <c r="W20" i="48"/>
  <c r="N18" i="45" a="1"/>
  <c r="N18" i="45" s="1"/>
  <c r="N23" i="45" s="1"/>
  <c r="N25" i="45" s="1"/>
  <c r="N26" i="9"/>
  <c r="N28" i="9" s="1"/>
  <c r="R46" i="9"/>
  <c r="R20" i="45" a="1"/>
  <c r="R20" i="45" s="1"/>
  <c r="R44" i="9"/>
  <c r="T9" i="28"/>
  <c r="R24" i="9"/>
  <c r="L24" i="28"/>
  <c r="L26" i="28"/>
  <c r="L28" i="28" s="1"/>
  <c r="K39" i="45"/>
  <c r="K40" i="45" s="1"/>
  <c r="K37" i="45"/>
  <c r="K29" i="45"/>
  <c r="K50" i="45"/>
  <c r="K52" i="45" s="1"/>
  <c r="L26" i="9"/>
  <c r="L28" i="9" s="1"/>
  <c r="L18" i="45" a="1"/>
  <c r="L18" i="45" s="1"/>
  <c r="L23" i="45" s="1"/>
  <c r="L25" i="45" s="1"/>
  <c r="K32" i="9"/>
  <c r="B34" i="9" s="1"/>
  <c r="M22" i="28"/>
  <c r="M27" i="27"/>
  <c r="M29" i="27" s="1"/>
  <c r="M31" i="27" s="1"/>
  <c r="K52" i="9"/>
  <c r="K54" i="9" s="1"/>
  <c r="K39" i="9"/>
  <c r="K41" i="9"/>
  <c r="K42" i="9" s="1"/>
  <c r="U71" i="48"/>
  <c r="T12" i="48"/>
  <c r="T16" i="48" s="1"/>
  <c r="S23" i="9" s="1"/>
  <c r="J41" i="45"/>
  <c r="J43" i="45" s="1"/>
  <c r="J45" i="45" s="1"/>
  <c r="J46" i="45" s="1"/>
  <c r="V69" i="48"/>
  <c r="U13" i="48"/>
  <c r="Q42" i="45"/>
  <c r="Q44" i="45"/>
  <c r="B33" i="45"/>
  <c r="B32" i="45"/>
  <c r="V70" i="48"/>
  <c r="U18" i="9" s="1"/>
  <c r="U17" i="45" s="1" a="1"/>
  <c r="U17" i="45" s="1"/>
  <c r="U16" i="9"/>
  <c r="U15" i="45" s="1" a="1"/>
  <c r="U15" i="45" s="1"/>
  <c r="S11" i="28"/>
  <c r="S16" i="28" s="1"/>
  <c r="S20" i="28" s="1"/>
  <c r="S10" i="27"/>
  <c r="U51" i="9"/>
  <c r="W7" i="27"/>
  <c r="U13" i="45" a="1"/>
  <c r="U13" i="45" s="1"/>
  <c r="U40" i="9"/>
  <c r="W7" i="28"/>
  <c r="Q53" i="9"/>
  <c r="Q21" i="45" a="1"/>
  <c r="Q21" i="45" s="1"/>
  <c r="Q51" i="45" s="1"/>
  <c r="AA19" i="48"/>
  <c r="K41" i="45" l="1"/>
  <c r="K43" i="45" s="1"/>
  <c r="K45" i="45" s="1"/>
  <c r="K46" i="45" s="1"/>
  <c r="L29" i="45"/>
  <c r="L37" i="45"/>
  <c r="L50" i="45"/>
  <c r="L52" i="45" s="1"/>
  <c r="L39" i="45"/>
  <c r="L40" i="45" s="1"/>
  <c r="W70" i="48"/>
  <c r="V18" i="9" s="1"/>
  <c r="V17" i="45" s="1" a="1"/>
  <c r="V17" i="45" s="1"/>
  <c r="V16" i="9"/>
  <c r="V15" i="45" s="1" a="1"/>
  <c r="V15" i="45" s="1"/>
  <c r="T11" i="28"/>
  <c r="T16" i="28" s="1"/>
  <c r="T20" i="28" s="1"/>
  <c r="T10" i="27"/>
  <c r="P14" i="45" a="1"/>
  <c r="P14" i="45" s="1"/>
  <c r="P19" i="9"/>
  <c r="R42" i="45"/>
  <c r="R44" i="45"/>
  <c r="P27" i="27"/>
  <c r="P29" i="27" s="1"/>
  <c r="P31" i="27" s="1"/>
  <c r="N39" i="9"/>
  <c r="N52" i="9"/>
  <c r="N54" i="9" s="1"/>
  <c r="N32" i="9"/>
  <c r="N41" i="9"/>
  <c r="N42" i="9" s="1"/>
  <c r="P22" i="28"/>
  <c r="U38" i="45"/>
  <c r="U49" i="45"/>
  <c r="N37" i="45"/>
  <c r="N50" i="45"/>
  <c r="N52" i="45" s="1"/>
  <c r="N39" i="45"/>
  <c r="N40" i="45" s="1"/>
  <c r="N29" i="45"/>
  <c r="Y19" i="48"/>
  <c r="Z6" i="48"/>
  <c r="Y10" i="48"/>
  <c r="S24" i="9"/>
  <c r="S44" i="9"/>
  <c r="S46" i="9"/>
  <c r="U9" i="28"/>
  <c r="S20" i="45" a="1"/>
  <c r="S20" i="45" s="1"/>
  <c r="V40" i="9"/>
  <c r="V51" i="9"/>
  <c r="V13" i="45" a="1"/>
  <c r="V13" i="45" s="1"/>
  <c r="X7" i="27"/>
  <c r="X7" i="28"/>
  <c r="L41" i="9"/>
  <c r="L42" i="9" s="1"/>
  <c r="L32" i="9"/>
  <c r="L52" i="9"/>
  <c r="L54" i="9" s="1"/>
  <c r="N22" i="28"/>
  <c r="L39" i="9"/>
  <c r="N27" i="27"/>
  <c r="N29" i="27" s="1"/>
  <c r="N31" i="27" s="1"/>
  <c r="W69" i="48"/>
  <c r="V13" i="48"/>
  <c r="V71" i="48"/>
  <c r="U12" i="48"/>
  <c r="U16" i="48" s="1"/>
  <c r="T23" i="9" s="1"/>
  <c r="W11" i="48"/>
  <c r="X20" i="48"/>
  <c r="W14" i="9"/>
  <c r="X66" i="48"/>
  <c r="X67" i="48" s="1"/>
  <c r="X68" i="48"/>
  <c r="Y14" i="28"/>
  <c r="Y15" i="27" s="1"/>
  <c r="Q15" i="9"/>
  <c r="S8" i="27"/>
  <c r="S12" i="27" s="1"/>
  <c r="S17" i="27" s="1"/>
  <c r="S21" i="27" s="1"/>
  <c r="S25" i="27" s="1"/>
  <c r="Q17" i="9" s="1"/>
  <c r="Q16" i="45" s="1" a="1"/>
  <c r="Q16" i="45" s="1"/>
  <c r="M18" i="45" a="1"/>
  <c r="M18" i="45" s="1"/>
  <c r="M23" i="45" s="1"/>
  <c r="M25" i="45" s="1"/>
  <c r="M26" i="9"/>
  <c r="M28" i="9" s="1"/>
  <c r="K43" i="9"/>
  <c r="K45" i="9" s="1"/>
  <c r="K47" i="9" s="1"/>
  <c r="K48" i="9" s="1"/>
  <c r="B35" i="9"/>
  <c r="O26" i="9"/>
  <c r="O28" i="9" s="1"/>
  <c r="O18" i="45" a="1"/>
  <c r="O18" i="45" s="1"/>
  <c r="O23" i="45" s="1"/>
  <c r="O25" i="45" s="1"/>
  <c r="M26" i="28"/>
  <c r="M28" i="28" s="1"/>
  <c r="M24" i="28"/>
  <c r="R21" i="45" a="1"/>
  <c r="R21" i="45" s="1"/>
  <c r="R51" i="45" s="1"/>
  <c r="R53" i="9"/>
  <c r="AB14" i="28"/>
  <c r="AB15" i="27" s="1"/>
  <c r="AA68" i="48"/>
  <c r="AA66" i="48"/>
  <c r="Z14" i="9"/>
  <c r="N43" i="9" l="1"/>
  <c r="N45" i="9" s="1"/>
  <c r="N47" i="9" s="1"/>
  <c r="N48" i="9" s="1"/>
  <c r="L41" i="45"/>
  <c r="L43" i="45" s="1"/>
  <c r="L45" i="45" s="1"/>
  <c r="L46" i="45" s="1"/>
  <c r="Z19" i="48"/>
  <c r="Z10" i="48"/>
  <c r="AA6" i="48"/>
  <c r="AA10" i="48" s="1"/>
  <c r="P18" i="45" a="1"/>
  <c r="P18" i="45" s="1"/>
  <c r="P23" i="45" s="1"/>
  <c r="P25" i="45" s="1"/>
  <c r="P26" i="9"/>
  <c r="P28" i="9" s="1"/>
  <c r="V49" i="45"/>
  <c r="V38" i="45"/>
  <c r="W71" i="48"/>
  <c r="V12" i="48"/>
  <c r="V16" i="48" s="1"/>
  <c r="U23" i="9" s="1"/>
  <c r="X69" i="48"/>
  <c r="W13" i="48"/>
  <c r="T24" i="9"/>
  <c r="T44" i="9"/>
  <c r="T20" i="45" a="1"/>
  <c r="T20" i="45" s="1"/>
  <c r="V9" i="28"/>
  <c r="T46" i="9"/>
  <c r="M39" i="9"/>
  <c r="O22" i="28"/>
  <c r="M41" i="9"/>
  <c r="M42" i="9" s="1"/>
  <c r="O27" i="27"/>
  <c r="O29" i="27" s="1"/>
  <c r="O31" i="27" s="1"/>
  <c r="M52" i="9"/>
  <c r="M54" i="9" s="1"/>
  <c r="M32" i="9"/>
  <c r="N41" i="45"/>
  <c r="N43" i="45" s="1"/>
  <c r="N45" i="45" s="1"/>
  <c r="N46" i="45" s="1"/>
  <c r="M50" i="45"/>
  <c r="M52" i="45" s="1"/>
  <c r="M39" i="45"/>
  <c r="M40" i="45" s="1"/>
  <c r="M29" i="45"/>
  <c r="M37" i="45"/>
  <c r="S44" i="45"/>
  <c r="S42" i="45"/>
  <c r="U11" i="28"/>
  <c r="U16" i="28" s="1"/>
  <c r="U20" i="28" s="1"/>
  <c r="U10" i="27"/>
  <c r="R15" i="9"/>
  <c r="T8" i="27"/>
  <c r="T12" i="27" s="1"/>
  <c r="T17" i="27" s="1"/>
  <c r="T21" i="27" s="1"/>
  <c r="T25" i="27" s="1"/>
  <c r="R17" i="9" s="1"/>
  <c r="R16" i="45" s="1" a="1"/>
  <c r="R16" i="45" s="1"/>
  <c r="Q19" i="9"/>
  <c r="Q14" i="45" a="1"/>
  <c r="Q14" i="45" s="1"/>
  <c r="L43" i="9"/>
  <c r="L45" i="9" s="1"/>
  <c r="L47" i="9" s="1"/>
  <c r="L48" i="9" s="1"/>
  <c r="P26" i="28"/>
  <c r="P28" i="28" s="1"/>
  <c r="P24" i="28"/>
  <c r="N24" i="28"/>
  <c r="N26" i="28"/>
  <c r="N28" i="28" s="1"/>
  <c r="X70" i="48"/>
  <c r="W18" i="9" s="1"/>
  <c r="W17" i="45" s="1" a="1"/>
  <c r="W17" i="45" s="1"/>
  <c r="W16" i="9"/>
  <c r="W15" i="45" s="1" a="1"/>
  <c r="W15" i="45" s="1"/>
  <c r="S53" i="9"/>
  <c r="S21" i="45" a="1"/>
  <c r="S21" i="45" s="1"/>
  <c r="S51" i="45" s="1"/>
  <c r="Y7" i="28"/>
  <c r="W13" i="45" a="1"/>
  <c r="W13" i="45" s="1"/>
  <c r="W40" i="9"/>
  <c r="W51" i="9"/>
  <c r="Y7" i="27"/>
  <c r="O29" i="45"/>
  <c r="O37" i="45"/>
  <c r="O50" i="45"/>
  <c r="O52" i="45" s="1"/>
  <c r="O39" i="45"/>
  <c r="O40" i="45" s="1"/>
  <c r="Y20" i="48"/>
  <c r="X11" i="48"/>
  <c r="X14" i="9"/>
  <c r="Y68" i="48"/>
  <c r="Y66" i="48"/>
  <c r="Y67" i="48" s="1"/>
  <c r="Z14" i="28"/>
  <c r="Z15" i="27" s="1"/>
  <c r="O39" i="9"/>
  <c r="Q22" i="28"/>
  <c r="O41" i="9"/>
  <c r="O42" i="9" s="1"/>
  <c r="Q27" i="27"/>
  <c r="Q29" i="27" s="1"/>
  <c r="Q31" i="27" s="1"/>
  <c r="O32" i="9"/>
  <c r="O52" i="9"/>
  <c r="O54" i="9" s="1"/>
  <c r="Z16" i="9"/>
  <c r="Z15" i="45" s="1" a="1"/>
  <c r="Z15" i="45" s="1"/>
  <c r="AA70" i="48"/>
  <c r="Z18" i="9" s="1"/>
  <c r="Z17" i="45" s="1" a="1"/>
  <c r="Z17" i="45" s="1"/>
  <c r="Z51" i="9"/>
  <c r="Z13" i="45" a="1"/>
  <c r="Z13" i="45" s="1"/>
  <c r="AB7" i="28"/>
  <c r="Z40" i="9"/>
  <c r="AB7" i="27"/>
  <c r="O43" i="9" l="1"/>
  <c r="O45" i="9" s="1"/>
  <c r="O47" i="9" s="1"/>
  <c r="O48" i="9" s="1"/>
  <c r="W49" i="45"/>
  <c r="W38" i="45"/>
  <c r="U24" i="9"/>
  <c r="W9" i="28"/>
  <c r="U20" i="45" a="1"/>
  <c r="U20" i="45" s="1"/>
  <c r="U44" i="9"/>
  <c r="U46" i="9"/>
  <c r="Q18" i="45" a="1"/>
  <c r="Q18" i="45" s="1"/>
  <c r="Q23" i="45" s="1"/>
  <c r="Q25" i="45" s="1"/>
  <c r="Q26" i="9"/>
  <c r="Q28" i="9" s="1"/>
  <c r="X13" i="48"/>
  <c r="Y69" i="48"/>
  <c r="O24" i="28"/>
  <c r="O26" i="28"/>
  <c r="O28" i="28" s="1"/>
  <c r="T21" i="45" a="1"/>
  <c r="T21" i="45" s="1"/>
  <c r="T51" i="45" s="1"/>
  <c r="T53" i="9"/>
  <c r="X71" i="48"/>
  <c r="W12" i="48"/>
  <c r="W16" i="48" s="1"/>
  <c r="V23" i="9" s="1"/>
  <c r="M43" i="9"/>
  <c r="M45" i="9" s="1"/>
  <c r="M47" i="9" s="1"/>
  <c r="M48" i="9" s="1"/>
  <c r="Y70" i="48"/>
  <c r="X18" i="9" s="1"/>
  <c r="X17" i="45" s="1" a="1"/>
  <c r="X17" i="45" s="1"/>
  <c r="X16" i="9"/>
  <c r="X15" i="45" s="1" a="1"/>
  <c r="X15" i="45" s="1"/>
  <c r="X40" i="9"/>
  <c r="Z7" i="28"/>
  <c r="X13" i="45" a="1"/>
  <c r="X13" i="45" s="1"/>
  <c r="X51" i="9"/>
  <c r="Z7" i="27"/>
  <c r="R14" i="45" a="1"/>
  <c r="R14" i="45" s="1"/>
  <c r="R19" i="9"/>
  <c r="Z20" i="48"/>
  <c r="Y11" i="48"/>
  <c r="U8" i="27"/>
  <c r="U12" i="27" s="1"/>
  <c r="U17" i="27" s="1"/>
  <c r="U21" i="27" s="1"/>
  <c r="U25" i="27" s="1"/>
  <c r="S17" i="9" s="1"/>
  <c r="S16" i="45" s="1" a="1"/>
  <c r="S16" i="45" s="1"/>
  <c r="S15" i="9"/>
  <c r="R27" i="27"/>
  <c r="R29" i="27" s="1"/>
  <c r="R31" i="27" s="1"/>
  <c r="P39" i="9"/>
  <c r="P52" i="9"/>
  <c r="P54" i="9" s="1"/>
  <c r="P41" i="9"/>
  <c r="P42" i="9" s="1"/>
  <c r="P32" i="9"/>
  <c r="R22" i="28"/>
  <c r="O41" i="45"/>
  <c r="O43" i="45" s="1"/>
  <c r="O45" i="45" s="1"/>
  <c r="O46" i="45" s="1"/>
  <c r="P50" i="45"/>
  <c r="P52" i="45" s="1"/>
  <c r="P39" i="45"/>
  <c r="P40" i="45" s="1"/>
  <c r="P29" i="45"/>
  <c r="P37" i="45"/>
  <c r="P41" i="45" s="1"/>
  <c r="P43" i="45" s="1"/>
  <c r="P45" i="45" s="1"/>
  <c r="P46" i="45" s="1"/>
  <c r="M41" i="45"/>
  <c r="M43" i="45" s="1"/>
  <c r="M45" i="45" s="1"/>
  <c r="M46" i="45" s="1"/>
  <c r="V11" i="28"/>
  <c r="V16" i="28" s="1"/>
  <c r="V20" i="28" s="1"/>
  <c r="V10" i="27"/>
  <c r="Q24" i="28"/>
  <c r="Q26" i="28"/>
  <c r="Q28" i="28" s="1"/>
  <c r="T42" i="45"/>
  <c r="T44" i="45"/>
  <c r="Z66" i="48"/>
  <c r="Z67" i="48" s="1"/>
  <c r="AA67" i="48" s="1"/>
  <c r="Y14" i="9"/>
  <c r="Z68" i="48"/>
  <c r="AA14" i="28"/>
  <c r="AA15" i="27" s="1"/>
  <c r="Z49" i="45"/>
  <c r="Z38" i="45"/>
  <c r="P43" i="9" l="1"/>
  <c r="P45" i="9" s="1"/>
  <c r="P47" i="9" s="1"/>
  <c r="P48" i="9" s="1"/>
  <c r="Q41" i="9"/>
  <c r="Q42" i="9" s="1"/>
  <c r="Q39" i="9"/>
  <c r="S22" i="28"/>
  <c r="Q52" i="9"/>
  <c r="Q54" i="9" s="1"/>
  <c r="Q32" i="9"/>
  <c r="S27" i="27"/>
  <c r="S29" i="27" s="1"/>
  <c r="S31" i="27" s="1"/>
  <c r="Q50" i="45"/>
  <c r="Q52" i="45" s="1"/>
  <c r="Q29" i="45"/>
  <c r="Q39" i="45"/>
  <c r="Q40" i="45" s="1"/>
  <c r="Q37" i="45"/>
  <c r="Q41" i="45" s="1"/>
  <c r="Q43" i="45" s="1"/>
  <c r="Q45" i="45" s="1"/>
  <c r="Q46" i="45" s="1"/>
  <c r="T15" i="9"/>
  <c r="V8" i="27"/>
  <c r="V12" i="27" s="1"/>
  <c r="V17" i="27" s="1"/>
  <c r="V21" i="27" s="1"/>
  <c r="V25" i="27" s="1"/>
  <c r="T17" i="9" s="1"/>
  <c r="T16" i="45" s="1" a="1"/>
  <c r="T16" i="45" s="1"/>
  <c r="S19" i="9"/>
  <c r="S14" i="45" a="1"/>
  <c r="S14" i="45" s="1"/>
  <c r="U44" i="45"/>
  <c r="U42" i="45"/>
  <c r="AA20" i="48"/>
  <c r="AA11" i="48" s="1"/>
  <c r="Z11" i="48"/>
  <c r="W10" i="27"/>
  <c r="W11" i="28"/>
  <c r="W16" i="28" s="1"/>
  <c r="W20" i="28" s="1"/>
  <c r="R18" i="45" a="1"/>
  <c r="R18" i="45" s="1"/>
  <c r="R23" i="45" s="1"/>
  <c r="R25" i="45" s="1"/>
  <c r="R26" i="9"/>
  <c r="R28" i="9" s="1"/>
  <c r="U53" i="9"/>
  <c r="U21" i="45" a="1"/>
  <c r="U21" i="45" s="1"/>
  <c r="U51" i="45" s="1"/>
  <c r="R24" i="28"/>
  <c r="R26" i="28"/>
  <c r="R28" i="28" s="1"/>
  <c r="X9" i="28"/>
  <c r="V46" i="9"/>
  <c r="V44" i="9"/>
  <c r="V24" i="9"/>
  <c r="V20" i="45" a="1"/>
  <c r="V20" i="45" s="1"/>
  <c r="Z70" i="48"/>
  <c r="Y18" i="9" s="1"/>
  <c r="Y17" i="45" s="1" a="1"/>
  <c r="Y17" i="45" s="1"/>
  <c r="Y16" i="9"/>
  <c r="Y15" i="45" s="1" a="1"/>
  <c r="Y15" i="45" s="1"/>
  <c r="Y71" i="48"/>
  <c r="X12" i="48"/>
  <c r="X16" i="48" s="1"/>
  <c r="W23" i="9" s="1"/>
  <c r="Y13" i="45" a="1"/>
  <c r="Y13" i="45" s="1"/>
  <c r="AA7" i="27"/>
  <c r="AA7" i="28"/>
  <c r="Y40" i="9"/>
  <c r="Y51" i="9"/>
  <c r="X49" i="45"/>
  <c r="X38" i="45"/>
  <c r="Z69" i="48"/>
  <c r="Y13" i="48"/>
  <c r="Y49" i="45" l="1"/>
  <c r="Y38" i="45"/>
  <c r="T22" i="28"/>
  <c r="T27" i="27"/>
  <c r="T29" i="27" s="1"/>
  <c r="T31" i="27" s="1"/>
  <c r="R39" i="9"/>
  <c r="R52" i="9"/>
  <c r="R54" i="9" s="1"/>
  <c r="R32" i="9"/>
  <c r="R41" i="9"/>
  <c r="R42" i="9" s="1"/>
  <c r="W46" i="9"/>
  <c r="Y9" i="28"/>
  <c r="W20" i="45" a="1"/>
  <c r="W20" i="45" s="1"/>
  <c r="W44" i="9"/>
  <c r="W24" i="9"/>
  <c r="T14" i="45" a="1"/>
  <c r="T14" i="45" s="1"/>
  <c r="T19" i="9"/>
  <c r="Z71" i="48"/>
  <c r="Y12" i="48"/>
  <c r="Y16" i="48" s="1"/>
  <c r="X23" i="9" s="1"/>
  <c r="R37" i="45"/>
  <c r="R39" i="45"/>
  <c r="R40" i="45" s="1"/>
  <c r="R50" i="45"/>
  <c r="R52" i="45" s="1"/>
  <c r="R29" i="45"/>
  <c r="U15" i="9"/>
  <c r="W8" i="27"/>
  <c r="W12" i="27" s="1"/>
  <c r="W17" i="27" s="1"/>
  <c r="W21" i="27" s="1"/>
  <c r="W25" i="27" s="1"/>
  <c r="U17" i="9" s="1"/>
  <c r="U16" i="45" s="1" a="1"/>
  <c r="U16" i="45" s="1"/>
  <c r="AA69" i="48"/>
  <c r="AA13" i="48" s="1"/>
  <c r="Z13" i="48"/>
  <c r="V44" i="45"/>
  <c r="V42" i="45"/>
  <c r="V21" i="45" a="1"/>
  <c r="V21" i="45" s="1"/>
  <c r="V51" i="45" s="1"/>
  <c r="V53" i="9"/>
  <c r="X10" i="27"/>
  <c r="X11" i="28"/>
  <c r="X16" i="28" s="1"/>
  <c r="X20" i="28" s="1"/>
  <c r="S26" i="28"/>
  <c r="S28" i="28" s="1"/>
  <c r="S24" i="28"/>
  <c r="Q43" i="9"/>
  <c r="Q45" i="9" s="1"/>
  <c r="Q47" i="9" s="1"/>
  <c r="Q48" i="9" s="1"/>
  <c r="S18" i="45" a="1"/>
  <c r="S18" i="45" s="1"/>
  <c r="S23" i="45" s="1"/>
  <c r="S25" i="45" s="1"/>
  <c r="S26" i="9"/>
  <c r="S28" i="9" s="1"/>
  <c r="S50" i="45" l="1"/>
  <c r="S52" i="45" s="1"/>
  <c r="S29" i="45"/>
  <c r="S37" i="45"/>
  <c r="S39" i="45"/>
  <c r="S40" i="45" s="1"/>
  <c r="U22" i="28"/>
  <c r="S32" i="9"/>
  <c r="U27" i="27"/>
  <c r="U29" i="27" s="1"/>
  <c r="U31" i="27" s="1"/>
  <c r="S39" i="9"/>
  <c r="S41" i="9"/>
  <c r="S42" i="9" s="1"/>
  <c r="S52" i="9"/>
  <c r="S54" i="9" s="1"/>
  <c r="W42" i="45"/>
  <c r="W44" i="45"/>
  <c r="U19" i="9"/>
  <c r="U14" i="45" a="1"/>
  <c r="U14" i="45" s="1"/>
  <c r="X8" i="27"/>
  <c r="X12" i="27" s="1"/>
  <c r="X17" i="27" s="1"/>
  <c r="X21" i="27" s="1"/>
  <c r="X25" i="27" s="1"/>
  <c r="V17" i="9" s="1"/>
  <c r="V16" i="45" s="1" a="1"/>
  <c r="V16" i="45" s="1"/>
  <c r="V15" i="9"/>
  <c r="R41" i="45"/>
  <c r="R43" i="45" s="1"/>
  <c r="R45" i="45" s="1"/>
  <c r="R46" i="45" s="1"/>
  <c r="X20" i="45" a="1"/>
  <c r="X20" i="45" s="1"/>
  <c r="X44" i="9"/>
  <c r="X24" i="9"/>
  <c r="Z9" i="28"/>
  <c r="X46" i="9"/>
  <c r="R43" i="9"/>
  <c r="R45" i="9" s="1"/>
  <c r="R47" i="9" s="1"/>
  <c r="R48" i="9" s="1"/>
  <c r="AA71" i="48"/>
  <c r="AA12" i="48" s="1"/>
  <c r="AA16" i="48" s="1"/>
  <c r="Z23" i="9" s="1"/>
  <c r="Z12" i="48"/>
  <c r="Z16" i="48" s="1"/>
  <c r="Y23" i="9" s="1"/>
  <c r="T26" i="9"/>
  <c r="T28" i="9" s="1"/>
  <c r="T18" i="45" a="1"/>
  <c r="T18" i="45" s="1"/>
  <c r="T23" i="45" s="1"/>
  <c r="T25" i="45" s="1"/>
  <c r="T24" i="28"/>
  <c r="T26" i="28"/>
  <c r="T28" i="28" s="1"/>
  <c r="Y10" i="27"/>
  <c r="Y11" i="28"/>
  <c r="Y16" i="28" s="1"/>
  <c r="Y20" i="28" s="1"/>
  <c r="W21" i="45" a="1"/>
  <c r="W21" i="45" s="1"/>
  <c r="W51" i="45" s="1"/>
  <c r="W53" i="9"/>
  <c r="X21" i="45" l="1" a="1"/>
  <c r="X21" i="45" s="1"/>
  <c r="X51" i="45" s="1"/>
  <c r="X53" i="9"/>
  <c r="W15" i="9"/>
  <c r="Y8" i="27"/>
  <c r="Y12" i="27" s="1"/>
  <c r="Y17" i="27" s="1"/>
  <c r="Y21" i="27" s="1"/>
  <c r="Y25" i="27" s="1"/>
  <c r="W17" i="9" s="1"/>
  <c r="W16" i="45" s="1" a="1"/>
  <c r="W16" i="45" s="1"/>
  <c r="X44" i="45"/>
  <c r="X42" i="45"/>
  <c r="U26" i="28"/>
  <c r="U28" i="28" s="1"/>
  <c r="U24" i="28"/>
  <c r="V14" i="45" a="1"/>
  <c r="V14" i="45" s="1"/>
  <c r="V19" i="9"/>
  <c r="T39" i="45"/>
  <c r="T40" i="45" s="1"/>
  <c r="T50" i="45"/>
  <c r="T52" i="45" s="1"/>
  <c r="T37" i="45"/>
  <c r="T29" i="45"/>
  <c r="S41" i="45"/>
  <c r="S43" i="45" s="1"/>
  <c r="S45" i="45" s="1"/>
  <c r="S46" i="45" s="1"/>
  <c r="Z10" i="27"/>
  <c r="Z11" i="28"/>
  <c r="Z16" i="28" s="1"/>
  <c r="Z20" i="28" s="1"/>
  <c r="V22" i="28"/>
  <c r="T32" i="9"/>
  <c r="T39" i="9"/>
  <c r="T41" i="9"/>
  <c r="T42" i="9" s="1"/>
  <c r="T52" i="9"/>
  <c r="T54" i="9" s="1"/>
  <c r="V27" i="27"/>
  <c r="V29" i="27" s="1"/>
  <c r="V31" i="27" s="1"/>
  <c r="Z20" i="45" a="1"/>
  <c r="Z20" i="45" s="1"/>
  <c r="Z46" i="9"/>
  <c r="AB9" i="28"/>
  <c r="Z44" i="9"/>
  <c r="Z24" i="9"/>
  <c r="S43" i="9"/>
  <c r="S45" i="9" s="1"/>
  <c r="S47" i="9" s="1"/>
  <c r="S48" i="9" s="1"/>
  <c r="Y20" i="45" a="1"/>
  <c r="Y20" i="45" s="1"/>
  <c r="Y46" i="9"/>
  <c r="Y24" i="9"/>
  <c r="AA9" i="28"/>
  <c r="Y44" i="9"/>
  <c r="U18" i="45" a="1"/>
  <c r="U18" i="45" s="1"/>
  <c r="U23" i="45" s="1"/>
  <c r="U25" i="45" s="1"/>
  <c r="U26" i="9"/>
  <c r="U28" i="9" s="1"/>
  <c r="Z44" i="45" l="1"/>
  <c r="Z42" i="45"/>
  <c r="V24" i="28"/>
  <c r="V26" i="28"/>
  <c r="V28" i="28" s="1"/>
  <c r="V18" i="45" a="1"/>
  <c r="V18" i="45" s="1"/>
  <c r="V23" i="45" s="1"/>
  <c r="V25" i="45" s="1"/>
  <c r="V26" i="9"/>
  <c r="V28" i="9" s="1"/>
  <c r="Z8" i="27"/>
  <c r="Z12" i="27" s="1"/>
  <c r="Z17" i="27" s="1"/>
  <c r="Z21" i="27" s="1"/>
  <c r="Z25" i="27" s="1"/>
  <c r="X17" i="9" s="1"/>
  <c r="X16" i="45" s="1" a="1"/>
  <c r="X16" i="45" s="1"/>
  <c r="X15" i="9"/>
  <c r="Z21" i="45" a="1"/>
  <c r="Z21" i="45" s="1"/>
  <c r="Z51" i="45" s="1"/>
  <c r="Z53" i="9"/>
  <c r="U32" i="9"/>
  <c r="U41" i="9"/>
  <c r="U42" i="9" s="1"/>
  <c r="U52" i="9"/>
  <c r="U54" i="9" s="1"/>
  <c r="U39" i="9"/>
  <c r="W22" i="28"/>
  <c r="W27" i="27"/>
  <c r="W29" i="27" s="1"/>
  <c r="W31" i="27" s="1"/>
  <c r="AA11" i="28"/>
  <c r="AA16" i="28" s="1"/>
  <c r="AA20" i="28" s="1"/>
  <c r="AA10" i="27"/>
  <c r="T43" i="9"/>
  <c r="T45" i="9" s="1"/>
  <c r="T47" i="9" s="1"/>
  <c r="T48" i="9" s="1"/>
  <c r="AB10" i="27"/>
  <c r="AB11" i="28"/>
  <c r="AB16" i="28" s="1"/>
  <c r="AB20" i="28" s="1"/>
  <c r="U50" i="45"/>
  <c r="U52" i="45" s="1"/>
  <c r="U29" i="45"/>
  <c r="U39" i="45"/>
  <c r="U40" i="45" s="1"/>
  <c r="U37" i="45"/>
  <c r="Y21" i="45" a="1"/>
  <c r="Y21" i="45" s="1"/>
  <c r="Y51" i="45" s="1"/>
  <c r="Y53" i="9"/>
  <c r="Y44" i="45"/>
  <c r="Y42" i="45"/>
  <c r="W19" i="9"/>
  <c r="W14" i="45" a="1"/>
  <c r="W14" i="45" s="1"/>
  <c r="T41" i="45"/>
  <c r="T43" i="45" s="1"/>
  <c r="T45" i="45" s="1"/>
  <c r="T46" i="45" s="1"/>
  <c r="Z15" i="9" l="1"/>
  <c r="AB8" i="27"/>
  <c r="AB12" i="27" s="1"/>
  <c r="AB17" i="27" s="1"/>
  <c r="AB21" i="27" s="1"/>
  <c r="AB25" i="27" s="1"/>
  <c r="Z17" i="9" s="1"/>
  <c r="Z16" i="45" s="1" a="1"/>
  <c r="Z16" i="45" s="1"/>
  <c r="X19" i="9"/>
  <c r="X14" i="45" a="1"/>
  <c r="X14" i="45" s="1"/>
  <c r="W18" i="45" a="1"/>
  <c r="W18" i="45" s="1"/>
  <c r="W23" i="45" s="1"/>
  <c r="W25" i="45" s="1"/>
  <c r="W26" i="9"/>
  <c r="W28" i="9" s="1"/>
  <c r="X27" i="27"/>
  <c r="X29" i="27" s="1"/>
  <c r="X31" i="27" s="1"/>
  <c r="V32" i="9"/>
  <c r="X22" i="28"/>
  <c r="V52" i="9"/>
  <c r="V54" i="9" s="1"/>
  <c r="V41" i="9"/>
  <c r="V42" i="9" s="1"/>
  <c r="V39" i="9"/>
  <c r="Y15" i="9"/>
  <c r="AA8" i="27"/>
  <c r="AA12" i="27" s="1"/>
  <c r="AA17" i="27" s="1"/>
  <c r="AA21" i="27" s="1"/>
  <c r="AA25" i="27" s="1"/>
  <c r="Y17" i="9" s="1"/>
  <c r="Y16" i="45" s="1" a="1"/>
  <c r="Y16" i="45" s="1"/>
  <c r="V29" i="45"/>
  <c r="V39" i="45"/>
  <c r="V40" i="45" s="1"/>
  <c r="V50" i="45"/>
  <c r="V52" i="45" s="1"/>
  <c r="V37" i="45"/>
  <c r="W24" i="28"/>
  <c r="W26" i="28"/>
  <c r="W28" i="28" s="1"/>
  <c r="U43" i="9"/>
  <c r="U45" i="9" s="1"/>
  <c r="U47" i="9" s="1"/>
  <c r="U48" i="9" s="1"/>
  <c r="U41" i="45"/>
  <c r="U43" i="45" s="1"/>
  <c r="U45" i="45" s="1"/>
  <c r="U46" i="45" s="1"/>
  <c r="X26" i="28" l="1"/>
  <c r="X28" i="28" s="1"/>
  <c r="X24" i="28"/>
  <c r="V43" i="9"/>
  <c r="V45" i="9" s="1"/>
  <c r="V47" i="9" s="1"/>
  <c r="V48" i="9" s="1"/>
  <c r="V41" i="45"/>
  <c r="V43" i="45" s="1"/>
  <c r="V45" i="45" s="1"/>
  <c r="V46" i="45" s="1"/>
  <c r="Y22" i="28"/>
  <c r="W41" i="9"/>
  <c r="W42" i="9" s="1"/>
  <c r="Y27" i="27"/>
  <c r="Y29" i="27" s="1"/>
  <c r="Y31" i="27" s="1"/>
  <c r="W32" i="9"/>
  <c r="W39" i="9"/>
  <c r="W43" i="9" s="1"/>
  <c r="W45" i="9" s="1"/>
  <c r="W47" i="9" s="1"/>
  <c r="W48" i="9" s="1"/>
  <c r="W52" i="9"/>
  <c r="W54" i="9" s="1"/>
  <c r="W50" i="45"/>
  <c r="W52" i="45" s="1"/>
  <c r="W37" i="45"/>
  <c r="W29" i="45"/>
  <c r="W39" i="45"/>
  <c r="W40" i="45" s="1"/>
  <c r="X18" i="45" a="1"/>
  <c r="X18" i="45" s="1"/>
  <c r="X23" i="45" s="1"/>
  <c r="X25" i="45" s="1"/>
  <c r="X26" i="9"/>
  <c r="X28" i="9" s="1"/>
  <c r="Y19" i="9"/>
  <c r="Y14" i="45" a="1"/>
  <c r="Y14" i="45" s="1"/>
  <c r="Z14" i="45" a="1"/>
  <c r="Z14" i="45" s="1"/>
  <c r="Z19" i="9"/>
  <c r="W41" i="45" l="1"/>
  <c r="W43" i="45" s="1"/>
  <c r="W45" i="45" s="1"/>
  <c r="W46" i="45" s="1"/>
  <c r="Z26" i="9"/>
  <c r="Z28" i="9" s="1"/>
  <c r="Z18" i="45" a="1"/>
  <c r="Z18" i="45" s="1"/>
  <c r="Z23" i="45" s="1"/>
  <c r="Z25" i="45" s="1"/>
  <c r="Y18" i="45" a="1"/>
  <c r="Y18" i="45" s="1"/>
  <c r="Y23" i="45" s="1"/>
  <c r="Y25" i="45" s="1"/>
  <c r="Y26" i="9"/>
  <c r="Y28" i="9" s="1"/>
  <c r="X39" i="45"/>
  <c r="X40" i="45" s="1"/>
  <c r="X50" i="45"/>
  <c r="X52" i="45" s="1"/>
  <c r="X37" i="45"/>
  <c r="X41" i="45" s="1"/>
  <c r="X43" i="45" s="1"/>
  <c r="X45" i="45" s="1"/>
  <c r="X46" i="45" s="1"/>
  <c r="X29" i="45"/>
  <c r="Y26" i="28"/>
  <c r="Y28" i="28" s="1"/>
  <c r="Y24" i="28"/>
  <c r="Z22" i="28"/>
  <c r="X39" i="9"/>
  <c r="X41" i="9"/>
  <c r="X42" i="9" s="1"/>
  <c r="X52" i="9"/>
  <c r="X54" i="9" s="1"/>
  <c r="Z27" i="27"/>
  <c r="Z29" i="27" s="1"/>
  <c r="Z31" i="27" s="1"/>
  <c r="X32" i="9"/>
  <c r="X43" i="9" l="1"/>
  <c r="X45" i="9" s="1"/>
  <c r="X47" i="9" s="1"/>
  <c r="X48" i="9" s="1"/>
  <c r="Z24" i="28"/>
  <c r="Z26" i="28"/>
  <c r="Z28" i="28" s="1"/>
  <c r="Y32" i="9"/>
  <c r="Y52" i="9"/>
  <c r="Y54" i="9" s="1"/>
  <c r="Y39" i="9"/>
  <c r="AA22" i="28"/>
  <c r="Y41" i="9"/>
  <c r="Y42" i="9" s="1"/>
  <c r="AA27" i="27"/>
  <c r="AA29" i="27" s="1"/>
  <c r="AA31" i="27" s="1"/>
  <c r="Y37" i="45"/>
  <c r="Y50" i="45"/>
  <c r="Y52" i="45" s="1"/>
  <c r="Y29" i="45"/>
  <c r="Y39" i="45"/>
  <c r="Y40" i="45" s="1"/>
  <c r="Z29" i="45"/>
  <c r="Z50" i="45"/>
  <c r="Z52" i="45" s="1"/>
  <c r="Z37" i="45"/>
  <c r="Z39" i="45"/>
  <c r="Z40" i="45" s="1"/>
  <c r="Z52" i="9"/>
  <c r="Z54" i="9" s="1"/>
  <c r="Z41" i="9"/>
  <c r="Z42" i="9" s="1"/>
  <c r="Z32" i="9"/>
  <c r="Z39" i="9"/>
  <c r="Z43" i="9" s="1"/>
  <c r="Z45" i="9" s="1"/>
  <c r="Z47" i="9" s="1"/>
  <c r="Z48" i="9" s="1"/>
  <c r="AB27" i="27"/>
  <c r="AB29" i="27" s="1"/>
  <c r="AB31" i="27" s="1"/>
  <c r="AB22" i="28"/>
  <c r="AA26" i="28" l="1"/>
  <c r="AA28" i="28" s="1"/>
  <c r="AA24" i="28"/>
  <c r="Z41" i="45"/>
  <c r="Z43" i="45" s="1"/>
  <c r="Z45" i="45" s="1"/>
  <c r="Z46" i="45" s="1"/>
  <c r="Y43" i="9"/>
  <c r="Y45" i="9" s="1"/>
  <c r="Y47" i="9" s="1"/>
  <c r="Y48" i="9" s="1"/>
  <c r="AB24" i="28"/>
  <c r="AB26" i="28"/>
  <c r="AB28" i="28" s="1"/>
  <c r="Y41" i="45"/>
  <c r="Y43" i="45" s="1"/>
  <c r="Y45" i="45" s="1"/>
  <c r="Y46" i="4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<sst xmlns="http://schemas.openxmlformats.org/spreadsheetml/2006/main" count="423" uniqueCount="279">
  <si>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</si>
  <si>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</si>
  <si>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</si>
  <si>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</si>
  <si>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</si>
  <si>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</si>
  <si>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</si>
  <si>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</si>
  <si>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</si>
  <si>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</si>
  <si>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</si>
  <si>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</si>
  <si>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</si>
  <si>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</si>
  <si>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</si>
  <si>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</si>
  <si>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</si>
  <si>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</si>
  <si>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</si>
  <si>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</si>
  <si>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</si>
  <si>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</si>
  <si>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</si>
  <si>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</si>
  <si>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</si>
  <si>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</si>
  <si>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</si>
  <si>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</si>
  <si>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</si>
  <si>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</si>
  <si>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</si>
  <si>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</si>
  <si>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</si>
  <si>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</si>
  <si>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</si>
  <si>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</si>
  <si>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</si>
  <si>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</si>
  <si>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</si>
  <si>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</si>
  <si>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</si>
  <si>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</si>
  <si>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</si>
  <si>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</si>
  <si>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</si>
  <si>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</si>
  <si>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</si>
  <si>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</si>
  <si>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</si>
  <si>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</si>
  <si>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</si>
  <si>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</si>
  <si>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</si>
  <si>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</si>
  <si>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</si>
  <si>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</si>
  <si>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</si>
  <si>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</si>
  <si>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</si>
  <si>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</si>
  <si>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</si>
  <si>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</si>
  <si>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</si>
  <si>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</si>
  <si>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</si>
  <si>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</si>
  <si>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</si>
  <si>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</si>
  <si>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</si>
  <si>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</si>
  <si>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</si>
  <si>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</si>
  <si>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</si>
  <si>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</si>
  <si>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</si>
  <si>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</si>
  <si>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</si>
  <si>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</si>
  <si>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</si>
  <si>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</si>
  <si>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</si>
  <si>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</si>
  <si>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</si>
  <si>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</si>
  <si>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</si>
  <si>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</si>
  <si>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</si>
  <si>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</si>
  <si>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</si>
  <si>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</si>
  <si>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</si>
  <si>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</si>
  <si>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</si>
  <si>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</si>
  <si>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</si>
  <si>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</si>
  <si>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</si>
  <si>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</si>
  <si>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</si>
  <si>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</si>
  <si>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</si>
  <si>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</si>
  <si>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</si>
  <si>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</si>
  <si>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</si>
  <si>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</si>
  <si>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</si>
  <si>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</si>
  <si>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</si>
  <si>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</si>
  <si>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</si>
  <si>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</si>
  <si>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</si>
  <si>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</si>
  <si>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</si>
  <si>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</si>
  <si>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</si>
  <si>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</si>
  <si>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</si>
  <si>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</si>
  <si>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</si>
  <si>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</si>
  <si>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</si>
  <si>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</si>
  <si>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</si>
  <si>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</si>
  <si>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</si>
  <si>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</si>
  <si>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</si>
  <si>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</si>
  <si>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</si>
  <si>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</si>
  <si>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</si>
  <si>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</si>
  <si>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</si>
  <si>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</si>
  <si>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</si>
  <si>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</si>
  <si>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</si>
  <si>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</si>
  <si>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</si>
  <si>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</si>
  <si>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</si>
  <si>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</si>
  <si>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</si>
  <si>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</si>
  <si>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</si>
  <si>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</si>
  <si>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</si>
  <si>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</si>
  <si>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</si>
  <si>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</si>
  <si>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</si>
  <si>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</si>
  <si>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</si>
  <si>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</si>
  <si>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</si>
  <si>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</si>
  <si>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</si>
  <si>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</si>
  <si>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</si>
  <si>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</si>
  <si>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</si>
  <si>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</si>
  <si>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</si>
  <si>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</si>
  <si>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</si>
  <si>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</si>
  <si>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</si>
  <si>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</si>
  <si>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</si>
  <si>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</si>
  <si>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</si>
  <si>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</si>
  <si>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</si>
  <si>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</si>
  <si>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</si>
  <si>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</si>
  <si>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</si>
  <si>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</si>
  <si>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</si>
  <si>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</si>
  <si>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</si>
  <si>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</si>
  <si>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</si>
  <si>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</si>
  <si>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</si>
  <si>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</si>
  <si>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</si>
  <si>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</si>
  <si>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</si>
  <si>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</si>
  <si>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</si>
  <si>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</si>
  <si>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</si>
  <si>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</si>
  <si>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</si>
  <si>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</si>
  <si>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</si>
  <si>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</si>
  <si>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</si>
  <si>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</si>
  <si>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</si>
  <si>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</si>
  <si>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</si>
  <si>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</si>
  <si>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</si>
  <si>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</si>
  <si>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</si>
  <si>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</si>
  <si>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</si>
  <si>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</si>
  <si>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</si>
  <si>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</si>
  <si>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</si>
  <si>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</si>
  <si>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</si>
  <si>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</si>
  <si>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</si>
  <si>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</si>
  <si>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</si>
  <si>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</si>
  <si>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</si>
  <si>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</si>
  <si>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</si>
  <si>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</si>
  <si>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</si>
  <si>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</si>
  <si>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</si>
  <si>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</si>
  <si>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</si>
  <si>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</si>
  <si>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</si>
  <si>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</si>
  <si>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</si>
  <si>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</si>
  <si>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</si>
  <si>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</si>
  <si>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</si>
  <si>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</si>
  <si>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</si>
  <si>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</si>
  <si>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</si>
  <si>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</si>
  <si>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</si>
  <si>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</si>
  <si>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</si>
  <si>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Year 22</t>
  </si>
  <si>
    <t>Year 23</t>
  </si>
  <si>
    <t>Year 24</t>
  </si>
  <si>
    <t>Year 25</t>
  </si>
  <si>
    <t>Net Revenue Requirement</t>
  </si>
  <si>
    <t>Regulated Generation Cost of Service</t>
  </si>
  <si>
    <t>WV B&amp;O Tax</t>
  </si>
  <si>
    <t>Coal</t>
  </si>
  <si>
    <t>Mitchell Rate Base Calucations</t>
  </si>
  <si>
    <t>Option</t>
  </si>
  <si>
    <t>Interconnection Costs</t>
  </si>
  <si>
    <t>Option 3: New Mechanical Draft Cooling Tower</t>
  </si>
  <si>
    <t>Total Present Value Rev Requirement 10 Yr</t>
  </si>
  <si>
    <t>Avg Revenue Rrequirement 10 Yr</t>
  </si>
  <si>
    <t>Wheeling Share</t>
  </si>
  <si>
    <t>Kentucky Share</t>
  </si>
  <si>
    <t>Project Allocation Factor</t>
  </si>
  <si>
    <t>Total Project</t>
  </si>
  <si>
    <t>Pretaxx WACC</t>
  </si>
  <si>
    <t>Property Tax</t>
  </si>
  <si>
    <t>Property Tax Expense</t>
  </si>
  <si>
    <t>Net Revenue Requirement No Property Taxes</t>
  </si>
  <si>
    <t>Remove AFUDC</t>
  </si>
  <si>
    <t>Net Total</t>
  </si>
  <si>
    <t>Return on CWIP</t>
  </si>
  <si>
    <t>Return on CWIP 50% Share</t>
  </si>
  <si>
    <t>TEST YEAR ENDED MAY 31, 2025</t>
  </si>
  <si>
    <t>Net Capital Spend</t>
  </si>
  <si>
    <t>Tax Basis Adjusment</t>
  </si>
  <si>
    <t>Grant Taxable Income</t>
  </si>
  <si>
    <t>Grant Deprciation</t>
  </si>
  <si>
    <t>Awarded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</si>
</sst>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2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0" fillId="0" borderId="0"/>
    <xf numFmtId="180" fontId="30" fillId="0" borderId="0" applyFont="0" applyFill="0" applyBorder="0" applyAlignment="0" applyProtection="0"/>
    <xf numFmtId="0" fontId="66" fillId="0" borderId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6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6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6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184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6" fontId="30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9" fillId="0" borderId="0"/>
    <xf numFmtId="187" fontId="30" fillId="0" borderId="0" applyFont="0" applyFill="0" applyBorder="0" applyAlignment="0" applyProtection="0"/>
    <xf numFmtId="0" fontId="70" fillId="0" borderId="0"/>
    <xf numFmtId="0" fontId="71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1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71" fillId="0" borderId="0"/>
    <xf numFmtId="0" fontId="71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69" fillId="0" borderId="0"/>
    <xf numFmtId="0" fontId="69" fillId="0" borderId="0"/>
    <xf numFmtId="0" fontId="70" fillId="0" borderId="0"/>
    <xf numFmtId="0" fontId="69" fillId="0" borderId="0"/>
    <xf numFmtId="0" fontId="70" fillId="0" borderId="0"/>
    <xf numFmtId="0" fontId="70" fillId="0" borderId="0"/>
    <xf numFmtId="0" fontId="70" fillId="0" borderId="0"/>
    <xf numFmtId="0" fontId="68" fillId="0" borderId="0"/>
    <xf numFmtId="0" fontId="71" fillId="0" borderId="0"/>
    <xf numFmtId="0" fontId="68" fillId="0" borderId="0"/>
    <xf numFmtId="188" fontId="30" fillId="0" borderId="0" applyFont="0" applyFill="0" applyBorder="0" applyAlignment="0" applyProtection="0"/>
    <xf numFmtId="0" fontId="68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8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69" fillId="0" borderId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0" fontId="70" fillId="0" borderId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0" fontId="69" fillId="0" borderId="0"/>
    <xf numFmtId="0" fontId="44" fillId="0" borderId="0"/>
    <xf numFmtId="0" fontId="69" fillId="0" borderId="0"/>
    <xf numFmtId="0" fontId="30" fillId="0" borderId="0"/>
    <xf numFmtId="181" fontId="30" fillId="0" borderId="0" applyFont="0" applyFill="0" applyBorder="0" applyAlignment="0" applyProtection="0"/>
    <xf numFmtId="0" fontId="30" fillId="0" borderId="0"/>
    <xf numFmtId="181" fontId="30" fillId="0" borderId="0" applyFont="0" applyFill="0" applyBorder="0" applyAlignment="0" applyProtection="0"/>
    <xf numFmtId="0" fontId="30" fillId="0" borderId="0"/>
    <xf numFmtId="0" fontId="30" fillId="0" borderId="0"/>
    <xf numFmtId="181" fontId="30" fillId="0" borderId="0" applyFont="0" applyFill="0" applyBorder="0" applyAlignment="0" applyProtection="0"/>
    <xf numFmtId="0" fontId="68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9" fillId="0" borderId="0"/>
    <xf numFmtId="188" fontId="30" fillId="0" borderId="0" applyFont="0" applyFill="0" applyBorder="0" applyAlignment="0" applyProtection="0"/>
    <xf numFmtId="8" fontId="67" fillId="0" borderId="0" applyFont="0" applyFill="0" applyBorder="0" applyAlignment="0" applyProtection="0"/>
    <xf numFmtId="0" fontId="68" fillId="0" borderId="0"/>
    <xf numFmtId="40" fontId="67" fillId="0" borderId="0" applyFont="0" applyFill="0" applyBorder="0" applyAlignment="0" applyProtection="0"/>
    <xf numFmtId="0" fontId="68" fillId="0" borderId="0"/>
    <xf numFmtId="40" fontId="67" fillId="0" borderId="0" applyFont="0" applyFill="0" applyBorder="0" applyAlignment="0" applyProtection="0"/>
    <xf numFmtId="8" fontId="67" fillId="0" borderId="0" applyFont="0" applyFill="0" applyBorder="0" applyAlignment="0" applyProtection="0"/>
    <xf numFmtId="8" fontId="67" fillId="0" borderId="0" applyFont="0" applyFill="0" applyBorder="0" applyAlignment="0" applyProtection="0"/>
    <xf numFmtId="8" fontId="67" fillId="0" borderId="0" applyFont="0" applyFill="0" applyBorder="0" applyAlignment="0" applyProtection="0"/>
    <xf numFmtId="0" fontId="68" fillId="0" borderId="0"/>
    <xf numFmtId="40" fontId="67" fillId="0" borderId="0" applyFont="0" applyFill="0" applyBorder="0" applyAlignment="0" applyProtection="0"/>
    <xf numFmtId="0" fontId="68" fillId="0" borderId="0"/>
    <xf numFmtId="0" fontId="68" fillId="0" borderId="0"/>
    <xf numFmtId="8" fontId="67" fillId="0" borderId="0" applyFont="0" applyFill="0" applyBorder="0" applyAlignment="0" applyProtection="0"/>
    <xf numFmtId="0" fontId="69" fillId="0" borderId="0"/>
    <xf numFmtId="180" fontId="30" fillId="0" borderId="0" applyFont="0" applyFill="0" applyBorder="0" applyAlignment="0" applyProtection="0"/>
    <xf numFmtId="0" fontId="69" fillId="0" borderId="0"/>
    <xf numFmtId="180" fontId="30" fillId="0" borderId="0" applyFont="0" applyFill="0" applyBorder="0" applyAlignment="0" applyProtection="0"/>
    <xf numFmtId="0" fontId="69" fillId="0" borderId="0"/>
    <xf numFmtId="0" fontId="69" fillId="0" borderId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69" fillId="0" borderId="0"/>
    <xf numFmtId="180" fontId="30" fillId="0" borderId="0" applyFont="0" applyFill="0" applyBorder="0" applyAlignment="0" applyProtection="0"/>
    <xf numFmtId="0" fontId="71" fillId="0" borderId="0"/>
    <xf numFmtId="0" fontId="69" fillId="0" borderId="0"/>
    <xf numFmtId="0" fontId="67" fillId="0" borderId="0"/>
    <xf numFmtId="0" fontId="72" fillId="0" borderId="0"/>
    <xf numFmtId="0" fontId="73" fillId="0" borderId="0"/>
    <xf numFmtId="0" fontId="30" fillId="0" borderId="0"/>
    <xf numFmtId="0" fontId="70" fillId="0" borderId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0" fillId="0" borderId="0"/>
    <xf numFmtId="0" fontId="70" fillId="0" borderId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0" fillId="0" borderId="0"/>
    <xf numFmtId="185" fontId="30" fillId="0" borderId="0" applyFont="0" applyFill="0" applyBorder="0" applyAlignment="0" applyProtection="0"/>
    <xf numFmtId="0" fontId="70" fillId="0" borderId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7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70" fillId="0" borderId="0"/>
    <xf numFmtId="0" fontId="70" fillId="0" borderId="0"/>
    <xf numFmtId="183" fontId="30" fillId="0" borderId="0" applyFont="0" applyFill="0" applyBorder="0" applyAlignment="0" applyProtection="0"/>
    <xf numFmtId="0" fontId="70" fillId="0" borderId="0"/>
    <xf numFmtId="0" fontId="30" fillId="0" borderId="0"/>
    <xf numFmtId="0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/>
    <xf numFmtId="188" fontId="30" fillId="0" borderId="0" applyFont="0" applyFill="0" applyBorder="0" applyAlignment="0" applyProtection="0"/>
    <xf numFmtId="0" fontId="68" fillId="0" borderId="0"/>
    <xf numFmtId="187" fontId="30" fillId="0" borderId="0" applyFont="0" applyFill="0" applyBorder="0" applyAlignment="0" applyProtection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8" fillId="0" borderId="0"/>
    <xf numFmtId="0" fontId="69" fillId="0" borderId="0"/>
    <xf numFmtId="0" fontId="44" fillId="0" borderId="0"/>
    <xf numFmtId="190" fontId="30" fillId="0" borderId="0" applyFont="0" applyFill="0" applyBorder="0" applyAlignment="0" applyProtection="0"/>
    <xf numFmtId="0" fontId="44" fillId="0" borderId="0"/>
    <xf numFmtId="190" fontId="30" fillId="0" borderId="0" applyFont="0" applyFill="0" applyBorder="0" applyAlignment="0" applyProtection="0"/>
    <xf numFmtId="0" fontId="44" fillId="0" borderId="0"/>
    <xf numFmtId="0" fontId="44" fillId="0" borderId="0"/>
    <xf numFmtId="190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0" fontId="44" fillId="0" borderId="0"/>
    <xf numFmtId="0" fontId="44" fillId="0" borderId="0"/>
    <xf numFmtId="185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0" fontId="44" fillId="0" borderId="0"/>
    <xf numFmtId="185" fontId="30" fillId="0" borderId="0" applyFont="0" applyFill="0" applyBorder="0" applyAlignment="0" applyProtection="0"/>
    <xf numFmtId="0" fontId="30" fillId="0" borderId="0"/>
    <xf numFmtId="0" fontId="72" fillId="0" borderId="0"/>
    <xf numFmtId="0" fontId="70" fillId="0" borderId="0"/>
    <xf numFmtId="0" fontId="69" fillId="0" borderId="0"/>
    <xf numFmtId="191" fontId="30" fillId="0" borderId="0" applyFont="0" applyFill="0" applyBorder="0" applyAlignment="0" applyProtection="0"/>
    <xf numFmtId="0" fontId="69" fillId="0" borderId="0"/>
    <xf numFmtId="191" fontId="30" fillId="0" borderId="0" applyFont="0" applyFill="0" applyBorder="0" applyAlignment="0" applyProtection="0"/>
    <xf numFmtId="191" fontId="30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177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39" fontId="30" fillId="0" borderId="0" applyFont="0" applyFill="0" applyBorder="0" applyAlignment="0" applyProtection="0"/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93" fontId="30" fillId="0" borderId="0">
      <alignment horizontal="left" wrapText="1"/>
    </xf>
    <xf numFmtId="193" fontId="30" fillId="0" borderId="0">
      <alignment horizontal="left" wrapText="1"/>
    </xf>
    <xf numFmtId="169" fontId="30" fillId="0" borderId="0">
      <alignment horizontal="left" wrapText="1"/>
    </xf>
    <xf numFmtId="169" fontId="30" fillId="0" borderId="0">
      <alignment horizontal="left" wrapText="1"/>
    </xf>
    <xf numFmtId="194" fontId="30" fillId="0" borderId="0" applyFont="0" applyFill="0" applyBorder="0" applyAlignment="0" applyProtection="0"/>
    <xf numFmtId="195" fontId="30" fillId="0" borderId="0" applyFont="0" applyFill="0" applyBorder="0" applyAlignment="0" applyProtection="0"/>
    <xf numFmtId="196" fontId="30" fillId="0" borderId="0" applyFont="0" applyFill="0" applyBorder="0" applyAlignment="0" applyProtection="0"/>
    <xf numFmtId="197" fontId="30" fillId="0" borderId="0" applyFont="0" applyFill="0" applyBorder="0" applyAlignment="0" applyProtection="0"/>
    <xf numFmtId="0" fontId="30" fillId="0" borderId="0">
      <alignment horizontal="left" wrapText="1"/>
    </xf>
    <xf numFmtId="0" fontId="74" fillId="0" borderId="0" applyNumberFormat="0" applyFill="0" applyBorder="0" applyAlignment="0" applyProtection="0"/>
    <xf numFmtId="198" fontId="30" fillId="0" borderId="0" applyFont="0" applyFill="0" applyBorder="0" applyAlignment="0" applyProtection="0"/>
    <xf numFmtId="199" fontId="30" fillId="0" borderId="0" applyFont="0" applyFill="0" applyBorder="0" applyAlignment="0" applyProtection="0"/>
    <xf numFmtId="200" fontId="30" fillId="0" borderId="0" applyFont="0" applyFill="0" applyBorder="0" applyAlignment="0" applyProtection="0"/>
    <xf numFmtId="201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0" fontId="30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0" fontId="30" fillId="0" borderId="0"/>
    <xf numFmtId="0" fontId="30" fillId="0" borderId="0"/>
    <xf numFmtId="0" fontId="24" fillId="2" borderId="0" applyNumberFormat="0" applyBorder="0" applyAlignment="0" applyProtection="0"/>
    <xf numFmtId="0" fontId="25" fillId="3" borderId="0" applyNumberFormat="0" applyBorder="0" applyAlignment="0" applyProtection="0"/>
    <xf numFmtId="0" fontId="24" fillId="4" borderId="0" applyNumberFormat="0" applyBorder="0" applyAlignment="0" applyProtection="0"/>
    <xf numFmtId="0" fontId="25" fillId="5" borderId="0" applyNumberFormat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4" fillId="2" borderId="0" applyNumberFormat="0" applyBorder="0" applyAlignment="0" applyProtection="0"/>
    <xf numFmtId="0" fontId="25" fillId="8" borderId="0" applyNumberFormat="0" applyBorder="0" applyAlignment="0" applyProtection="0"/>
    <xf numFmtId="0" fontId="24" fillId="9" borderId="0" applyNumberFormat="0" applyBorder="0" applyAlignment="0" applyProtection="0"/>
    <xf numFmtId="0" fontId="25" fillId="9" borderId="0" applyNumberFormat="0" applyBorder="0" applyAlignment="0" applyProtection="0"/>
    <xf numFmtId="0" fontId="24" fillId="4" borderId="0" applyNumberFormat="0" applyBorder="0" applyAlignment="0" applyProtection="0"/>
    <xf numFmtId="0" fontId="25" fillId="4" borderId="0" applyNumberFormat="0" applyBorder="0" applyAlignment="0" applyProtection="0"/>
    <xf numFmtId="0" fontId="24" fillId="2" borderId="0" applyNumberFormat="0" applyBorder="0" applyAlignment="0" applyProtection="0"/>
    <xf numFmtId="0" fontId="25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1" borderId="0" applyNumberFormat="0" applyBorder="0" applyAlignment="0" applyProtection="0"/>
    <xf numFmtId="0" fontId="24" fillId="12" borderId="0" applyNumberFormat="0" applyBorder="0" applyAlignment="0" applyProtection="0"/>
    <xf numFmtId="0" fontId="25" fillId="13" borderId="0" applyNumberFormat="0" applyBorder="0" applyAlignment="0" applyProtection="0"/>
    <xf numFmtId="0" fontId="24" fillId="2" borderId="0" applyNumberFormat="0" applyBorder="0" applyAlignment="0" applyProtection="0"/>
    <xf numFmtId="0" fontId="25" fillId="8" borderId="0" applyNumberFormat="0" applyBorder="0" applyAlignment="0" applyProtection="0"/>
    <xf numFmtId="0" fontId="24" fillId="10" borderId="0" applyNumberFormat="0" applyBorder="0" applyAlignment="0" applyProtection="0"/>
    <xf numFmtId="0" fontId="25" fillId="10" borderId="0" applyNumberFormat="0" applyBorder="0" applyAlignment="0" applyProtection="0"/>
    <xf numFmtId="0" fontId="24" fillId="4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76" fillId="16" borderId="0" applyNumberFormat="0" applyBorder="0" applyAlignment="0" applyProtection="0"/>
    <xf numFmtId="0" fontId="25" fillId="11" borderId="0" applyNumberFormat="0" applyBorder="0" applyAlignment="0" applyProtection="0"/>
    <xf numFmtId="0" fontId="76" fillId="11" borderId="0" applyNumberFormat="0" applyBorder="0" applyAlignment="0" applyProtection="0"/>
    <xf numFmtId="0" fontId="25" fillId="12" borderId="0" applyNumberFormat="0" applyBorder="0" applyAlignment="0" applyProtection="0"/>
    <xf numFmtId="0" fontId="76" fillId="13" borderId="0" applyNumberFormat="0" applyBorder="0" applyAlignment="0" applyProtection="0"/>
    <xf numFmtId="0" fontId="25" fillId="17" borderId="0" applyNumberFormat="0" applyBorder="0" applyAlignment="0" applyProtection="0"/>
    <xf numFmtId="0" fontId="76" fillId="18" borderId="0" applyNumberFormat="0" applyBorder="0" applyAlignment="0" applyProtection="0"/>
    <xf numFmtId="0" fontId="25" fillId="15" borderId="0" applyNumberFormat="0" applyBorder="0" applyAlignment="0" applyProtection="0"/>
    <xf numFmtId="0" fontId="76" fillId="15" borderId="0" applyNumberFormat="0" applyBorder="0" applyAlignment="0" applyProtection="0"/>
    <xf numFmtId="0" fontId="25" fillId="4" borderId="0" applyNumberFormat="0" applyBorder="0" applyAlignment="0" applyProtection="0"/>
    <xf numFmtId="0" fontId="76" fillId="19" borderId="0" applyNumberFormat="0" applyBorder="0" applyAlignment="0" applyProtection="0"/>
    <xf numFmtId="0" fontId="27" fillId="0" borderId="0"/>
    <xf numFmtId="0" fontId="25" fillId="15" borderId="0" applyNumberFormat="0" applyBorder="0" applyAlignment="0" applyProtection="0"/>
    <xf numFmtId="0" fontId="76" fillId="20" borderId="0" applyNumberFormat="0" applyBorder="0" applyAlignment="0" applyProtection="0"/>
    <xf numFmtId="0" fontId="25" fillId="21" borderId="0" applyNumberFormat="0" applyBorder="0" applyAlignment="0" applyProtection="0"/>
    <xf numFmtId="0" fontId="76" fillId="22" borderId="0" applyNumberFormat="0" applyBorder="0" applyAlignment="0" applyProtection="0"/>
    <xf numFmtId="0" fontId="25" fillId="23" borderId="0" applyNumberFormat="0" applyBorder="0" applyAlignment="0" applyProtection="0"/>
    <xf numFmtId="0" fontId="76" fillId="23" borderId="0" applyNumberFormat="0" applyBorder="0" applyAlignment="0" applyProtection="0"/>
    <xf numFmtId="0" fontId="25" fillId="24" borderId="0" applyNumberFormat="0" applyBorder="0" applyAlignment="0" applyProtection="0"/>
    <xf numFmtId="0" fontId="76" fillId="18" borderId="0" applyNumberFormat="0" applyBorder="0" applyAlignment="0" applyProtection="0"/>
    <xf numFmtId="0" fontId="25" fillId="15" borderId="0" applyNumberFormat="0" applyBorder="0" applyAlignment="0" applyProtection="0"/>
    <xf numFmtId="0" fontId="76" fillId="15" borderId="0" applyNumberFormat="0" applyBorder="0" applyAlignment="0" applyProtection="0"/>
    <xf numFmtId="0" fontId="25" fillId="21" borderId="0" applyNumberFormat="0" applyBorder="0" applyAlignment="0" applyProtection="0"/>
    <xf numFmtId="0" fontId="76" fillId="21" borderId="0" applyNumberFormat="0" applyBorder="0" applyAlignment="0" applyProtection="0"/>
    <xf numFmtId="202" fontId="30" fillId="25" borderId="1">
      <alignment horizontal="center" vertical="center"/>
    </xf>
    <xf numFmtId="203" fontId="77" fillId="0" borderId="0" applyNumberFormat="0" applyFill="0" applyBorder="0" applyAlignment="0">
      <alignment vertical="top"/>
      <protection locked="0"/>
    </xf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37" fontId="49" fillId="0" borderId="0" applyFill="0" applyBorder="0" applyProtection="0"/>
    <xf numFmtId="0" fontId="78" fillId="0" borderId="0"/>
    <xf numFmtId="0" fontId="79" fillId="0" borderId="2" applyNumberFormat="0" applyFont="0" applyFill="0" applyAlignment="0" applyProtection="0"/>
    <xf numFmtId="0" fontId="79" fillId="0" borderId="3" applyNumberFormat="0" applyFont="0" applyFill="0" applyAlignment="0" applyProtection="0"/>
    <xf numFmtId="170" fontId="27" fillId="0" borderId="0" applyNumberFormat="0" applyFont="0" applyAlignment="0" applyProtection="0"/>
    <xf numFmtId="0" fontId="28" fillId="2" borderId="4" applyNumberFormat="0" applyAlignment="0" applyProtection="0"/>
    <xf numFmtId="0" fontId="28" fillId="26" borderId="4" applyNumberFormat="0" applyAlignment="0" applyProtection="0"/>
    <xf numFmtId="0" fontId="44" fillId="0" borderId="0">
      <alignment horizontal="centerContinuous"/>
    </xf>
    <xf numFmtId="0" fontId="29" fillId="27" borderId="5" applyNumberFormat="0" applyAlignment="0" applyProtection="0"/>
    <xf numFmtId="0" fontId="80" fillId="27" borderId="5" applyNumberFormat="0" applyAlignment="0" applyProtection="0"/>
    <xf numFmtId="43" fontId="18" fillId="0" borderId="0" applyFont="0" applyFill="0" applyBorder="0" applyAlignment="0" applyProtection="0"/>
    <xf numFmtId="204" fontId="41" fillId="0" borderId="0" applyFont="0" applyFill="0" applyBorder="0" applyAlignment="0" applyProtection="0">
      <alignment horizontal="right"/>
    </xf>
    <xf numFmtId="39" fontId="75" fillId="0" borderId="0"/>
    <xf numFmtId="37" fontId="75" fillId="0" borderId="0"/>
    <xf numFmtId="0" fontId="81" fillId="0" borderId="0" applyFont="0" applyFill="0" applyBorder="0" applyAlignment="0" applyProtection="0">
      <alignment horizontal="right"/>
    </xf>
    <xf numFmtId="0" fontId="8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3" fontId="31" fillId="0" borderId="0" applyFont="0" applyFill="0" applyBorder="0" applyAlignment="0" applyProtection="0"/>
    <xf numFmtId="0" fontId="32" fillId="0" borderId="0"/>
    <xf numFmtId="172" fontId="30" fillId="0" borderId="0" applyFont="0" applyFill="0" applyBorder="0" applyAlignment="0" applyProtection="0"/>
    <xf numFmtId="205" fontId="82" fillId="0" borderId="0">
      <alignment horizontal="center"/>
    </xf>
    <xf numFmtId="44" fontId="18" fillId="0" borderId="0" applyFont="0" applyFill="0" applyBorder="0" applyAlignment="0" applyProtection="0"/>
    <xf numFmtId="178" fontId="19" fillId="0" borderId="0" applyFont="0" applyFill="0" applyBorder="0" applyAlignment="0"/>
    <xf numFmtId="8" fontId="30" fillId="0" borderId="0" applyFont="0" applyFill="0" applyBorder="0" applyAlignment="0"/>
    <xf numFmtId="37" fontId="75" fillId="0" borderId="0" applyFont="0" applyFill="0" applyBorder="0" applyAlignment="0" applyProtection="0"/>
    <xf numFmtId="0" fontId="81" fillId="0" borderId="0" applyFont="0" applyFill="0" applyBorder="0" applyAlignment="0" applyProtection="0">
      <alignment horizontal="right"/>
    </xf>
    <xf numFmtId="0" fontId="81" fillId="0" borderId="0" applyFont="0" applyFill="0" applyBorder="0" applyAlignment="0" applyProtection="0">
      <alignment horizontal="right"/>
    </xf>
    <xf numFmtId="44" fontId="30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83" fillId="0" borderId="0" applyNumberFormat="0" applyFill="0" applyBorder="0"/>
    <xf numFmtId="0" fontId="31" fillId="0" borderId="0" applyFont="0" applyFill="0" applyBorder="0" applyAlignment="0" applyProtection="0"/>
    <xf numFmtId="207" fontId="85" fillId="28" borderId="6" applyFont="0" applyFill="0" applyBorder="0" applyAlignment="0" applyProtection="0"/>
    <xf numFmtId="208" fontId="19" fillId="28" borderId="0" applyFont="0" applyFill="0" applyBorder="0" applyAlignment="0" applyProtection="0"/>
    <xf numFmtId="209" fontId="58" fillId="0" borderId="7"/>
    <xf numFmtId="0" fontId="81" fillId="0" borderId="0" applyFont="0" applyFill="0" applyBorder="0" applyAlignment="0" applyProtection="0"/>
    <xf numFmtId="210" fontId="30" fillId="0" borderId="0" applyFont="0" applyFill="0" applyBorder="0" applyAlignment="0" applyProtection="0"/>
    <xf numFmtId="207" fontId="58" fillId="0" borderId="0" applyFill="0" applyBorder="0">
      <alignment horizontal="right"/>
    </xf>
    <xf numFmtId="211" fontId="30" fillId="0" borderId="0" applyFont="0" applyFill="0" applyBorder="0" applyAlignment="0" applyProtection="0">
      <alignment vertical="top"/>
    </xf>
    <xf numFmtId="212" fontId="50" fillId="0" borderId="0" applyFont="0" applyFill="0" applyBorder="0" applyAlignment="0" applyProtection="0"/>
    <xf numFmtId="213" fontId="30" fillId="0" borderId="0" applyFont="0" applyFill="0" applyBorder="0" applyAlignment="0" applyProtection="0">
      <alignment horizontal="right"/>
    </xf>
    <xf numFmtId="40" fontId="86" fillId="0" borderId="0"/>
    <xf numFmtId="214" fontId="30" fillId="0" borderId="0" applyFont="0" applyFill="0" applyBorder="0" applyAlignment="0" applyProtection="0"/>
    <xf numFmtId="215" fontId="30" fillId="0" borderId="0" applyFont="0" applyFill="0" applyBorder="0" applyAlignment="0" applyProtection="0"/>
    <xf numFmtId="0" fontId="87" fillId="0" borderId="0" applyNumberFormat="0"/>
    <xf numFmtId="0" fontId="88" fillId="0" borderId="0">
      <alignment horizontal="centerContinuous"/>
    </xf>
    <xf numFmtId="0" fontId="88" fillId="0" borderId="0" applyNumberFormat="0"/>
    <xf numFmtId="5" fontId="30" fillId="0" borderId="0"/>
    <xf numFmtId="0" fontId="89" fillId="0" borderId="7" applyFont="0" applyFill="0" applyBorder="0" applyAlignment="0" applyProtection="0"/>
    <xf numFmtId="0" fontId="81" fillId="0" borderId="8" applyNumberFormat="0" applyFont="0" applyFill="0" applyAlignment="0" applyProtection="0"/>
    <xf numFmtId="37" fontId="75" fillId="0" borderId="0"/>
    <xf numFmtId="216" fontId="30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217" fontId="56" fillId="0" borderId="0" applyFont="0" applyFill="0" applyBorder="0" applyAlignment="0" applyProtection="0">
      <alignment horizontal="right"/>
    </xf>
    <xf numFmtId="205" fontId="82" fillId="0" borderId="0">
      <alignment horizontal="center"/>
    </xf>
    <xf numFmtId="2" fontId="31" fillId="0" borderId="0" applyFont="0" applyFill="0" applyBorder="0" applyAlignment="0" applyProtection="0"/>
    <xf numFmtId="218" fontId="30" fillId="28" borderId="0" applyFont="0" applyFill="0" applyBorder="0" applyAlignment="0"/>
    <xf numFmtId="2" fontId="30" fillId="0" borderId="0" applyFont="0" applyFill="0" applyBorder="0" applyAlignment="0" applyProtection="0"/>
    <xf numFmtId="0" fontId="32" fillId="0" borderId="0"/>
    <xf numFmtId="0" fontId="79" fillId="0" borderId="0" applyFill="0" applyBorder="0" applyProtection="0">
      <alignment horizontal="left"/>
    </xf>
    <xf numFmtId="219" fontId="30" fillId="0" borderId="0"/>
    <xf numFmtId="219" fontId="77" fillId="0" borderId="9"/>
    <xf numFmtId="0" fontId="90" fillId="0" borderId="0">
      <alignment horizontal="right"/>
    </xf>
    <xf numFmtId="0" fontId="90" fillId="0" borderId="0"/>
    <xf numFmtId="37" fontId="19" fillId="0" borderId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38" fontId="19" fillId="29" borderId="0" applyNumberFormat="0" applyBorder="0" applyAlignment="0" applyProtection="0"/>
    <xf numFmtId="0" fontId="81" fillId="0" borderId="0" applyFont="0" applyFill="0" applyBorder="0" applyAlignment="0" applyProtection="0">
      <alignment horizontal="right"/>
    </xf>
    <xf numFmtId="0" fontId="91" fillId="0" borderId="0" applyNumberFormat="0" applyFill="0" applyBorder="0" applyAlignment="0" applyProtection="0"/>
    <xf numFmtId="0" fontId="23" fillId="0" borderId="10" applyNumberFormat="0" applyAlignment="0" applyProtection="0">
      <alignment horizontal="left" vertical="center"/>
    </xf>
    <xf numFmtId="0" fontId="23" fillId="0" borderId="11">
      <alignment horizontal="left" vertical="center"/>
    </xf>
    <xf numFmtId="0" fontId="35" fillId="0" borderId="0" applyNumberFormat="0" applyFill="0" applyBorder="0" applyAlignment="0" applyProtection="0"/>
    <xf numFmtId="0" fontId="63" fillId="0" borderId="0" applyNumberFormat="0" applyFont="0" applyFill="0" applyAlignment="0" applyProtection="0"/>
    <xf numFmtId="0" fontId="36" fillId="0" borderId="0" applyNumberFormat="0" applyFill="0" applyBorder="0" applyAlignment="0" applyProtection="0"/>
    <xf numFmtId="0" fontId="23" fillId="0" borderId="0" applyNumberFormat="0" applyFont="0" applyFill="0" applyAlignment="0" applyProtection="0"/>
    <xf numFmtId="0" fontId="37" fillId="0" borderId="12" applyNumberFormat="0" applyFill="0" applyAlignment="0" applyProtection="0"/>
    <xf numFmtId="0" fontId="92" fillId="0" borderId="0" applyProtection="0">
      <alignment horizontal="left"/>
    </xf>
    <xf numFmtId="0" fontId="37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206" fontId="94" fillId="0" borderId="0">
      <protection locked="0"/>
    </xf>
    <xf numFmtId="206" fontId="94" fillId="0" borderId="0">
      <protection locked="0"/>
    </xf>
    <xf numFmtId="220" fontId="30" fillId="0" borderId="0">
      <alignment horizontal="left"/>
    </xf>
    <xf numFmtId="37" fontId="75" fillId="0" borderId="0"/>
    <xf numFmtId="0" fontId="77" fillId="0" borderId="13" applyNumberFormat="0" applyFill="0" applyAlignment="0" applyProtection="0"/>
    <xf numFmtId="0" fontId="38" fillId="4" borderId="4" applyNumberFormat="0" applyAlignment="0" applyProtection="0"/>
    <xf numFmtId="10" fontId="19" fillId="28" borderId="9" applyNumberFormat="0" applyBorder="0" applyAlignment="0" applyProtection="0"/>
    <xf numFmtId="0" fontId="38" fillId="4" borderId="4" applyNumberFormat="0" applyAlignment="0" applyProtection="0"/>
    <xf numFmtId="41" fontId="51" fillId="0" borderId="0">
      <alignment horizontal="left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168" fontId="30" fillId="0" borderId="0"/>
    <xf numFmtId="14" fontId="75" fillId="0" borderId="0">
      <alignment horizontal="center"/>
    </xf>
    <xf numFmtId="37" fontId="30" fillId="0" borderId="0" applyFont="0" applyFill="0" applyBorder="0" applyAlignment="0" applyProtection="0"/>
    <xf numFmtId="221" fontId="30" fillId="0" borderId="0" applyFont="0" applyFill="0" applyBorder="0" applyAlignment="0" applyProtection="0">
      <alignment horizontal="left" wrapText="1"/>
    </xf>
    <xf numFmtId="37" fontId="75" fillId="0" borderId="9">
      <alignment horizontal="right"/>
    </xf>
    <xf numFmtId="37" fontId="75" fillId="0" borderId="0">
      <alignment horizontal="center"/>
    </xf>
    <xf numFmtId="37" fontId="75" fillId="0" borderId="0">
      <alignment horizontal="center"/>
    </xf>
    <xf numFmtId="17" fontId="75" fillId="0" borderId="0">
      <alignment horizontal="center"/>
    </xf>
    <xf numFmtId="222" fontId="81" fillId="0" borderId="0" applyFont="0" applyFill="0" applyBorder="0" applyProtection="0">
      <alignment horizontal="right"/>
    </xf>
    <xf numFmtId="0" fontId="49" fillId="0" borderId="0" applyFont="0" applyFill="0" applyBorder="0" applyAlignment="0" applyProtection="0"/>
    <xf numFmtId="0" fontId="81" fillId="0" borderId="0" applyFont="0" applyFill="0" applyBorder="0" applyAlignment="0" applyProtection="0">
      <alignment horizontal="right"/>
    </xf>
    <xf numFmtId="223" fontId="19" fillId="29" borderId="0" applyFont="0" applyBorder="0" applyAlignment="0" applyProtection="0">
      <alignment horizontal="right"/>
      <protection hidden="1"/>
    </xf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37" fontId="95" fillId="0" borderId="0"/>
    <xf numFmtId="224" fontId="96" fillId="0" borderId="0"/>
    <xf numFmtId="0" fontId="42" fillId="0" borderId="0"/>
    <xf numFmtId="0" fontId="42" fillId="0" borderId="0"/>
    <xf numFmtId="38" fontId="19" fillId="0" borderId="0" applyFont="0" applyFill="0" applyBorder="0" applyAlignment="0"/>
    <xf numFmtId="208" fontId="30" fillId="0" borderId="0" applyFont="0" applyFill="0" applyBorder="0" applyAlignment="0"/>
    <xf numFmtId="40" fontId="19" fillId="0" borderId="0" applyFont="0" applyFill="0" applyBorder="0" applyAlignment="0"/>
    <xf numFmtId="225" fontId="19" fillId="0" borderId="0" applyFont="0" applyFill="0" applyBorder="0" applyAlignment="0"/>
    <xf numFmtId="0" fontId="30" fillId="0" borderId="0"/>
    <xf numFmtId="0" fontId="30" fillId="0" borderId="0"/>
    <xf numFmtId="0" fontId="18" fillId="0" borderId="0"/>
    <xf numFmtId="208" fontId="58" fillId="0" borderId="0" applyNumberFormat="0" applyFill="0" applyBorder="0" applyAlignment="0" applyProtection="0"/>
    <xf numFmtId="226" fontId="19" fillId="0" borderId="0" applyFont="0" applyFill="0" applyBorder="0" applyAlignment="0" applyProtection="0"/>
    <xf numFmtId="0" fontId="30" fillId="0" borderId="0"/>
    <xf numFmtId="2" fontId="22" fillId="0" borderId="0" applyFont="0" applyFill="0" applyBorder="0">
      <alignment horizontal="center" vertical="top" wrapText="1" shrinkToFit="1"/>
    </xf>
    <xf numFmtId="0" fontId="97" fillId="0" borderId="0"/>
    <xf numFmtId="0" fontId="18" fillId="6" borderId="15" applyNumberFormat="0" applyFont="0" applyAlignment="0" applyProtection="0"/>
    <xf numFmtId="0" fontId="30" fillId="6" borderId="16" applyNumberFormat="0" applyFont="0" applyAlignment="0" applyProtection="0"/>
    <xf numFmtId="43" fontId="52" fillId="0" borderId="0"/>
    <xf numFmtId="227" fontId="19" fillId="0" borderId="0" applyFont="0" applyFill="0" applyBorder="0" applyAlignment="0" applyProtection="0"/>
    <xf numFmtId="170" fontId="42" fillId="0" borderId="0" applyProtection="0"/>
    <xf numFmtId="173" fontId="53" fillId="0" borderId="0"/>
    <xf numFmtId="228" fontId="19" fillId="0" borderId="0" applyFont="0" applyFill="0" applyBorder="0" applyAlignment="0" applyProtection="0"/>
    <xf numFmtId="37" fontId="32" fillId="30" borderId="9" applyNumberFormat="0" applyFont="0" applyFill="0" applyAlignment="0" applyProtection="0"/>
    <xf numFmtId="0" fontId="43" fillId="2" borderId="17" applyNumberFormat="0" applyAlignment="0" applyProtection="0"/>
    <xf numFmtId="0" fontId="43" fillId="26" borderId="17" applyNumberFormat="0" applyAlignment="0" applyProtection="0"/>
    <xf numFmtId="0" fontId="98" fillId="0" borderId="0" applyFill="0" applyBorder="0" applyProtection="0">
      <alignment horizontal="left"/>
    </xf>
    <xf numFmtId="0" fontId="99" fillId="0" borderId="0" applyFill="0" applyBorder="0" applyProtection="0">
      <alignment horizontal="left"/>
    </xf>
    <xf numFmtId="1" fontId="100" fillId="0" borderId="0" applyProtection="0">
      <alignment horizontal="right" vertical="center"/>
    </xf>
    <xf numFmtId="0" fontId="101" fillId="0" borderId="0">
      <alignment horizontal="centerContinuous"/>
    </xf>
    <xf numFmtId="205" fontId="102" fillId="0" borderId="0">
      <alignment horizontal="right"/>
    </xf>
    <xf numFmtId="205" fontId="102" fillId="0" borderId="0">
      <alignment horizontal="right"/>
    </xf>
    <xf numFmtId="0" fontId="32" fillId="0" borderId="0"/>
    <xf numFmtId="9" fontId="18" fillId="0" borderId="0" applyFont="0" applyFill="0" applyBorder="0" applyAlignment="0" applyProtection="0"/>
    <xf numFmtId="10" fontId="19" fillId="0" borderId="0"/>
    <xf numFmtId="229" fontId="30" fillId="0" borderId="0" applyFont="0" applyFill="0" applyBorder="0" applyAlignment="0"/>
    <xf numFmtId="230" fontId="19" fillId="0" borderId="0" applyFont="0" applyFill="0" applyBorder="0" applyAlignment="0"/>
    <xf numFmtId="231" fontId="30" fillId="0" borderId="0" applyFont="0" applyFill="0" applyBorder="0" applyAlignment="0"/>
    <xf numFmtId="9" fontId="30" fillId="0" borderId="0" applyFont="0" applyFill="0" applyBorder="0" applyAlignment="0" applyProtection="0"/>
    <xf numFmtId="232" fontId="79" fillId="0" borderId="0" applyFont="0" applyFill="0" applyBorder="0" applyProtection="0">
      <alignment horizontal="right"/>
    </xf>
    <xf numFmtId="233" fontId="19" fillId="0" borderId="0" applyFont="0" applyFill="0" applyBorder="0" applyAlignment="0" applyProtection="0"/>
    <xf numFmtId="37" fontId="75" fillId="0" borderId="0"/>
    <xf numFmtId="37" fontId="75" fillId="0" borderId="0"/>
    <xf numFmtId="0" fontId="44" fillId="0" borderId="0" applyNumberFormat="0" applyFont="0" applyFill="0" applyBorder="0" applyAlignment="0" applyProtection="0">
      <alignment horizontal="left"/>
    </xf>
    <xf numFmtId="15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0" fontId="45" fillId="0" borderId="2">
      <alignment horizontal="center"/>
    </xf>
    <xf numFmtId="3" fontId="44" fillId="0" borderId="0" applyFont="0" applyFill="0" applyBorder="0" applyAlignment="0" applyProtection="0"/>
    <xf numFmtId="0" fontId="44" fillId="31" borderId="0" applyNumberFormat="0" applyFont="0" applyBorder="0" applyAlignment="0" applyProtection="0"/>
    <xf numFmtId="208" fontId="103" fillId="0" borderId="0" applyNumberFormat="0" applyFill="0" applyBorder="0" applyAlignment="0" applyProtection="0">
      <alignment horizontal="left"/>
    </xf>
    <xf numFmtId="0" fontId="104" fillId="0" borderId="18">
      <alignment vertical="center"/>
    </xf>
    <xf numFmtId="0" fontId="105" fillId="0" borderId="0"/>
    <xf numFmtId="0" fontId="106" fillId="0" borderId="0"/>
    <xf numFmtId="0" fontId="107" fillId="32" borderId="0" applyNumberFormat="0" applyFont="0" applyBorder="0" applyAlignment="0" applyProtection="0"/>
    <xf numFmtId="169" fontId="30" fillId="0" borderId="0">
      <alignment horizontal="left" wrapText="1"/>
    </xf>
    <xf numFmtId="0" fontId="30" fillId="0" borderId="0"/>
    <xf numFmtId="0" fontId="30" fillId="0" borderId="0"/>
    <xf numFmtId="193" fontId="30" fillId="0" borderId="0">
      <alignment horizontal="left" wrapText="1"/>
    </xf>
    <xf numFmtId="0" fontId="108" fillId="0" borderId="19" applyNumberFormat="0"/>
    <xf numFmtId="177" fontId="109" fillId="0" borderId="0"/>
    <xf numFmtId="0" fontId="48" fillId="0" borderId="0" applyFill="0" applyBorder="0" applyProtection="0">
      <alignment horizontal="center" vertical="center"/>
    </xf>
    <xf numFmtId="0" fontId="110" fillId="0" borderId="0" applyBorder="0" applyProtection="0">
      <alignment vertical="center"/>
    </xf>
    <xf numFmtId="0" fontId="110" fillId="0" borderId="7" applyBorder="0" applyProtection="0">
      <alignment horizontal="right" vertical="center"/>
    </xf>
    <xf numFmtId="0" fontId="111" fillId="33" borderId="0" applyBorder="0" applyProtection="0">
      <alignment horizontal="centerContinuous" vertical="center"/>
    </xf>
    <xf numFmtId="0" fontId="111" fillId="34" borderId="7" applyBorder="0" applyProtection="0">
      <alignment horizontal="centerContinuous" vertical="center"/>
    </xf>
    <xf numFmtId="0" fontId="58" fillId="0" borderId="0" applyBorder="0" applyProtection="0">
      <alignment horizontal="left"/>
    </xf>
    <xf numFmtId="0" fontId="48" fillId="0" borderId="0" applyFill="0" applyBorder="0" applyProtection="0"/>
    <xf numFmtId="0" fontId="97" fillId="0" borderId="0"/>
    <xf numFmtId="0" fontId="22" fillId="0" borderId="0" applyFill="0" applyBorder="0" applyProtection="0">
      <alignment horizontal="left"/>
    </xf>
    <xf numFmtId="0" fontId="113" fillId="0" borderId="0" applyFill="0" applyBorder="0" applyProtection="0">
      <alignment horizontal="left" vertical="top"/>
    </xf>
    <xf numFmtId="0" fontId="114" fillId="0" borderId="0">
      <alignment horizontal="centerContinuous"/>
    </xf>
    <xf numFmtId="0" fontId="115" fillId="0" borderId="0"/>
    <xf numFmtId="0" fontId="116" fillId="0" borderId="0"/>
    <xf numFmtId="234" fontId="117" fillId="0" borderId="0" applyFill="0" applyBorder="0" applyAlignment="0" applyProtection="0">
      <alignment horizontal="right"/>
    </xf>
    <xf numFmtId="0" fontId="4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31" fillId="0" borderId="20" applyNumberFormat="0" applyFont="0" applyFill="0" applyAlignment="0" applyProtection="0"/>
    <xf numFmtId="206" fontId="84" fillId="0" borderId="21">
      <protection locked="0"/>
    </xf>
    <xf numFmtId="235" fontId="30" fillId="0" borderId="0"/>
    <xf numFmtId="38" fontId="19" fillId="35" borderId="0" applyNumberFormat="0" applyBorder="0" applyAlignment="0" applyProtection="0"/>
    <xf numFmtId="0" fontId="119" fillId="0" borderId="0">
      <alignment horizontal="fill"/>
    </xf>
    <xf numFmtId="37" fontId="19" fillId="35" borderId="0" applyNumberFormat="0" applyBorder="0" applyAlignment="0" applyProtection="0"/>
    <xf numFmtId="37" fontId="19" fillId="0" borderId="0"/>
    <xf numFmtId="37" fontId="19" fillId="29" borderId="0" applyNumberFormat="0" applyBorder="0" applyAlignment="0" applyProtection="0"/>
    <xf numFmtId="3" fontId="85" fillId="0" borderId="13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70" fontId="79" fillId="0" borderId="0" applyFont="0" applyFill="0" applyBorder="0" applyProtection="0">
      <alignment horizontal="right"/>
    </xf>
    <xf numFmtId="0" fontId="83" fillId="34" borderId="22">
      <alignment horizontal="center" vertical="top"/>
    </xf>
    <xf numFmtId="201" fontId="82" fillId="0" borderId="0">
      <alignment horizontal="center"/>
    </xf>
    <xf numFmtId="205" fontId="30" fillId="0" borderId="0">
      <alignment horizontal="left"/>
    </xf>
    <xf numFmtId="183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0" fontId="30" fillId="0" borderId="0"/>
    <xf numFmtId="43" fontId="121" fillId="0" borderId="0" applyFont="0" applyFill="0" applyBorder="0" applyAlignment="0" applyProtection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6" borderId="15" applyNumberFormat="0" applyFont="0" applyAlignment="0" applyProtection="0"/>
    <xf numFmtId="9" fontId="30" fillId="0" borderId="0" applyFont="0" applyFill="0" applyBorder="0" applyAlignment="0" applyProtection="0"/>
    <xf numFmtId="0" fontId="17" fillId="0" borderId="0"/>
    <xf numFmtId="43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0" fontId="17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6" fillId="0" borderId="0"/>
    <xf numFmtId="0" fontId="16" fillId="0" borderId="0"/>
    <xf numFmtId="185" fontId="18" fillId="0" borderId="0" applyFont="0" applyFill="0" applyBorder="0" applyAlignment="0" applyProtection="0"/>
    <xf numFmtId="0" fontId="18" fillId="0" borderId="0"/>
    <xf numFmtId="236" fontId="125" fillId="0" borderId="0">
      <alignment horizontal="right"/>
    </xf>
    <xf numFmtId="10" fontId="126" fillId="0" borderId="0"/>
    <xf numFmtId="9" fontId="127" fillId="0" borderId="0"/>
    <xf numFmtId="9" fontId="127" fillId="0" borderId="0"/>
    <xf numFmtId="174" fontId="127" fillId="0" borderId="0"/>
    <xf numFmtId="174" fontId="127" fillId="0" borderId="0"/>
    <xf numFmtId="10" fontId="127" fillId="0" borderId="0"/>
    <xf numFmtId="10" fontId="127" fillId="0" borderId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18" fillId="0" borderId="0">
      <alignment horizontal="left" wrapText="1"/>
    </xf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0" fontId="18" fillId="0" borderId="0">
      <alignment horizontal="left" wrapText="1"/>
    </xf>
    <xf numFmtId="0" fontId="18" fillId="0" borderId="0">
      <alignment horizontal="left" wrapText="1"/>
    </xf>
    <xf numFmtId="0" fontId="236" fillId="0" borderId="59" applyNumberFormat="0" applyFill="0" applyProtection="0">
      <alignment horizontal="center"/>
    </xf>
    <xf numFmtId="42" fontId="10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242" fontId="127" fillId="0" borderId="0" applyFont="0" applyFill="0" applyBorder="0" applyAlignment="0" applyProtection="0"/>
    <xf numFmtId="242" fontId="127" fillId="0" borderId="0" applyFont="0" applyFill="0" applyBorder="0" applyAlignment="0" applyProtection="0"/>
    <xf numFmtId="243" fontId="127" fillId="0" borderId="0" applyFont="0" applyFill="0" applyBorder="0" applyAlignment="0" applyProtection="0"/>
    <xf numFmtId="243" fontId="127" fillId="0" borderId="0" applyFont="0" applyFill="0" applyBorder="0" applyAlignment="0" applyProtection="0"/>
    <xf numFmtId="237" fontId="21" fillId="0" borderId="0"/>
    <xf numFmtId="0" fontId="107" fillId="0" borderId="0"/>
    <xf numFmtId="0" fontId="107" fillId="0" borderId="0"/>
    <xf numFmtId="237" fontId="44" fillId="0" borderId="0"/>
    <xf numFmtId="9" fontId="18" fillId="0" borderId="0"/>
    <xf numFmtId="9" fontId="18" fillId="0" borderId="0"/>
    <xf numFmtId="9" fontId="18" fillId="0" borderId="0"/>
    <xf numFmtId="9" fontId="18" fillId="0" borderId="0"/>
    <xf numFmtId="238" fontId="44" fillId="0" borderId="0"/>
    <xf numFmtId="174" fontId="44" fillId="0" borderId="0"/>
    <xf numFmtId="2" fontId="44" fillId="0" borderId="0"/>
    <xf numFmtId="10" fontId="44" fillId="0" borderId="0"/>
    <xf numFmtId="0" fontId="128" fillId="0" borderId="31" applyFont="0" applyFill="0" applyBorder="0" applyAlignment="0" applyProtection="0"/>
    <xf numFmtId="237" fontId="44" fillId="0" borderId="0"/>
    <xf numFmtId="0" fontId="129" fillId="0" borderId="0"/>
    <xf numFmtId="244" fontId="127" fillId="0" borderId="0"/>
    <xf numFmtId="244" fontId="127" fillId="0" borderId="0"/>
    <xf numFmtId="43" fontId="18" fillId="0" borderId="0" applyFont="0" applyFill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124" fillId="16" borderId="0" applyNumberFormat="0" applyBorder="0" applyAlignment="0" applyProtection="0"/>
    <xf numFmtId="0" fontId="124" fillId="16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124" fillId="13" borderId="0" applyNumberFormat="0" applyBorder="0" applyAlignment="0" applyProtection="0"/>
    <xf numFmtId="0" fontId="124" fillId="13" borderId="0" applyNumberFormat="0" applyBorder="0" applyAlignment="0" applyProtection="0"/>
    <xf numFmtId="0" fontId="124" fillId="18" borderId="0" applyNumberFormat="0" applyBorder="0" applyAlignment="0" applyProtection="0"/>
    <xf numFmtId="0" fontId="124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9" borderId="0" applyNumberFormat="0" applyBorder="0" applyAlignment="0" applyProtection="0"/>
    <xf numFmtId="0" fontId="124" fillId="19" borderId="0" applyNumberFormat="0" applyBorder="0" applyAlignment="0" applyProtection="0"/>
    <xf numFmtId="37" fontId="41" fillId="0" borderId="0">
      <alignment horizontal="center"/>
    </xf>
    <xf numFmtId="0" fontId="124" fillId="20" borderId="0" applyNumberFormat="0" applyBorder="0" applyAlignment="0" applyProtection="0"/>
    <xf numFmtId="0" fontId="124" fillId="20" borderId="0" applyNumberFormat="0" applyBorder="0" applyAlignment="0" applyProtection="0"/>
    <xf numFmtId="0" fontId="124" fillId="22" borderId="0" applyNumberFormat="0" applyBorder="0" applyAlignment="0" applyProtection="0"/>
    <xf numFmtId="0" fontId="124" fillId="22" borderId="0" applyNumberFormat="0" applyBorder="0" applyAlignment="0" applyProtection="0"/>
    <xf numFmtId="0" fontId="124" fillId="23" borderId="0" applyNumberFormat="0" applyBorder="0" applyAlignment="0" applyProtection="0"/>
    <xf numFmtId="0" fontId="124" fillId="23" borderId="0" applyNumberFormat="0" applyBorder="0" applyAlignment="0" applyProtection="0"/>
    <xf numFmtId="0" fontId="124" fillId="18" borderId="0" applyNumberFormat="0" applyBorder="0" applyAlignment="0" applyProtection="0"/>
    <xf numFmtId="0" fontId="124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21" borderId="0" applyNumberFormat="0" applyBorder="0" applyAlignment="0" applyProtection="0"/>
    <xf numFmtId="0" fontId="124" fillId="21" borderId="0" applyNumberFormat="0" applyBorder="0" applyAlignment="0" applyProtection="0"/>
    <xf numFmtId="43" fontId="130" fillId="0" borderId="7" applyNumberFormat="0" applyBorder="0"/>
    <xf numFmtId="37" fontId="131" fillId="36" borderId="27" applyBorder="0" applyProtection="0">
      <alignment vertical="center"/>
    </xf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32" fillId="0" borderId="32" applyNumberFormat="0" applyFill="0" applyAlignment="0" applyProtection="0"/>
    <xf numFmtId="0" fontId="133" fillId="0" borderId="7" applyFont="0">
      <alignment horizontal="centerContinuous"/>
    </xf>
    <xf numFmtId="0" fontId="133" fillId="0" borderId="7" applyFont="0">
      <alignment horizontal="centerContinuous"/>
    </xf>
    <xf numFmtId="0" fontId="125" fillId="0" borderId="0"/>
    <xf numFmtId="0" fontId="125" fillId="0" borderId="0"/>
    <xf numFmtId="9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7" fillId="0" borderId="0"/>
    <xf numFmtId="0" fontId="127" fillId="0" borderId="0"/>
    <xf numFmtId="0" fontId="18" fillId="29" borderId="0"/>
    <xf numFmtId="0" fontId="18" fillId="29" borderId="0"/>
    <xf numFmtId="0" fontId="18" fillId="29" borderId="0"/>
    <xf numFmtId="0" fontId="18" fillId="29" borderId="0"/>
    <xf numFmtId="0" fontId="226" fillId="5" borderId="0" applyNumberFormat="0" applyBorder="0" applyAlignment="0" applyProtection="0"/>
    <xf numFmtId="38" fontId="134" fillId="0" borderId="0" applyNumberFormat="0" applyFill="0" applyBorder="0" applyAlignment="0" applyProtection="0"/>
    <xf numFmtId="245" fontId="107" fillId="0" borderId="0" applyFont="0" applyFill="0" applyBorder="0" applyAlignment="0" applyProtection="0"/>
    <xf numFmtId="0" fontId="114" fillId="37" borderId="28" applyFill="0" applyBorder="0" applyProtection="0">
      <alignment horizontal="left"/>
    </xf>
    <xf numFmtId="0" fontId="135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27" fillId="0" borderId="0"/>
    <xf numFmtId="0" fontId="127" fillId="0" borderId="0"/>
    <xf numFmtId="0" fontId="137" fillId="38" borderId="0" applyBorder="0">
      <alignment horizontal="left" vertical="center" indent="1"/>
    </xf>
    <xf numFmtId="0" fontId="133" fillId="0" borderId="7" applyNumberFormat="0" applyFill="0" applyAlignment="0" applyProtection="0"/>
    <xf numFmtId="0" fontId="134" fillId="0" borderId="7" applyNumberFormat="0" applyFont="0" applyFill="0" applyAlignment="0" applyProtection="0"/>
    <xf numFmtId="0" fontId="125" fillId="0" borderId="19"/>
    <xf numFmtId="0" fontId="125" fillId="0" borderId="19"/>
    <xf numFmtId="0" fontId="138" fillId="0" borderId="0" applyFill="0" applyBorder="0">
      <alignment vertical="top"/>
    </xf>
    <xf numFmtId="246" fontId="48" fillId="29" borderId="0" applyBorder="0">
      <alignment vertical="top"/>
    </xf>
    <xf numFmtId="246" fontId="49" fillId="29" borderId="0" applyBorder="0">
      <alignment vertical="top"/>
    </xf>
    <xf numFmtId="1" fontId="61" fillId="0" borderId="0" applyFont="0" applyFill="0" applyBorder="0" applyAlignment="0" applyProtection="0"/>
    <xf numFmtId="0" fontId="127" fillId="0" borderId="7">
      <alignment horizontal="centerContinuous"/>
    </xf>
    <xf numFmtId="0" fontId="18" fillId="0" borderId="2" applyBorder="0">
      <alignment horizontal="centerContinuous"/>
    </xf>
    <xf numFmtId="0" fontId="18" fillId="0" borderId="2" applyBorder="0">
      <alignment horizontal="centerContinuous"/>
    </xf>
    <xf numFmtId="0" fontId="18" fillId="0" borderId="2" applyBorder="0">
      <alignment horizontal="centerContinuous"/>
    </xf>
    <xf numFmtId="0" fontId="18" fillId="0" borderId="2" applyBorder="0">
      <alignment horizontal="centerContinuous"/>
    </xf>
    <xf numFmtId="247" fontId="127" fillId="0" borderId="0" applyFont="0" applyFill="0" applyBorder="0" applyAlignment="0" applyProtection="0"/>
    <xf numFmtId="247" fontId="127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26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39" fillId="0" borderId="0"/>
    <xf numFmtId="0" fontId="139" fillId="0" borderId="0"/>
    <xf numFmtId="0" fontId="139" fillId="0" borderId="0"/>
    <xf numFmtId="43" fontId="125" fillId="0" borderId="0">
      <alignment horizontal="right"/>
    </xf>
    <xf numFmtId="43" fontId="125" fillId="0" borderId="0">
      <alignment horizontal="right"/>
    </xf>
    <xf numFmtId="215" fontId="125" fillId="0" borderId="0">
      <alignment horizontal="right"/>
    </xf>
    <xf numFmtId="215" fontId="125" fillId="0" borderId="0">
      <alignment horizontal="right"/>
    </xf>
    <xf numFmtId="215" fontId="125" fillId="0" borderId="0">
      <alignment horizontal="right"/>
    </xf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37" fontId="127" fillId="0" borderId="0">
      <alignment horizontal="center"/>
    </xf>
    <xf numFmtId="0" fontId="127" fillId="0" borderId="0"/>
    <xf numFmtId="0" fontId="133" fillId="0" borderId="0"/>
    <xf numFmtId="0" fontId="133" fillId="0" borderId="0"/>
    <xf numFmtId="0" fontId="227" fillId="26" borderId="4" applyNumberFormat="0" applyAlignment="0" applyProtection="0"/>
    <xf numFmtId="0" fontId="140" fillId="29" borderId="0" applyNumberFormat="0" applyBorder="0">
      <alignment vertical="center"/>
    </xf>
    <xf numFmtId="0" fontId="48" fillId="0" borderId="0"/>
    <xf numFmtId="0" fontId="48" fillId="0" borderId="0"/>
    <xf numFmtId="0" fontId="141" fillId="0" borderId="0"/>
    <xf numFmtId="1" fontId="142" fillId="0" borderId="0"/>
    <xf numFmtId="0" fontId="228" fillId="27" borderId="5" applyNumberFormat="0" applyAlignment="0" applyProtection="0"/>
    <xf numFmtId="0" fontId="127" fillId="0" borderId="0"/>
    <xf numFmtId="248" fontId="49" fillId="0" borderId="0" applyFill="0" applyBorder="0" applyAlignment="0"/>
    <xf numFmtId="249" fontId="49" fillId="0" borderId="0" applyFill="0" applyBorder="0" applyAlignment="0"/>
    <xf numFmtId="0" fontId="114" fillId="39" borderId="9" applyNumberFormat="0" applyBorder="0" applyProtection="0">
      <alignment horizontal="center" vertical="center" wrapText="1"/>
    </xf>
    <xf numFmtId="43" fontId="18" fillId="0" borderId="0" applyFont="0" applyFill="0" applyBorder="0" applyAlignment="0" applyProtection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0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42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ill="0" applyBorder="0" applyAlignment="0" applyProtection="0"/>
    <xf numFmtId="170" fontId="145" fillId="0" borderId="0" applyFill="0" applyBorder="0">
      <alignment horizontal="left"/>
    </xf>
    <xf numFmtId="251" fontId="18" fillId="0" borderId="29" applyFont="0" applyFill="0" applyBorder="0" applyAlignment="0" applyProtection="0"/>
    <xf numFmtId="251" fontId="18" fillId="0" borderId="29" applyFont="0" applyFill="0" applyBorder="0" applyAlignment="0" applyProtection="0"/>
    <xf numFmtId="251" fontId="18" fillId="0" borderId="29" applyFont="0" applyFill="0" applyBorder="0" applyAlignment="0" applyProtection="0"/>
    <xf numFmtId="251" fontId="18" fillId="0" borderId="29" applyFont="0" applyFill="0" applyBorder="0" applyAlignment="0" applyProtection="0"/>
    <xf numFmtId="0" fontId="146" fillId="0" borderId="0">
      <alignment horizontal="left"/>
    </xf>
    <xf numFmtId="0" fontId="147" fillId="0" borderId="0"/>
    <xf numFmtId="0" fontId="148" fillId="0" borderId="0">
      <alignment horizontal="left"/>
    </xf>
    <xf numFmtId="44" fontId="18" fillId="0" borderId="0" applyFont="0" applyFill="0" applyBorder="0" applyAlignment="0" applyProtection="0"/>
    <xf numFmtId="252" fontId="79" fillId="0" borderId="0"/>
    <xf numFmtId="252" fontId="79" fillId="0" borderId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236" fontId="126" fillId="0" borderId="0">
      <alignment horizontal="right"/>
    </xf>
    <xf numFmtId="253" fontId="127" fillId="0" borderId="0" applyFont="0" applyFill="0" applyBorder="0" applyAlignment="0" applyProtection="0"/>
    <xf numFmtId="253" fontId="127" fillId="0" borderId="0" applyFont="0" applyFill="0" applyBorder="0" applyAlignment="0" applyProtection="0"/>
    <xf numFmtId="254" fontId="18" fillId="0" borderId="0" applyFont="0" applyFill="0" applyBorder="0" applyAlignment="0" applyProtection="0"/>
    <xf numFmtId="14" fontId="114" fillId="0" borderId="0"/>
    <xf numFmtId="14" fontId="114" fillId="0" borderId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5" fontId="18" fillId="0" borderId="0"/>
    <xf numFmtId="255" fontId="18" fillId="0" borderId="0"/>
    <xf numFmtId="255" fontId="18" fillId="0" borderId="0"/>
    <xf numFmtId="255" fontId="18" fillId="0" borderId="0"/>
    <xf numFmtId="14" fontId="18" fillId="0" borderId="0"/>
    <xf numFmtId="164" fontId="126" fillId="0" borderId="0"/>
    <xf numFmtId="175" fontId="126" fillId="0" borderId="0"/>
    <xf numFmtId="252" fontId="18" fillId="0" borderId="0"/>
    <xf numFmtId="252" fontId="18" fillId="0" borderId="0"/>
    <xf numFmtId="252" fontId="18" fillId="0" borderId="0"/>
    <xf numFmtId="252" fontId="18" fillId="0" borderId="0"/>
    <xf numFmtId="41" fontId="18" fillId="0" borderId="0" applyFont="0" applyFill="0" applyBorder="0" applyAlignment="0" applyProtection="0"/>
    <xf numFmtId="1" fontId="150" fillId="0" borderId="0" applyFill="0" applyBorder="0" applyAlignment="0" applyProtection="0"/>
    <xf numFmtId="174" fontId="151" fillId="0" borderId="0">
      <alignment horizontal="right"/>
    </xf>
    <xf numFmtId="236" fontId="126" fillId="0" borderId="19">
      <alignment horizontal="right"/>
    </xf>
    <xf numFmtId="176" fontId="18" fillId="0" borderId="0" applyFont="0" applyFill="0" applyBorder="0" applyAlignment="0" applyProtection="0"/>
    <xf numFmtId="170" fontId="27" fillId="0" borderId="0"/>
    <xf numFmtId="2" fontId="152" fillId="0" borderId="0"/>
    <xf numFmtId="256" fontId="18" fillId="0" borderId="0" applyFont="0" applyFill="0" applyBorder="0" applyAlignment="0" applyProtection="0"/>
    <xf numFmtId="216" fontId="18" fillId="0" borderId="0" applyFont="0" applyFill="0" applyBorder="0" applyAlignment="0" applyProtection="0">
      <alignment horizontal="left" wrapText="1"/>
    </xf>
    <xf numFmtId="216" fontId="18" fillId="0" borderId="0" applyFont="0" applyFill="0" applyBorder="0" applyAlignment="0" applyProtection="0">
      <alignment horizontal="left" wrapText="1"/>
    </xf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229" fillId="0" borderId="0" applyNumberFormat="0" applyFill="0" applyBorder="0" applyAlignment="0" applyProtection="0"/>
    <xf numFmtId="224" fontId="21" fillId="0" borderId="0" applyNumberFormat="0" applyBorder="0" applyAlignment="0">
      <alignment horizontal="left"/>
    </xf>
    <xf numFmtId="224" fontId="21" fillId="0" borderId="0" applyNumberFormat="0" applyBorder="0" applyAlignment="0">
      <alignment horizontal="left"/>
    </xf>
    <xf numFmtId="236" fontId="125" fillId="0" borderId="0">
      <alignment horizontal="right"/>
    </xf>
    <xf numFmtId="164" fontId="125" fillId="0" borderId="0">
      <alignment horizontal="right"/>
    </xf>
    <xf numFmtId="175" fontId="125" fillId="0" borderId="0">
      <alignment horizontal="right"/>
    </xf>
    <xf numFmtId="1" fontId="49" fillId="0" borderId="0" applyFill="0"/>
    <xf numFmtId="257" fontId="18" fillId="0" borderId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57" fontId="18" fillId="0" borderId="0"/>
    <xf numFmtId="257" fontId="18" fillId="0" borderId="0"/>
    <xf numFmtId="257" fontId="18" fillId="0" borderId="0"/>
    <xf numFmtId="257" fontId="18" fillId="0" borderId="0"/>
    <xf numFmtId="0" fontId="42" fillId="0" borderId="0"/>
    <xf numFmtId="258" fontId="125" fillId="0" borderId="0" applyProtection="0">
      <alignment horizontal="left"/>
    </xf>
    <xf numFmtId="258" fontId="125" fillId="0" borderId="0" applyProtection="0">
      <alignment horizontal="left"/>
    </xf>
    <xf numFmtId="0" fontId="153" fillId="0" borderId="0">
      <alignment horizontal="left"/>
    </xf>
    <xf numFmtId="0" fontId="104" fillId="0" borderId="0">
      <alignment horizontal="left"/>
    </xf>
    <xf numFmtId="0" fontId="154" fillId="0" borderId="0">
      <alignment horizontal="left"/>
    </xf>
    <xf numFmtId="0" fontId="79" fillId="0" borderId="0" applyFill="0" applyBorder="0" applyProtection="0">
      <alignment horizontal="left"/>
    </xf>
    <xf numFmtId="0" fontId="154" fillId="0" borderId="0" applyNumberFormat="0" applyFill="0" applyBorder="0" applyProtection="0">
      <alignment horizontal="left"/>
    </xf>
    <xf numFmtId="0" fontId="154" fillId="0" borderId="0">
      <alignment horizontal="left"/>
    </xf>
    <xf numFmtId="259" fontId="155" fillId="0" borderId="0"/>
    <xf numFmtId="260" fontId="155" fillId="0" borderId="0"/>
    <xf numFmtId="261" fontId="155" fillId="0" borderId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38" fontId="19" fillId="29" borderId="0" applyNumberFormat="0" applyBorder="0" applyAlignment="0" applyProtection="0"/>
    <xf numFmtId="0" fontId="22" fillId="38" borderId="11" applyAlignment="0" applyProtection="0"/>
    <xf numFmtId="0" fontId="107" fillId="0" borderId="24" applyFill="0" applyBorder="0" applyProtection="0">
      <alignment horizontal="left"/>
    </xf>
    <xf numFmtId="0" fontId="157" fillId="0" borderId="0" applyNumberFormat="0" applyFill="0" applyProtection="0">
      <alignment horizontal="left"/>
    </xf>
    <xf numFmtId="0" fontId="158" fillId="0" borderId="33">
      <alignment horizontal="centerContinuous"/>
    </xf>
    <xf numFmtId="0" fontId="159" fillId="0" borderId="0">
      <alignment horizontal="centerContinuous"/>
    </xf>
    <xf numFmtId="183" fontId="18" fillId="0" borderId="0" applyFont="0" applyFill="0" applyBorder="0" applyAlignment="0" applyProtection="0"/>
    <xf numFmtId="0" fontId="160" fillId="0" borderId="0">
      <alignment horizontal="left"/>
    </xf>
    <xf numFmtId="0" fontId="161" fillId="0" borderId="0" applyProtection="0">
      <alignment horizontal="right"/>
    </xf>
    <xf numFmtId="0" fontId="160" fillId="0" borderId="0">
      <alignment horizontal="left"/>
    </xf>
    <xf numFmtId="37" fontId="162" fillId="29" borderId="10" applyFill="0">
      <alignment vertical="center"/>
    </xf>
    <xf numFmtId="0" fontId="160" fillId="0" borderId="0">
      <alignment horizontal="left"/>
    </xf>
    <xf numFmtId="0" fontId="162" fillId="0" borderId="2" applyNumberFormat="0" applyFill="0">
      <alignment horizontal="centerContinuous" vertical="top"/>
    </xf>
    <xf numFmtId="0" fontId="163" fillId="36" borderId="34" applyNumberFormat="0" applyBorder="0">
      <alignment horizontal="left" vertical="center" indent="1"/>
    </xf>
    <xf numFmtId="0" fontId="230" fillId="0" borderId="35" applyNumberFormat="0" applyFill="0" applyAlignment="0" applyProtection="0"/>
    <xf numFmtId="0" fontId="164" fillId="0" borderId="0">
      <alignment horizontal="left"/>
    </xf>
    <xf numFmtId="0" fontId="165" fillId="0" borderId="24">
      <alignment horizontal="left" vertical="top"/>
    </xf>
    <xf numFmtId="0" fontId="231" fillId="0" borderId="36" applyNumberFormat="0" applyFill="0" applyAlignment="0" applyProtection="0"/>
    <xf numFmtId="0" fontId="97" fillId="0" borderId="0">
      <alignment horizontal="left"/>
    </xf>
    <xf numFmtId="0" fontId="166" fillId="0" borderId="24">
      <alignment horizontal="left" vertical="top"/>
    </xf>
    <xf numFmtId="0" fontId="232" fillId="0" borderId="37" applyNumberFormat="0" applyFill="0" applyAlignment="0" applyProtection="0"/>
    <xf numFmtId="0" fontId="92" fillId="0" borderId="0">
      <alignment horizontal="left"/>
    </xf>
    <xf numFmtId="0" fontId="232" fillId="0" borderId="0" applyNumberFormat="0" applyFill="0" applyBorder="0" applyAlignment="0" applyProtection="0"/>
    <xf numFmtId="262" fontId="18" fillId="0" borderId="0" applyFill="0" applyBorder="0" applyAlignment="0" applyProtection="0"/>
    <xf numFmtId="262" fontId="18" fillId="0" borderId="0" applyFill="0" applyBorder="0" applyAlignment="0" applyProtection="0"/>
    <xf numFmtId="262" fontId="18" fillId="0" borderId="0" applyFill="0" applyBorder="0" applyAlignment="0" applyProtection="0"/>
    <xf numFmtId="262" fontId="18" fillId="0" borderId="0" applyFill="0" applyBorder="0" applyAlignment="0" applyProtection="0"/>
    <xf numFmtId="0" fontId="63" fillId="0" borderId="0" applyNumberFormat="0" applyFill="0" applyBorder="0" applyAlignment="0" applyProtection="0"/>
    <xf numFmtId="0" fontId="107" fillId="0" borderId="0" applyFill="0" applyBorder="0" applyProtection="0">
      <alignment horizontal="right"/>
    </xf>
    <xf numFmtId="0" fontId="167" fillId="0" borderId="2">
      <alignment horizontal="centerContinuous"/>
    </xf>
    <xf numFmtId="0" fontId="132" fillId="0" borderId="0" applyNumberFormat="0" applyFill="0" applyBorder="0" applyAlignment="0" applyProtection="0"/>
    <xf numFmtId="263" fontId="168" fillId="0" borderId="0" applyNumberFormat="0" applyFill="0" applyBorder="0" applyAlignment="0">
      <protection locked="0"/>
    </xf>
    <xf numFmtId="0" fontId="133" fillId="0" borderId="0" applyFont="0" applyAlignment="0">
      <alignment horizontal="centerContinuous"/>
    </xf>
    <xf numFmtId="0" fontId="133" fillId="0" borderId="0" applyFont="0" applyAlignment="0">
      <alignment horizontal="centerContinuous"/>
    </xf>
    <xf numFmtId="0" fontId="126" fillId="0" borderId="9">
      <alignment horizontal="centerContinuous"/>
    </xf>
    <xf numFmtId="49" fontId="169" fillId="0" borderId="38"/>
    <xf numFmtId="49" fontId="99" fillId="0" borderId="0"/>
    <xf numFmtId="49" fontId="170" fillId="0" borderId="0"/>
    <xf numFmtId="0" fontId="127" fillId="0" borderId="0"/>
    <xf numFmtId="0" fontId="171" fillId="0" borderId="0"/>
    <xf numFmtId="0" fontId="171" fillId="0" borderId="0"/>
    <xf numFmtId="251" fontId="18" fillId="29" borderId="0" applyNumberFormat="0" applyFill="0" applyBorder="0" applyProtection="0">
      <alignment horizontal="left" vertical="center"/>
    </xf>
    <xf numFmtId="251" fontId="18" fillId="29" borderId="0" applyNumberFormat="0" applyFill="0" applyBorder="0" applyProtection="0">
      <alignment horizontal="left" vertical="center"/>
    </xf>
    <xf numFmtId="251" fontId="18" fillId="29" borderId="0" applyNumberFormat="0" applyFill="0" applyBorder="0" applyProtection="0">
      <alignment horizontal="left" vertical="center"/>
    </xf>
    <xf numFmtId="251" fontId="18" fillId="29" borderId="0" applyNumberFormat="0" applyFill="0" applyBorder="0" applyProtection="0">
      <alignment horizontal="left" vertical="center"/>
    </xf>
    <xf numFmtId="263" fontId="172" fillId="0" borderId="0" applyNumberFormat="0" applyFill="0" applyBorder="0" applyAlignment="0"/>
    <xf numFmtId="9" fontId="152" fillId="0" borderId="0" applyAlignment="0">
      <alignment horizontal="center"/>
    </xf>
    <xf numFmtId="10" fontId="19" fillId="28" borderId="9" applyNumberFormat="0" applyBorder="0" applyAlignment="0" applyProtection="0"/>
    <xf numFmtId="0" fontId="52" fillId="4" borderId="4" applyNumberFormat="0" applyAlignment="0" applyProtection="0"/>
    <xf numFmtId="264" fontId="173" fillId="0" borderId="0" applyNumberFormat="0" applyBorder="0" applyProtection="0"/>
    <xf numFmtId="264" fontId="174" fillId="0" borderId="0"/>
    <xf numFmtId="0" fontId="174" fillId="40" borderId="0" applyNumberFormat="0" applyBorder="0" applyProtection="0">
      <alignment horizontal="center" vertical="center"/>
    </xf>
    <xf numFmtId="249" fontId="175" fillId="0" borderId="0" applyBorder="0">
      <alignment horizontal="right" vertical="top"/>
      <protection locked="0"/>
    </xf>
    <xf numFmtId="0" fontId="126" fillId="0" borderId="0" applyNumberFormat="0" applyFill="0" applyBorder="0" applyAlignment="0">
      <protection locked="0"/>
    </xf>
    <xf numFmtId="0" fontId="77" fillId="0" borderId="0" applyNumberFormat="0" applyFill="0" applyBorder="0" applyAlignment="0"/>
    <xf numFmtId="0" fontId="77" fillId="0" borderId="0" applyNumberFormat="0" applyFill="0" applyBorder="0" applyAlignment="0"/>
    <xf numFmtId="265" fontId="175" fillId="0" borderId="0" applyBorder="0">
      <alignment horizontal="right" vertical="top"/>
      <protection locked="0"/>
    </xf>
    <xf numFmtId="237" fontId="156" fillId="29" borderId="0" applyFill="0" applyBorder="0">
      <protection locked="0"/>
    </xf>
    <xf numFmtId="237" fontId="156" fillId="29" borderId="0" applyFill="0" applyBorder="0">
      <protection locked="0"/>
    </xf>
    <xf numFmtId="249" fontId="175" fillId="0" borderId="0" applyBorder="0" applyProtection="0"/>
    <xf numFmtId="249" fontId="175" fillId="0" borderId="0" applyBorder="0" applyProtection="0"/>
    <xf numFmtId="266" fontId="175" fillId="0" borderId="0" applyBorder="0">
      <alignment horizontal="right" vertical="top"/>
      <protection locked="0"/>
    </xf>
    <xf numFmtId="266" fontId="175" fillId="0" borderId="0" applyBorder="0">
      <alignment horizontal="right" vertical="top"/>
      <protection locked="0"/>
    </xf>
    <xf numFmtId="267" fontId="18" fillId="0" borderId="0"/>
    <xf numFmtId="267" fontId="18" fillId="0" borderId="0"/>
    <xf numFmtId="267" fontId="18" fillId="0" borderId="0"/>
    <xf numFmtId="267" fontId="18" fillId="0" borderId="0"/>
    <xf numFmtId="268" fontId="176" fillId="0" borderId="24" applyFill="0" applyBorder="0" applyProtection="0"/>
    <xf numFmtId="0" fontId="177" fillId="0" borderId="0"/>
    <xf numFmtId="269" fontId="178" fillId="0" borderId="0" applyFont="0" applyFill="0" applyBorder="0" applyAlignment="0" applyProtection="0"/>
    <xf numFmtId="270" fontId="178" fillId="0" borderId="0" applyFont="0" applyFill="0" applyBorder="0" applyAlignment="0" applyProtection="0"/>
    <xf numFmtId="1" fontId="179" fillId="1" borderId="39">
      <protection locked="0"/>
    </xf>
    <xf numFmtId="271" fontId="180" fillId="0" borderId="40" applyFont="0" applyFill="0" applyBorder="0" applyAlignment="0" applyProtection="0"/>
    <xf numFmtId="0" fontId="49" fillId="29" borderId="0" applyNumberFormat="0" applyFill="0" applyBorder="0"/>
    <xf numFmtId="249" fontId="181" fillId="0" borderId="0" applyNumberFormat="0" applyFill="0" applyBorder="0" applyProtection="0">
      <alignment horizontal="left" vertical="top"/>
    </xf>
    <xf numFmtId="0" fontId="182" fillId="0" borderId="0">
      <alignment horizontal="left"/>
    </xf>
    <xf numFmtId="0" fontId="183" fillId="0" borderId="0">
      <alignment horizontal="left"/>
    </xf>
    <xf numFmtId="0" fontId="157" fillId="0" borderId="0">
      <alignment horizontal="left"/>
    </xf>
    <xf numFmtId="0" fontId="157" fillId="0" borderId="0">
      <alignment horizontal="left"/>
    </xf>
    <xf numFmtId="0" fontId="123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37" fontId="184" fillId="0" borderId="0" applyNumberFormat="0" applyFill="0" applyBorder="0" applyAlignment="0" applyProtection="0">
      <alignment horizontal="right"/>
    </xf>
    <xf numFmtId="0" fontId="233" fillId="0" borderId="14" applyNumberFormat="0" applyFill="0" applyAlignment="0" applyProtection="0"/>
    <xf numFmtId="272" fontId="125" fillId="0" borderId="0">
      <alignment horizontal="right"/>
    </xf>
    <xf numFmtId="273" fontId="125" fillId="0" borderId="0">
      <alignment horizontal="right"/>
    </xf>
    <xf numFmtId="0" fontId="99" fillId="0" borderId="0" applyNumberFormat="0" applyFill="0" applyBorder="0" applyProtection="0">
      <alignment horizontal="left" vertical="center"/>
    </xf>
    <xf numFmtId="0" fontId="99" fillId="0" borderId="0" applyNumberFormat="0" applyFill="0" applyBorder="0" applyProtection="0">
      <alignment horizontal="left" vertical="center"/>
    </xf>
    <xf numFmtId="0" fontId="138" fillId="0" borderId="0">
      <alignment vertical="top"/>
    </xf>
    <xf numFmtId="0" fontId="185" fillId="0" borderId="0" applyNumberFormat="0" applyFill="0" applyBorder="0" applyAlignment="0" applyProtection="0"/>
    <xf numFmtId="0" fontId="19" fillId="0" borderId="0" applyNumberFormat="0" applyFill="0" applyBorder="0"/>
    <xf numFmtId="0" fontId="19" fillId="0" borderId="0" applyNumberFormat="0" applyFill="0" applyBorder="0"/>
    <xf numFmtId="265" fontId="19" fillId="0" borderId="0" applyFill="0" applyBorder="0">
      <alignment vertical="top"/>
    </xf>
    <xf numFmtId="265" fontId="19" fillId="0" borderId="0" applyFill="0" applyBorder="0" applyAlignment="0"/>
    <xf numFmtId="265" fontId="19" fillId="0" borderId="0" applyFill="0" applyBorder="0" applyAlignment="0"/>
    <xf numFmtId="249" fontId="185" fillId="0" borderId="0" applyNumberFormat="0" applyFill="0" applyBorder="0" applyAlignment="0"/>
    <xf numFmtId="249" fontId="186" fillId="0" borderId="0" applyNumberFormat="0" applyFill="0" applyBorder="0">
      <alignment vertical="center"/>
    </xf>
    <xf numFmtId="249" fontId="19" fillId="0" borderId="0" applyFill="0" applyBorder="0">
      <alignment horizontal="right"/>
    </xf>
    <xf numFmtId="249" fontId="19" fillId="0" borderId="0" applyFill="0" applyBorder="0">
      <alignment horizontal="right"/>
    </xf>
    <xf numFmtId="0" fontId="19" fillId="0" borderId="0" applyFill="0" applyBorder="0" applyProtection="0">
      <alignment vertical="top"/>
    </xf>
    <xf numFmtId="0" fontId="19" fillId="0" borderId="0" applyFill="0" applyBorder="0" applyProtection="0">
      <alignment vertical="top"/>
    </xf>
    <xf numFmtId="249" fontId="19" fillId="0" borderId="0" applyFill="0" applyBorder="0">
      <alignment horizontal="right" vertical="top"/>
    </xf>
    <xf numFmtId="249" fontId="19" fillId="0" borderId="0" applyFill="0" applyBorder="0">
      <alignment horizontal="right" vertical="top"/>
    </xf>
    <xf numFmtId="41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274" fontId="18" fillId="0" borderId="0" applyFont="0" applyFill="0" applyBorder="0" applyAlignment="0" applyProtection="0"/>
    <xf numFmtId="2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76" fontId="180" fillId="0" borderId="40" applyFont="0" applyFill="0" applyBorder="0" applyAlignment="0" applyProtection="0"/>
    <xf numFmtId="0" fontId="187" fillId="0" borderId="0">
      <alignment horizontal="centerContinuous"/>
    </xf>
    <xf numFmtId="277" fontId="188" fillId="0" borderId="0" applyFont="0" applyFill="0" applyBorder="0" applyProtection="0">
      <alignment horizontal="right"/>
    </xf>
    <xf numFmtId="0" fontId="81" fillId="0" borderId="0" applyFont="0" applyFill="0" applyBorder="0" applyAlignment="0" applyProtection="0">
      <alignment horizontal="right"/>
    </xf>
    <xf numFmtId="43" fontId="127" fillId="0" borderId="0"/>
    <xf numFmtId="43" fontId="127" fillId="0" borderId="0"/>
    <xf numFmtId="0" fontId="189" fillId="0" borderId="0" applyNumberFormat="0" applyFill="0" applyBorder="0" applyProtection="0">
      <alignment horizontal="left"/>
    </xf>
    <xf numFmtId="0" fontId="234" fillId="12" borderId="0" applyNumberFormat="0" applyBorder="0" applyAlignment="0" applyProtection="0"/>
    <xf numFmtId="0" fontId="125" fillId="0" borderId="0">
      <alignment horizontal="left"/>
    </xf>
    <xf numFmtId="170" fontId="44" fillId="0" borderId="0"/>
    <xf numFmtId="0" fontId="190" fillId="29" borderId="0">
      <alignment horizontal="left" indent="1"/>
    </xf>
    <xf numFmtId="0" fontId="191" fillId="0" borderId="0"/>
    <xf numFmtId="0" fontId="191" fillId="0" borderId="0"/>
    <xf numFmtId="0" fontId="191" fillId="0" borderId="0"/>
    <xf numFmtId="0" fontId="191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237" fillId="0" borderId="0"/>
    <xf numFmtId="0" fontId="18" fillId="0" borderId="0"/>
    <xf numFmtId="0" fontId="18" fillId="0" borderId="0"/>
    <xf numFmtId="0" fontId="18" fillId="0" borderId="0"/>
    <xf numFmtId="0" fontId="191" fillId="0" borderId="0"/>
    <xf numFmtId="0" fontId="18" fillId="0" borderId="0"/>
    <xf numFmtId="0" fontId="191" fillId="0" borderId="0"/>
    <xf numFmtId="0" fontId="191" fillId="0" borderId="0"/>
    <xf numFmtId="0" fontId="18" fillId="0" borderId="0"/>
    <xf numFmtId="0" fontId="18" fillId="0" borderId="0"/>
    <xf numFmtId="0" fontId="191" fillId="0" borderId="0"/>
    <xf numFmtId="0" fontId="191" fillId="0" borderId="0"/>
    <xf numFmtId="0" fontId="192" fillId="0" borderId="0"/>
    <xf numFmtId="37" fontId="193" fillId="0" borderId="0" applyNumberFormat="0" applyFont="0" applyFill="0" applyBorder="0" applyAlignment="0" applyProtection="0"/>
    <xf numFmtId="0" fontId="56" fillId="6" borderId="16" applyNumberFormat="0" applyFont="0" applyAlignment="0" applyProtection="0"/>
    <xf numFmtId="0" fontId="56" fillId="6" borderId="16" applyNumberFormat="0" applyFont="0" applyAlignment="0" applyProtection="0"/>
    <xf numFmtId="0" fontId="194" fillId="0" borderId="30"/>
    <xf numFmtId="38" fontId="107" fillId="0" borderId="25" applyFont="0" applyFill="0" applyBorder="0" applyAlignment="0" applyProtection="0"/>
    <xf numFmtId="37" fontId="18" fillId="0" borderId="0"/>
    <xf numFmtId="215" fontId="107" fillId="0" borderId="0" applyFont="0" applyFill="0" applyBorder="0" applyAlignment="0" applyProtection="0"/>
    <xf numFmtId="214" fontId="107" fillId="0" borderId="0" applyFont="0" applyFill="0" applyBorder="0" applyAlignment="0" applyProtection="0"/>
    <xf numFmtId="0" fontId="18" fillId="0" borderId="0">
      <alignment horizontal="left"/>
    </xf>
    <xf numFmtId="0" fontId="18" fillId="0" borderId="0">
      <alignment horizontal="left"/>
    </xf>
    <xf numFmtId="0" fontId="18" fillId="0" borderId="0">
      <alignment horizontal="left"/>
    </xf>
    <xf numFmtId="0" fontId="18" fillId="0" borderId="0">
      <alignment horizontal="left"/>
    </xf>
    <xf numFmtId="0" fontId="235" fillId="26" borderId="17" applyNumberFormat="0" applyAlignment="0" applyProtection="0"/>
    <xf numFmtId="10" fontId="127" fillId="0" borderId="25"/>
    <xf numFmtId="174" fontId="195" fillId="0" borderId="0" applyProtection="0">
      <alignment horizontal="right"/>
    </xf>
    <xf numFmtId="174" fontId="125" fillId="0" borderId="0"/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64" fillId="0" borderId="0" applyNumberFormat="0" applyFill="0" applyBorder="0" applyProtection="0">
      <alignment horizontal="left"/>
    </xf>
    <xf numFmtId="1" fontId="100" fillId="0" borderId="0" applyProtection="0">
      <alignment horizontal="right" vertical="center"/>
    </xf>
    <xf numFmtId="246" fontId="49" fillId="0" borderId="0" applyFont="0" applyFill="0" applyBorder="0">
      <alignment horizontal="right" vertical="top"/>
    </xf>
    <xf numFmtId="278" fontId="49" fillId="29" borderId="0" applyFill="0" applyBorder="0">
      <alignment horizontal="right" vertical="top"/>
    </xf>
    <xf numFmtId="174" fontId="151" fillId="0" borderId="0">
      <alignment horizontal="right"/>
    </xf>
    <xf numFmtId="0" fontId="125" fillId="0" borderId="0"/>
    <xf numFmtId="0" fontId="125" fillId="0" borderId="0"/>
    <xf numFmtId="0" fontId="196" fillId="0" borderId="0"/>
    <xf numFmtId="0" fontId="42" fillId="0" borderId="0"/>
    <xf numFmtId="9" fontId="18" fillId="0" borderId="0" applyFont="0" applyFill="0" applyBorder="0" applyAlignment="0" applyProtection="0"/>
    <xf numFmtId="9" fontId="134" fillId="0" borderId="0" applyFont="0" applyFill="0" applyBorder="0" applyAlignment="0" applyProtection="0"/>
    <xf numFmtId="0" fontId="197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44" fillId="0" borderId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279" fontId="188" fillId="0" borderId="0" applyFont="0" applyFill="0" applyBorder="0" applyProtection="0">
      <alignment horizontal="right"/>
    </xf>
    <xf numFmtId="280" fontId="18" fillId="0" borderId="0" applyFont="0" applyFill="0" applyBorder="0" applyAlignment="0" applyProtection="0"/>
    <xf numFmtId="280" fontId="18" fillId="0" borderId="0" applyFont="0" applyFill="0" applyBorder="0" applyAlignment="0" applyProtection="0"/>
    <xf numFmtId="280" fontId="18" fillId="0" borderId="0" applyFont="0" applyFill="0" applyBorder="0" applyAlignment="0" applyProtection="0"/>
    <xf numFmtId="280" fontId="18" fillId="0" borderId="0" applyFont="0" applyFill="0" applyBorder="0" applyAlignment="0" applyProtection="0"/>
    <xf numFmtId="174" fontId="195" fillId="0" borderId="0">
      <alignment horizontal="right"/>
    </xf>
    <xf numFmtId="0" fontId="198" fillId="0" borderId="0" applyFont="0" applyFill="0" applyBorder="0" applyAlignment="0" applyProtection="0">
      <alignment horizontal="center"/>
    </xf>
    <xf numFmtId="0" fontId="198" fillId="0" borderId="0" applyFont="0" applyFill="0" applyBorder="0" applyAlignment="0" applyProtection="0">
      <alignment horizontal="center"/>
    </xf>
    <xf numFmtId="0" fontId="198" fillId="0" borderId="0" applyFont="0" applyFill="0" applyBorder="0" applyAlignment="0" applyProtection="0">
      <alignment horizontal="center"/>
    </xf>
    <xf numFmtId="10" fontId="126" fillId="0" borderId="0"/>
    <xf numFmtId="9" fontId="126" fillId="0" borderId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0" fontId="199" fillId="38" borderId="0">
      <alignment horizontal="left" indent="1"/>
    </xf>
    <xf numFmtId="0" fontId="200" fillId="0" borderId="0">
      <alignment horizontal="centerContinuous"/>
    </xf>
    <xf numFmtId="0" fontId="201" fillId="0" borderId="7"/>
    <xf numFmtId="236" fontId="202" fillId="0" borderId="0">
      <alignment horizontal="right"/>
    </xf>
    <xf numFmtId="10" fontId="125" fillId="0" borderId="9"/>
    <xf numFmtId="10" fontId="125" fillId="0" borderId="9"/>
    <xf numFmtId="10" fontId="18" fillId="0" borderId="0"/>
    <xf numFmtId="10" fontId="18" fillId="0" borderId="0"/>
    <xf numFmtId="10" fontId="18" fillId="0" borderId="0"/>
    <xf numFmtId="10" fontId="18" fillId="0" borderId="0"/>
    <xf numFmtId="248" fontId="129" fillId="0" borderId="0" applyFont="0" applyFill="0" applyBorder="0" applyAlignment="0" applyProtection="0">
      <alignment horizontal="right"/>
    </xf>
    <xf numFmtId="283" fontId="48" fillId="41" borderId="9" applyNumberFormat="0" applyProtection="0">
      <alignment horizontal="center" vertical="center" wrapText="1"/>
    </xf>
    <xf numFmtId="166" fontId="18" fillId="0" borderId="0" applyFont="0" applyFill="0" applyBorder="0" applyAlignment="0" applyProtection="0"/>
    <xf numFmtId="0" fontId="18" fillId="0" borderId="41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31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17" borderId="0" applyNumberFormat="0" applyFont="0" applyBorder="0" applyAlignment="0" applyProtection="0"/>
    <xf numFmtId="0" fontId="18" fillId="0" borderId="45" applyNumberFormat="0" applyFont="0" applyFill="0" applyAlignment="0" applyProtection="0"/>
    <xf numFmtId="0" fontId="18" fillId="0" borderId="46" applyNumberFormat="0" applyFont="0" applyFill="0" applyAlignment="0" applyProtection="0"/>
    <xf numFmtId="46" fontId="18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47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16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16" applyNumberFormat="0" applyFont="0" applyFill="0" applyAlignment="0" applyProtection="0"/>
    <xf numFmtId="0" fontId="18" fillId="0" borderId="0" applyNumberFormat="0" applyFont="0" applyFill="0" applyBorder="0" applyProtection="0">
      <alignment horizontal="center"/>
    </xf>
    <xf numFmtId="0" fontId="203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48" fillId="0" borderId="0" applyNumberFormat="0" applyFill="0" applyBorder="0" applyProtection="0">
      <alignment horizontal="left"/>
    </xf>
    <xf numFmtId="0" fontId="18" fillId="17" borderId="0" applyNumberFormat="0" applyFont="0" applyBorder="0" applyAlignment="0" applyProtection="0"/>
    <xf numFmtId="0" fontId="20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50" applyNumberFormat="0" applyFont="0" applyFill="0" applyAlignment="0" applyProtection="0"/>
    <xf numFmtId="0" fontId="18" fillId="0" borderId="51" applyNumberFormat="0" applyFont="0" applyFill="0" applyAlignment="0" applyProtection="0"/>
    <xf numFmtId="284" fontId="18" fillId="0" borderId="0" applyFont="0" applyFill="0" applyBorder="0" applyAlignment="0" applyProtection="0"/>
    <xf numFmtId="0" fontId="18" fillId="0" borderId="52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5" applyNumberFormat="0" applyFont="0" applyFill="0" applyAlignment="0" applyProtection="0"/>
    <xf numFmtId="0" fontId="114" fillId="39" borderId="6" applyNumberFormat="0" applyBorder="0" applyProtection="0">
      <alignment horizontal="left" wrapText="1"/>
    </xf>
    <xf numFmtId="1" fontId="188" fillId="17" borderId="0" applyNumberFormat="0" applyFont="0" applyFill="0" applyBorder="0" applyAlignment="0" applyProtection="0"/>
    <xf numFmtId="1" fontId="188" fillId="17" borderId="0" applyNumberFormat="0" applyFont="0" applyFill="0" applyBorder="0" applyAlignment="0" applyProtection="0"/>
    <xf numFmtId="1" fontId="188" fillId="17" borderId="0" applyNumberFormat="0" applyFont="0" applyFill="0" applyBorder="0" applyAlignment="0" applyProtection="0"/>
    <xf numFmtId="1" fontId="188" fillId="17" borderId="0" applyNumberFormat="0" applyFont="0" applyFill="0" applyBorder="0" applyAlignment="0" applyProtection="0"/>
    <xf numFmtId="0" fontId="206" fillId="0" borderId="31">
      <protection locked="0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0"/>
    <xf numFmtId="0" fontId="206" fillId="0" borderId="31">
      <protection locked="0"/>
    </xf>
    <xf numFmtId="0" fontId="27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0" fontId="107" fillId="0" borderId="0">
      <alignment horizontal="center"/>
    </xf>
    <xf numFmtId="0" fontId="107" fillId="0" borderId="0">
      <alignment horizontal="center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236" fontId="125" fillId="0" borderId="19">
      <alignment horizontal="right"/>
    </xf>
    <xf numFmtId="236" fontId="125" fillId="0" borderId="19">
      <alignment horizontal="right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4" fontId="56" fillId="35" borderId="17" applyNumberFormat="0" applyProtection="0">
      <alignment vertical="center"/>
    </xf>
    <xf numFmtId="4" fontId="56" fillId="35" borderId="17" applyNumberFormat="0" applyProtection="0">
      <alignment vertical="center"/>
    </xf>
    <xf numFmtId="4" fontId="56" fillId="35" borderId="17" applyNumberFormat="0" applyProtection="0">
      <alignment vertical="center"/>
    </xf>
    <xf numFmtId="4" fontId="207" fillId="35" borderId="17" applyNumberFormat="0" applyProtection="0">
      <alignment vertical="center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4" fontId="56" fillId="43" borderId="17" applyNumberFormat="0" applyProtection="0">
      <alignment horizontal="right" vertical="center"/>
    </xf>
    <xf numFmtId="4" fontId="56" fillId="43" borderId="17" applyNumberFormat="0" applyProtection="0">
      <alignment horizontal="right" vertical="center"/>
    </xf>
    <xf numFmtId="4" fontId="56" fillId="43" borderId="17" applyNumberFormat="0" applyProtection="0">
      <alignment horizontal="right" vertical="center"/>
    </xf>
    <xf numFmtId="4" fontId="56" fillId="44" borderId="17" applyNumberFormat="0" applyProtection="0">
      <alignment horizontal="right" vertical="center"/>
    </xf>
    <xf numFmtId="4" fontId="56" fillId="44" borderId="17" applyNumberFormat="0" applyProtection="0">
      <alignment horizontal="right" vertical="center"/>
    </xf>
    <xf numFmtId="4" fontId="56" fillId="44" borderId="17" applyNumberFormat="0" applyProtection="0">
      <alignment horizontal="right" vertical="center"/>
    </xf>
    <xf numFmtId="4" fontId="56" fillId="45" borderId="17" applyNumberFormat="0" applyProtection="0">
      <alignment horizontal="right" vertical="center"/>
    </xf>
    <xf numFmtId="4" fontId="56" fillId="45" borderId="17" applyNumberFormat="0" applyProtection="0">
      <alignment horizontal="right" vertical="center"/>
    </xf>
    <xf numFmtId="4" fontId="56" fillId="45" borderId="17" applyNumberFormat="0" applyProtection="0">
      <alignment horizontal="right" vertical="center"/>
    </xf>
    <xf numFmtId="4" fontId="56" fillId="46" borderId="17" applyNumberFormat="0" applyProtection="0">
      <alignment horizontal="right" vertical="center"/>
    </xf>
    <xf numFmtId="4" fontId="56" fillId="46" borderId="17" applyNumberFormat="0" applyProtection="0">
      <alignment horizontal="right" vertical="center"/>
    </xf>
    <xf numFmtId="4" fontId="56" fillId="46" borderId="17" applyNumberFormat="0" applyProtection="0">
      <alignment horizontal="right" vertical="center"/>
    </xf>
    <xf numFmtId="4" fontId="56" fillId="47" borderId="17" applyNumberFormat="0" applyProtection="0">
      <alignment horizontal="right" vertical="center"/>
    </xf>
    <xf numFmtId="4" fontId="56" fillId="47" borderId="17" applyNumberFormat="0" applyProtection="0">
      <alignment horizontal="right" vertical="center"/>
    </xf>
    <xf numFmtId="4" fontId="56" fillId="47" borderId="17" applyNumberFormat="0" applyProtection="0">
      <alignment horizontal="right" vertical="center"/>
    </xf>
    <xf numFmtId="4" fontId="56" fillId="48" borderId="17" applyNumberFormat="0" applyProtection="0">
      <alignment horizontal="right" vertical="center"/>
    </xf>
    <xf numFmtId="4" fontId="56" fillId="48" borderId="17" applyNumberFormat="0" applyProtection="0">
      <alignment horizontal="right" vertical="center"/>
    </xf>
    <xf numFmtId="4" fontId="56" fillId="48" borderId="17" applyNumberFormat="0" applyProtection="0">
      <alignment horizontal="right" vertical="center"/>
    </xf>
    <xf numFmtId="4" fontId="56" fillId="49" borderId="17" applyNumberFormat="0" applyProtection="0">
      <alignment horizontal="right" vertical="center"/>
    </xf>
    <xf numFmtId="4" fontId="56" fillId="49" borderId="17" applyNumberFormat="0" applyProtection="0">
      <alignment horizontal="right" vertical="center"/>
    </xf>
    <xf numFmtId="4" fontId="56" fillId="49" borderId="17" applyNumberFormat="0" applyProtection="0">
      <alignment horizontal="right" vertical="center"/>
    </xf>
    <xf numFmtId="4" fontId="56" fillId="50" borderId="17" applyNumberFormat="0" applyProtection="0">
      <alignment horizontal="right" vertical="center"/>
    </xf>
    <xf numFmtId="4" fontId="56" fillId="50" borderId="17" applyNumberFormat="0" applyProtection="0">
      <alignment horizontal="right" vertical="center"/>
    </xf>
    <xf numFmtId="4" fontId="56" fillId="50" borderId="17" applyNumberFormat="0" applyProtection="0">
      <alignment horizontal="right" vertical="center"/>
    </xf>
    <xf numFmtId="4" fontId="56" fillId="51" borderId="17" applyNumberFormat="0" applyProtection="0">
      <alignment horizontal="right" vertical="center"/>
    </xf>
    <xf numFmtId="4" fontId="56" fillId="51" borderId="17" applyNumberFormat="0" applyProtection="0">
      <alignment horizontal="right" vertical="center"/>
    </xf>
    <xf numFmtId="4" fontId="56" fillId="51" borderId="17" applyNumberFormat="0" applyProtection="0">
      <alignment horizontal="right" vertical="center"/>
    </xf>
    <xf numFmtId="4" fontId="208" fillId="52" borderId="17" applyNumberFormat="0" applyProtection="0">
      <alignment horizontal="left" vertical="center" indent="1"/>
    </xf>
    <xf numFmtId="4" fontId="56" fillId="53" borderId="56" applyNumberFormat="0" applyProtection="0">
      <alignment horizontal="left" vertical="center" indent="1"/>
    </xf>
    <xf numFmtId="4" fontId="56" fillId="53" borderId="56" applyNumberFormat="0" applyProtection="0">
      <alignment horizontal="left" vertical="center" indent="1"/>
    </xf>
    <xf numFmtId="4" fontId="56" fillId="53" borderId="56" applyNumberFormat="0" applyProtection="0">
      <alignment horizontal="left" vertical="center" indent="1"/>
    </xf>
    <xf numFmtId="4" fontId="209" fillId="54" borderId="0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4" fontId="56" fillId="53" borderId="17" applyNumberFormat="0" applyProtection="0">
      <alignment horizontal="left" vertical="center" indent="1"/>
    </xf>
    <xf numFmtId="4" fontId="56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4" fontId="56" fillId="28" borderId="17" applyNumberFormat="0" applyProtection="0">
      <alignment vertical="center"/>
    </xf>
    <xf numFmtId="4" fontId="56" fillId="28" borderId="17" applyNumberFormat="0" applyProtection="0">
      <alignment vertical="center"/>
    </xf>
    <xf numFmtId="4" fontId="56" fillId="28" borderId="17" applyNumberFormat="0" applyProtection="0">
      <alignment vertical="center"/>
    </xf>
    <xf numFmtId="4" fontId="207" fillId="28" borderId="17" applyNumberFormat="0" applyProtection="0">
      <alignment vertical="center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53" borderId="17" applyNumberFormat="0" applyProtection="0">
      <alignment horizontal="right" vertical="center"/>
    </xf>
    <xf numFmtId="4" fontId="56" fillId="53" borderId="17" applyNumberFormat="0" applyProtection="0">
      <alignment horizontal="right" vertical="center"/>
    </xf>
    <xf numFmtId="4" fontId="56" fillId="53" borderId="17" applyNumberFormat="0" applyProtection="0">
      <alignment horizontal="right" vertical="center"/>
    </xf>
    <xf numFmtId="4" fontId="207" fillId="53" borderId="17" applyNumberFormat="0" applyProtection="0">
      <alignment horizontal="right" vertical="center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210" fillId="0" borderId="0"/>
    <xf numFmtId="4" fontId="50" fillId="53" borderId="17" applyNumberFormat="0" applyProtection="0">
      <alignment horizontal="right" vertical="center"/>
    </xf>
    <xf numFmtId="177" fontId="211" fillId="0" borderId="0">
      <protection locked="0"/>
    </xf>
    <xf numFmtId="285" fontId="64" fillId="0" borderId="0" applyNumberFormat="0" applyFill="0" applyBorder="0"/>
    <xf numFmtId="0" fontId="212" fillId="0" borderId="9">
      <alignment horizontal="center" vertical="center"/>
    </xf>
    <xf numFmtId="0" fontId="213" fillId="0" borderId="0" applyNumberFormat="0" applyFill="0" applyBorder="0" applyProtection="0">
      <alignment horizontal="left" vertical="center"/>
    </xf>
    <xf numFmtId="0" fontId="59" fillId="29" borderId="0" applyNumberFormat="0" applyBorder="0">
      <alignment vertical="center"/>
    </xf>
    <xf numFmtId="177" fontId="214" fillId="0" borderId="0"/>
    <xf numFmtId="37" fontId="214" fillId="0" borderId="0"/>
    <xf numFmtId="0" fontId="107" fillId="32" borderId="0" applyNumberFormat="0" applyFont="0" applyBorder="0" applyAlignment="0" applyProtection="0"/>
    <xf numFmtId="0" fontId="174" fillId="37" borderId="0" applyNumberFormat="0" applyFont="0" applyBorder="0" applyAlignment="0" applyProtection="0"/>
    <xf numFmtId="0" fontId="174" fillId="37" borderId="0" applyNumberFormat="0" applyFont="0" applyBorder="0" applyAlignment="0" applyProtection="0"/>
    <xf numFmtId="1" fontId="61" fillId="0" borderId="0" applyFill="0" applyBorder="0" applyAlignment="0" applyProtection="0"/>
    <xf numFmtId="286" fontId="18" fillId="0" borderId="26" applyFont="0" applyFill="0" applyBorder="0" applyAlignment="0" applyProtection="0"/>
    <xf numFmtId="286" fontId="18" fillId="0" borderId="26" applyFont="0" applyFill="0" applyBorder="0" applyAlignment="0" applyProtection="0"/>
    <xf numFmtId="286" fontId="18" fillId="0" borderId="26" applyFont="0" applyFill="0" applyBorder="0" applyAlignment="0" applyProtection="0"/>
    <xf numFmtId="286" fontId="18" fillId="0" borderId="26" applyFont="0" applyFill="0" applyBorder="0" applyAlignment="0" applyProtection="0"/>
    <xf numFmtId="0" fontId="18" fillId="37" borderId="0" applyFill="0" applyBorder="0">
      <alignment horizontal="center"/>
    </xf>
    <xf numFmtId="0" fontId="18" fillId="37" borderId="0" applyFill="0" applyBorder="0">
      <alignment horizontal="center"/>
    </xf>
    <xf numFmtId="0" fontId="18" fillId="37" borderId="0" applyFill="0" applyBorder="0">
      <alignment horizontal="center"/>
    </xf>
    <xf numFmtId="0" fontId="18" fillId="37" borderId="0" applyFill="0" applyBorder="0">
      <alignment horizontal="center"/>
    </xf>
    <xf numFmtId="40" fontId="107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201" fillId="0" borderId="20">
      <alignment horizontal="right"/>
    </xf>
    <xf numFmtId="0" fontId="215" fillId="0" borderId="31"/>
    <xf numFmtId="0" fontId="133" fillId="0" borderId="0">
      <alignment horizontal="centerContinuous"/>
    </xf>
    <xf numFmtId="0" fontId="133" fillId="0" borderId="0">
      <alignment horizontal="centerContinuous"/>
    </xf>
    <xf numFmtId="0" fontId="178" fillId="0" borderId="0"/>
    <xf numFmtId="0" fontId="192" fillId="0" borderId="0"/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56" fillId="0" borderId="0" applyNumberFormat="0" applyBorder="0" applyAlignment="0"/>
    <xf numFmtId="0" fontId="216" fillId="0" borderId="0" applyNumberFormat="0" applyBorder="0" applyAlignment="0"/>
    <xf numFmtId="0" fontId="139" fillId="0" borderId="0" applyNumberFormat="0" applyBorder="0" applyAlignment="0"/>
    <xf numFmtId="0" fontId="217" fillId="0" borderId="0" applyNumberFormat="0" applyBorder="0" applyAlignment="0"/>
    <xf numFmtId="0" fontId="217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56" fillId="0" borderId="0" applyNumberFormat="0" applyBorder="0" applyAlignment="0"/>
    <xf numFmtId="0" fontId="139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209" fillId="0" borderId="0" applyNumberFormat="0" applyBorder="0" applyAlignment="0"/>
    <xf numFmtId="0" fontId="65" fillId="0" borderId="0" applyNumberFormat="0" applyBorder="0" applyAlignment="0"/>
    <xf numFmtId="0" fontId="219" fillId="0" borderId="0" applyNumberFormat="0" applyBorder="0" applyAlignment="0"/>
    <xf numFmtId="0" fontId="62" fillId="0" borderId="0" applyNumberFormat="0" applyBorder="0" applyAlignment="0"/>
    <xf numFmtId="287" fontId="48" fillId="0" borderId="0" applyFill="0" applyBorder="0" applyProtection="0"/>
    <xf numFmtId="287" fontId="48" fillId="0" borderId="0" applyFill="0" applyBorder="0" applyProtection="0"/>
    <xf numFmtId="0" fontId="133" fillId="0" borderId="7">
      <alignment horizontal="center"/>
    </xf>
    <xf numFmtId="0" fontId="133" fillId="0" borderId="7">
      <alignment horizontal="center"/>
    </xf>
    <xf numFmtId="0" fontId="125" fillId="0" borderId="0"/>
    <xf numFmtId="0" fontId="133" fillId="0" borderId="7">
      <alignment horizontal="centerContinuous"/>
    </xf>
    <xf numFmtId="0" fontId="133" fillId="0" borderId="7">
      <alignment horizontal="centerContinuous"/>
    </xf>
    <xf numFmtId="0" fontId="133" fillId="0" borderId="31">
      <alignment horizontal="centerContinuous"/>
    </xf>
    <xf numFmtId="0" fontId="133" fillId="0" borderId="31">
      <alignment horizontal="centerContinuous"/>
    </xf>
    <xf numFmtId="0" fontId="133" fillId="0" borderId="31">
      <alignment horizontal="centerContinuous"/>
    </xf>
    <xf numFmtId="0" fontId="133" fillId="0" borderId="31">
      <alignment horizontal="centerContinuous"/>
    </xf>
    <xf numFmtId="9" fontId="133" fillId="0" borderId="0">
      <alignment horizontal="centerContinuous"/>
    </xf>
    <xf numFmtId="9" fontId="133" fillId="0" borderId="0">
      <alignment horizontal="centerContinuous"/>
    </xf>
    <xf numFmtId="0" fontId="112" fillId="0" borderId="0" applyNumberFormat="0" applyFill="0" applyBorder="0" applyProtection="0">
      <alignment horizontal="left"/>
    </xf>
    <xf numFmtId="0" fontId="110" fillId="0" borderId="0" applyBorder="0" applyProtection="0">
      <alignment vertical="center"/>
    </xf>
    <xf numFmtId="0" fontId="112" fillId="0" borderId="0" applyNumberFormat="0" applyFill="0" applyBorder="0" applyProtection="0">
      <alignment horizontal="left"/>
    </xf>
    <xf numFmtId="187" fontId="18" fillId="0" borderId="0" applyFont="0" applyFill="0" applyBorder="0" applyAlignment="0" applyProtection="0"/>
    <xf numFmtId="0" fontId="58" fillId="0" borderId="0" applyBorder="0" applyProtection="0">
      <alignment horizontal="left"/>
    </xf>
    <xf numFmtId="0" fontId="154" fillId="0" borderId="0" applyNumberFormat="0" applyFill="0" applyBorder="0" applyProtection="0">
      <alignment horizontal="left"/>
    </xf>
    <xf numFmtId="0" fontId="220" fillId="0" borderId="0" applyFill="0" applyBorder="0" applyProtection="0"/>
    <xf numFmtId="0" fontId="97" fillId="0" borderId="0" applyNumberFormat="0" applyFill="0" applyBorder="0" applyProtection="0"/>
    <xf numFmtId="0" fontId="164" fillId="0" borderId="0" applyNumberFormat="0" applyFill="0" applyBorder="0" applyProtection="0"/>
    <xf numFmtId="0" fontId="48" fillId="0" borderId="0" applyFill="0" applyBorder="0" applyProtection="0">
      <alignment horizontal="left"/>
    </xf>
    <xf numFmtId="0" fontId="154" fillId="0" borderId="0" applyNumberFormat="0" applyFill="0" applyBorder="0" applyProtection="0"/>
    <xf numFmtId="0" fontId="19" fillId="0" borderId="24" applyFill="0" applyBorder="0" applyProtection="0">
      <alignment horizontal="left" vertical="top"/>
    </xf>
    <xf numFmtId="0" fontId="221" fillId="38" borderId="0" applyBorder="0">
      <alignment horizontal="left" vertical="center" indent="1"/>
    </xf>
    <xf numFmtId="0" fontId="222" fillId="0" borderId="0" applyNumberFormat="0" applyFill="0" applyBorder="0" applyProtection="0"/>
    <xf numFmtId="0" fontId="222" fillId="0" borderId="0" applyNumberFormat="0" applyFill="0" applyBorder="0" applyProtection="0"/>
    <xf numFmtId="0" fontId="223" fillId="0" borderId="0" applyNumberFormat="0" applyFill="0" applyBorder="0" applyProtection="0"/>
    <xf numFmtId="0" fontId="223" fillId="0" borderId="0" applyNumberFormat="0" applyFill="0" applyBorder="0" applyProtection="0"/>
    <xf numFmtId="0" fontId="222" fillId="0" borderId="0" applyNumberFormat="0" applyFill="0" applyBorder="0" applyProtection="0"/>
    <xf numFmtId="0" fontId="222" fillId="0" borderId="0"/>
    <xf numFmtId="288" fontId="49" fillId="56" borderId="0" applyFill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14" fillId="39" borderId="57" applyNumberFormat="0" applyBorder="0" applyProtection="0">
      <alignment horizontal="left" vertical="center"/>
    </xf>
    <xf numFmtId="289" fontId="50" fillId="0" borderId="0" applyNumberFormat="0" applyFill="0" applyBorder="0" applyAlignment="0" applyProtection="0"/>
    <xf numFmtId="0" fontId="223" fillId="0" borderId="0"/>
    <xf numFmtId="0" fontId="222" fillId="0" borderId="0"/>
    <xf numFmtId="0" fontId="134" fillId="0" borderId="21" applyNumberFormat="0" applyFont="0" applyFill="0" applyAlignment="0" applyProtection="0"/>
    <xf numFmtId="0" fontId="208" fillId="0" borderId="58" applyNumberFormat="0" applyFill="0" applyAlignment="0" applyProtection="0"/>
    <xf numFmtId="0" fontId="133" fillId="0" borderId="0">
      <alignment horizontal="centerContinuous"/>
    </xf>
    <xf numFmtId="0" fontId="133" fillId="0" borderId="0">
      <alignment horizontal="centerContinuous"/>
    </xf>
    <xf numFmtId="164" fontId="126" fillId="0" borderId="0" applyFont="0" applyFill="0" applyBorder="0">
      <alignment horizontal="right"/>
    </xf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262" fontId="18" fillId="0" borderId="0" applyNumberFormat="0"/>
    <xf numFmtId="262" fontId="18" fillId="0" borderId="0" applyNumberFormat="0"/>
    <xf numFmtId="262" fontId="18" fillId="0" borderId="0" applyNumberFormat="0"/>
    <xf numFmtId="262" fontId="18" fillId="0" borderId="0" applyNumberFormat="0"/>
    <xf numFmtId="290" fontId="18" fillId="0" borderId="0" applyFont="0" applyFill="0" applyBorder="0" applyAlignment="0" applyProtection="0"/>
    <xf numFmtId="291" fontId="178" fillId="0" borderId="0" applyFont="0" applyFill="0" applyBorder="0" applyAlignment="0" applyProtection="0"/>
    <xf numFmtId="44" fontId="56" fillId="0" borderId="0" applyFont="0" applyFill="0" applyBorder="0" applyAlignment="0" applyProtection="0"/>
    <xf numFmtId="0" fontId="195" fillId="0" borderId="0" applyFill="0" applyBorder="0" applyProtection="0">
      <alignment horizontal="right"/>
    </xf>
    <xf numFmtId="0" fontId="195" fillId="0" borderId="0" applyFill="0" applyBorder="0" applyProtection="0">
      <alignment horizontal="right"/>
    </xf>
    <xf numFmtId="0" fontId="202" fillId="0" borderId="9"/>
    <xf numFmtId="236" fontId="202" fillId="0" borderId="0">
      <alignment horizontal="right"/>
    </xf>
    <xf numFmtId="0" fontId="50" fillId="0" borderId="0" applyNumberFormat="0" applyFill="0" applyBorder="0" applyAlignment="0" applyProtection="0"/>
    <xf numFmtId="288" fontId="224" fillId="0" borderId="9">
      <alignment horizontal="right" vertical="top"/>
      <protection locked="0"/>
    </xf>
    <xf numFmtId="249" fontId="49" fillId="29" borderId="0" applyFill="0" applyBorder="0">
      <alignment horizontal="right" vertical="top"/>
    </xf>
    <xf numFmtId="249" fontId="48" fillId="0" borderId="0" applyFill="0" applyBorder="0">
      <alignment horizontal="right" vertical="top"/>
    </xf>
    <xf numFmtId="249" fontId="48" fillId="0" borderId="0" applyFill="0" applyBorder="0">
      <alignment horizontal="right" vertical="top"/>
    </xf>
    <xf numFmtId="0" fontId="107" fillId="39" borderId="0" applyNumberFormat="0" applyBorder="0" applyProtection="0">
      <alignment horizontal="left"/>
    </xf>
    <xf numFmtId="14" fontId="107" fillId="0" borderId="0" applyFont="0" applyFill="0" applyBorder="0" applyProtection="0"/>
    <xf numFmtId="1" fontId="60" fillId="0" borderId="0">
      <alignment horizontal="right"/>
    </xf>
    <xf numFmtId="1" fontId="107" fillId="0" borderId="0" applyFill="0" applyBorder="0" applyProtection="0">
      <alignment horizontal="center"/>
    </xf>
    <xf numFmtId="1" fontId="61" fillId="0" borderId="0" applyFont="0" applyFill="0" applyBorder="0" applyAlignment="0" applyProtection="0"/>
    <xf numFmtId="0" fontId="133" fillId="0" borderId="0">
      <alignment horizontal="centerContinuous"/>
    </xf>
    <xf numFmtId="0" fontId="133" fillId="0" borderId="0">
      <alignment horizontal="centerContinuous"/>
    </xf>
    <xf numFmtId="292" fontId="18" fillId="0" borderId="0" applyFont="0" applyFill="0" applyBorder="0" applyAlignment="0" applyProtection="0"/>
    <xf numFmtId="9" fontId="125" fillId="0" borderId="0">
      <alignment horizontal="left"/>
    </xf>
    <xf numFmtId="0" fontId="125" fillId="0" borderId="0">
      <alignment horizontal="left"/>
    </xf>
    <xf numFmtId="0" fontId="125" fillId="0" borderId="0">
      <alignment horizontal="left"/>
    </xf>
    <xf numFmtId="0" fontId="18" fillId="0" borderId="0"/>
    <xf numFmtId="293" fontId="225" fillId="0" borderId="0"/>
    <xf numFmtId="0" fontId="18" fillId="0" borderId="0">
      <alignment horizontal="left" wrapText="1"/>
    </xf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0" fontId="18" fillId="0" borderId="0"/>
    <xf numFmtId="181" fontId="18" fillId="0" borderId="0" applyFont="0" applyFill="0" applyBorder="0" applyAlignment="0" applyProtection="0"/>
    <xf numFmtId="0" fontId="18" fillId="0" borderId="0"/>
    <xf numFmtId="181" fontId="18" fillId="0" borderId="0" applyFont="0" applyFill="0" applyBorder="0" applyAlignment="0" applyProtection="0"/>
    <xf numFmtId="0" fontId="18" fillId="0" borderId="0"/>
    <xf numFmtId="0" fontId="18" fillId="0" borderId="0"/>
    <xf numFmtId="181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8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0"/>
    <xf numFmtId="191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169" fontId="18" fillId="0" borderId="0">
      <alignment horizontal="left" wrapText="1"/>
    </xf>
    <xf numFmtId="254" fontId="18" fillId="0" borderId="0" applyFont="0" applyFill="0" applyBorder="0" applyAlignment="0" applyProtection="0"/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93" fontId="18" fillId="0" borderId="0">
      <alignment horizontal="left" wrapText="1"/>
    </xf>
    <xf numFmtId="193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95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0" fontId="18" fillId="0" borderId="0">
      <alignment horizontal="left" wrapText="1"/>
    </xf>
    <xf numFmtId="199" fontId="18" fillId="0" borderId="0" applyFont="0" applyFill="0" applyBorder="0" applyAlignment="0" applyProtection="0"/>
    <xf numFmtId="257" fontId="18" fillId="0" borderId="0"/>
    <xf numFmtId="20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257" fontId="18" fillId="0" borderId="0"/>
    <xf numFmtId="0" fontId="18" fillId="0" borderId="0" applyFont="0" applyFill="0" applyBorder="0" applyAlignment="0" applyProtection="0"/>
    <xf numFmtId="169" fontId="18" fillId="0" borderId="0">
      <alignment horizontal="left" wrapText="1"/>
    </xf>
    <xf numFmtId="169" fontId="18" fillId="0" borderId="0">
      <alignment horizontal="left" wrapText="1"/>
    </xf>
    <xf numFmtId="257" fontId="18" fillId="0" borderId="0"/>
    <xf numFmtId="0" fontId="18" fillId="0" borderId="0"/>
    <xf numFmtId="0" fontId="18" fillId="0" borderId="0"/>
    <xf numFmtId="202" fontId="18" fillId="25" borderId="1">
      <alignment horizontal="center" vertical="center"/>
    </xf>
    <xf numFmtId="8" fontId="18" fillId="0" borderId="0" applyFont="0" applyFill="0" applyBorder="0" applyAlignment="0"/>
    <xf numFmtId="211" fontId="18" fillId="0" borderId="0" applyFont="0" applyFill="0" applyBorder="0" applyAlignment="0" applyProtection="0">
      <alignment vertical="top"/>
    </xf>
    <xf numFmtId="213" fontId="18" fillId="0" borderId="0" applyFont="0" applyFill="0" applyBorder="0" applyAlignment="0" applyProtection="0">
      <alignment horizontal="right"/>
    </xf>
    <xf numFmtId="216" fontId="18" fillId="0" borderId="0" applyFont="0" applyFill="0" applyBorder="0" applyAlignment="0" applyProtection="0"/>
    <xf numFmtId="218" fontId="18" fillId="28" borderId="0" applyFont="0" applyFill="0" applyBorder="0" applyAlignment="0"/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37" fontId="18" fillId="0" borderId="0" applyFont="0" applyFill="0" applyBorder="0" applyAlignment="0" applyProtection="0"/>
    <xf numFmtId="221" fontId="18" fillId="0" borderId="0" applyFont="0" applyFill="0" applyBorder="0" applyAlignment="0" applyProtection="0">
      <alignment horizontal="left" wrapText="1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0" fontId="18" fillId="6" borderId="16" applyNumberFormat="0" applyFont="0" applyAlignment="0" applyProtection="0"/>
    <xf numFmtId="229" fontId="18" fillId="0" borderId="0" applyFont="0" applyFill="0" applyBorder="0" applyAlignment="0"/>
    <xf numFmtId="231" fontId="18" fillId="0" borderId="0" applyFont="0" applyFill="0" applyBorder="0" applyAlignment="0"/>
    <xf numFmtId="169" fontId="18" fillId="0" borderId="0">
      <alignment horizontal="left" wrapText="1"/>
    </xf>
    <xf numFmtId="0" fontId="18" fillId="0" borderId="0"/>
    <xf numFmtId="0" fontId="18" fillId="0" borderId="0"/>
    <xf numFmtId="193" fontId="18" fillId="0" borderId="0">
      <alignment horizontal="left" wrapText="1"/>
    </xf>
    <xf numFmtId="235" fontId="18" fillId="0" borderId="0"/>
    <xf numFmtId="205" fontId="18" fillId="0" borderId="0">
      <alignment horizontal="left"/>
    </xf>
    <xf numFmtId="257" fontId="18" fillId="0" borderId="0"/>
    <xf numFmtId="257" fontId="18" fillId="0" borderId="0"/>
    <xf numFmtId="257" fontId="18" fillId="0" borderId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68" fontId="18" fillId="0" borderId="0"/>
    <xf numFmtId="0" fontId="18" fillId="0" borderId="0"/>
    <xf numFmtId="191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208" fontId="18" fillId="0" borderId="0" applyFont="0" applyFill="0" applyBorder="0" applyAlignment="0"/>
    <xf numFmtId="220" fontId="18" fillId="0" borderId="0">
      <alignment horizontal="left"/>
    </xf>
    <xf numFmtId="43" fontId="238" fillId="0" borderId="0" applyFont="0" applyFill="0" applyBorder="0" applyAlignment="0" applyProtection="0"/>
    <xf numFmtId="43" fontId="238" fillId="0" borderId="0" applyFont="0" applyFill="0" applyBorder="0" applyAlignment="0" applyProtection="0"/>
    <xf numFmtId="43" fontId="238" fillId="0" borderId="0" applyFont="0" applyFill="0" applyBorder="0" applyAlignment="0" applyProtection="0"/>
    <xf numFmtId="43" fontId="238" fillId="0" borderId="0" applyFont="0" applyFill="0" applyBorder="0" applyAlignment="0" applyProtection="0"/>
    <xf numFmtId="0" fontId="239" fillId="0" borderId="0"/>
    <xf numFmtId="44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14" fillId="0" borderId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3" fillId="3" borderId="0" applyNumberFormat="0" applyBorder="0" applyAlignment="0" applyProtection="0"/>
    <xf numFmtId="0" fontId="56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3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243" fillId="7" borderId="0" applyNumberFormat="0" applyBorder="0" applyAlignment="0" applyProtection="0"/>
    <xf numFmtId="0" fontId="56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3" fillId="8" borderId="0" applyNumberFormat="0" applyBorder="0" applyAlignment="0" applyProtection="0"/>
    <xf numFmtId="0" fontId="56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243" fillId="9" borderId="0" applyNumberFormat="0" applyBorder="0" applyAlignment="0" applyProtection="0"/>
    <xf numFmtId="0" fontId="25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243" fillId="4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243" fillId="10" borderId="0" applyNumberFormat="0" applyBorder="0" applyAlignment="0" applyProtection="0"/>
    <xf numFmtId="0" fontId="56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243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243" fillId="13" borderId="0" applyNumberFormat="0" applyBorder="0" applyAlignment="0" applyProtection="0"/>
    <xf numFmtId="0" fontId="56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243" fillId="8" borderId="0" applyNumberFormat="0" applyBorder="0" applyAlignment="0" applyProtection="0"/>
    <xf numFmtId="0" fontId="56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3" fillId="10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243" fillId="14" borderId="0" applyNumberFormat="0" applyBorder="0" applyAlignment="0" applyProtection="0"/>
    <xf numFmtId="0" fontId="56" fillId="14" borderId="0" applyNumberFormat="0" applyBorder="0" applyAlignment="0" applyProtection="0"/>
    <xf numFmtId="0" fontId="25" fillId="14" borderId="0" applyNumberFormat="0" applyBorder="0" applyAlignment="0" applyProtection="0"/>
    <xf numFmtId="0" fontId="76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16" borderId="0" applyNumberFormat="0" applyBorder="0" applyAlignment="0" applyProtection="0"/>
    <xf numFmtId="0" fontId="124" fillId="16" borderId="0" applyNumberFormat="0" applyBorder="0" applyAlignment="0" applyProtection="0"/>
    <xf numFmtId="0" fontId="76" fillId="16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244" fillId="11" borderId="0" applyNumberFormat="0" applyBorder="0" applyAlignment="0" applyProtection="0"/>
    <xf numFmtId="0" fontId="76" fillId="12" borderId="0" applyNumberFormat="0" applyBorder="0" applyAlignment="0" applyProtection="0"/>
    <xf numFmtId="0" fontId="124" fillId="12" borderId="0" applyNumberFormat="0" applyBorder="0" applyAlignment="0" applyProtection="0"/>
    <xf numFmtId="0" fontId="124" fillId="12" borderId="0" applyNumberFormat="0" applyBorder="0" applyAlignment="0" applyProtection="0"/>
    <xf numFmtId="0" fontId="124" fillId="12" borderId="0" applyNumberFormat="0" applyBorder="0" applyAlignment="0" applyProtection="0"/>
    <xf numFmtId="0" fontId="244" fillId="13" borderId="0" applyNumberFormat="0" applyBorder="0" applyAlignment="0" applyProtection="0"/>
    <xf numFmtId="0" fontId="124" fillId="13" borderId="0" applyNumberFormat="0" applyBorder="0" applyAlignment="0" applyProtection="0"/>
    <xf numFmtId="0" fontId="76" fillId="13" borderId="0" applyNumberFormat="0" applyBorder="0" applyAlignment="0" applyProtection="0"/>
    <xf numFmtId="0" fontId="76" fillId="57" borderId="0" applyNumberFormat="0" applyBorder="0" applyAlignment="0" applyProtection="0"/>
    <xf numFmtId="0" fontId="124" fillId="57" borderId="0" applyNumberFormat="0" applyBorder="0" applyAlignment="0" applyProtection="0"/>
    <xf numFmtId="0" fontId="124" fillId="57" borderId="0" applyNumberFormat="0" applyBorder="0" applyAlignment="0" applyProtection="0"/>
    <xf numFmtId="0" fontId="124" fillId="57" borderId="0" applyNumberFormat="0" applyBorder="0" applyAlignment="0" applyProtection="0"/>
    <xf numFmtId="0" fontId="244" fillId="18" borderId="0" applyNumberFormat="0" applyBorder="0" applyAlignment="0" applyProtection="0"/>
    <xf numFmtId="0" fontId="124" fillId="18" borderId="0" applyNumberFormat="0" applyBorder="0" applyAlignment="0" applyProtection="0"/>
    <xf numFmtId="0" fontId="76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15" borderId="0" applyNumberFormat="0" applyBorder="0" applyAlignment="0" applyProtection="0"/>
    <xf numFmtId="0" fontId="76" fillId="11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244" fillId="19" borderId="0" applyNumberFormat="0" applyBorder="0" applyAlignment="0" applyProtection="0"/>
    <xf numFmtId="0" fontId="124" fillId="19" borderId="0" applyNumberFormat="0" applyBorder="0" applyAlignment="0" applyProtection="0"/>
    <xf numFmtId="0" fontId="76" fillId="19" borderId="0" applyNumberFormat="0" applyBorder="0" applyAlignment="0" applyProtection="0"/>
    <xf numFmtId="0" fontId="76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20" borderId="0" applyNumberFormat="0" applyBorder="0" applyAlignment="0" applyProtection="0"/>
    <xf numFmtId="0" fontId="124" fillId="20" borderId="0" applyNumberFormat="0" applyBorder="0" applyAlignment="0" applyProtection="0"/>
    <xf numFmtId="0" fontId="76" fillId="20" borderId="0" applyNumberFormat="0" applyBorder="0" applyAlignment="0" applyProtection="0"/>
    <xf numFmtId="0" fontId="124" fillId="22" borderId="0" applyNumberFormat="0" applyBorder="0" applyAlignment="0" applyProtection="0"/>
    <xf numFmtId="0" fontId="124" fillId="22" borderId="0" applyNumberFormat="0" applyBorder="0" applyAlignment="0" applyProtection="0"/>
    <xf numFmtId="0" fontId="244" fillId="22" borderId="0" applyNumberFormat="0" applyBorder="0" applyAlignment="0" applyProtection="0"/>
    <xf numFmtId="0" fontId="124" fillId="23" borderId="0" applyNumberFormat="0" applyBorder="0" applyAlignment="0" applyProtection="0"/>
    <xf numFmtId="0" fontId="124" fillId="23" borderId="0" applyNumberFormat="0" applyBorder="0" applyAlignment="0" applyProtection="0"/>
    <xf numFmtId="0" fontId="244" fillId="23" borderId="0" applyNumberFormat="0" applyBorder="0" applyAlignment="0" applyProtection="0"/>
    <xf numFmtId="0" fontId="76" fillId="24" borderId="0" applyNumberFormat="0" applyBorder="0" applyAlignment="0" applyProtection="0"/>
    <xf numFmtId="0" fontId="124" fillId="24" borderId="0" applyNumberFormat="0" applyBorder="0" applyAlignment="0" applyProtection="0"/>
    <xf numFmtId="0" fontId="124" fillId="24" borderId="0" applyNumberFormat="0" applyBorder="0" applyAlignment="0" applyProtection="0"/>
    <xf numFmtId="0" fontId="124" fillId="24" borderId="0" applyNumberFormat="0" applyBorder="0" applyAlignment="0" applyProtection="0"/>
    <xf numFmtId="0" fontId="244" fillId="18" borderId="0" applyNumberFormat="0" applyBorder="0" applyAlignment="0" applyProtection="0"/>
    <xf numFmtId="0" fontId="124" fillId="18" borderId="0" applyNumberFormat="0" applyBorder="0" applyAlignment="0" applyProtection="0"/>
    <xf numFmtId="0" fontId="76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15" borderId="0" applyNumberFormat="0" applyBorder="0" applyAlignment="0" applyProtection="0"/>
    <xf numFmtId="0" fontId="124" fillId="21" borderId="0" applyNumberFormat="0" applyBorder="0" applyAlignment="0" applyProtection="0"/>
    <xf numFmtId="0" fontId="124" fillId="21" borderId="0" applyNumberFormat="0" applyBorder="0" applyAlignment="0" applyProtection="0"/>
    <xf numFmtId="0" fontId="244" fillId="21" borderId="0" applyNumberFormat="0" applyBorder="0" applyAlignment="0" applyProtection="0"/>
    <xf numFmtId="0" fontId="26" fillId="58" borderId="0" applyNumberFormat="0" applyBorder="0" applyAlignment="0" applyProtection="0"/>
    <xf numFmtId="0" fontId="226" fillId="58" borderId="0" applyNumberFormat="0" applyBorder="0" applyAlignment="0" applyProtection="0"/>
    <xf numFmtId="0" fontId="226" fillId="58" borderId="0" applyNumberFormat="0" applyBorder="0" applyAlignment="0" applyProtection="0"/>
    <xf numFmtId="0" fontId="226" fillId="58" borderId="0" applyNumberFormat="0" applyBorder="0" applyAlignment="0" applyProtection="0"/>
    <xf numFmtId="0" fontId="245" fillId="5" borderId="0" applyNumberFormat="0" applyBorder="0" applyAlignment="0" applyProtection="0"/>
    <xf numFmtId="0" fontId="226" fillId="5" borderId="0" applyNumberFormat="0" applyBorder="0" applyAlignment="0" applyProtection="0"/>
    <xf numFmtId="0" fontId="26" fillId="5" borderId="0" applyNumberFormat="0" applyBorder="0" applyAlignment="0" applyProtection="0"/>
    <xf numFmtId="0" fontId="227" fillId="26" borderId="4" applyNumberFormat="0" applyAlignment="0" applyProtection="0"/>
    <xf numFmtId="0" fontId="227" fillId="26" borderId="4" applyNumberFormat="0" applyAlignment="0" applyProtection="0"/>
    <xf numFmtId="0" fontId="227" fillId="26" borderId="4" applyNumberFormat="0" applyAlignment="0" applyProtection="0"/>
    <xf numFmtId="0" fontId="246" fillId="26" borderId="4" applyNumberFormat="0" applyAlignment="0" applyProtection="0"/>
    <xf numFmtId="0" fontId="80" fillId="57" borderId="5" applyNumberFormat="0" applyAlignment="0" applyProtection="0"/>
    <xf numFmtId="0" fontId="228" fillId="57" borderId="5" applyNumberFormat="0" applyAlignment="0" applyProtection="0"/>
    <xf numFmtId="0" fontId="228" fillId="57" borderId="5" applyNumberFormat="0" applyAlignment="0" applyProtection="0"/>
    <xf numFmtId="0" fontId="228" fillId="57" borderId="5" applyNumberFormat="0" applyAlignment="0" applyProtection="0"/>
    <xf numFmtId="0" fontId="247" fillId="27" borderId="5" applyNumberFormat="0" applyAlignment="0" applyProtection="0"/>
    <xf numFmtId="0" fontId="228" fillId="27" borderId="5" applyNumberFormat="0" applyAlignment="0" applyProtection="0"/>
    <xf numFmtId="0" fontId="80" fillId="27" borderId="5" applyNumberFormat="0" applyAlignment="0" applyProtection="0"/>
    <xf numFmtId="43" fontId="1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8" fillId="0" borderId="0" applyFont="0" applyFill="0" applyBorder="0" applyAlignment="0" applyProtection="0"/>
    <xf numFmtId="40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2" fillId="0" borderId="0" applyFont="0" applyFill="0" applyBorder="0" applyAlignment="0" applyProtection="0"/>
    <xf numFmtId="8" fontId="44" fillId="0" borderId="0" applyFont="0" applyFill="0" applyBorder="0" applyAlignment="0" applyProtection="0"/>
    <xf numFmtId="8" fontId="44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29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250" fillId="7" borderId="0" applyNumberFormat="0" applyBorder="0" applyAlignment="0" applyProtection="0"/>
    <xf numFmtId="0" fontId="251" fillId="0" borderId="60" applyNumberFormat="0" applyFill="0" applyAlignment="0" applyProtection="0"/>
    <xf numFmtId="0" fontId="252" fillId="0" borderId="60" applyNumberFormat="0" applyFill="0" applyAlignment="0" applyProtection="0"/>
    <xf numFmtId="0" fontId="252" fillId="0" borderId="60" applyNumberFormat="0" applyFill="0" applyAlignment="0" applyProtection="0"/>
    <xf numFmtId="0" fontId="252" fillId="0" borderId="60" applyNumberFormat="0" applyFill="0" applyAlignment="0" applyProtection="0"/>
    <xf numFmtId="0" fontId="253" fillId="0" borderId="35" applyNumberFormat="0" applyFill="0" applyAlignment="0" applyProtection="0"/>
    <xf numFmtId="0" fontId="230" fillId="0" borderId="35" applyNumberFormat="0" applyFill="0" applyAlignment="0" applyProtection="0"/>
    <xf numFmtId="0" fontId="240" fillId="0" borderId="35" applyNumberFormat="0" applyFill="0" applyAlignment="0" applyProtection="0"/>
    <xf numFmtId="0" fontId="254" fillId="0" borderId="61" applyNumberFormat="0" applyFill="0" applyAlignment="0" applyProtection="0"/>
    <xf numFmtId="0" fontId="255" fillId="0" borderId="61" applyNumberFormat="0" applyFill="0" applyAlignment="0" applyProtection="0"/>
    <xf numFmtId="0" fontId="255" fillId="0" borderId="61" applyNumberFormat="0" applyFill="0" applyAlignment="0" applyProtection="0"/>
    <xf numFmtId="0" fontId="255" fillId="0" borderId="61" applyNumberFormat="0" applyFill="0" applyAlignment="0" applyProtection="0"/>
    <xf numFmtId="0" fontId="256" fillId="0" borderId="36" applyNumberFormat="0" applyFill="0" applyAlignment="0" applyProtection="0"/>
    <xf numFmtId="0" fontId="231" fillId="0" borderId="36" applyNumberFormat="0" applyFill="0" applyAlignment="0" applyProtection="0"/>
    <xf numFmtId="0" fontId="241" fillId="0" borderId="36" applyNumberFormat="0" applyFill="0" applyAlignment="0" applyProtection="0"/>
    <xf numFmtId="0" fontId="37" fillId="0" borderId="12" applyNumberFormat="0" applyFill="0" applyAlignment="0" applyProtection="0"/>
    <xf numFmtId="0" fontId="257" fillId="0" borderId="12" applyNumberFormat="0" applyFill="0" applyAlignment="0" applyProtection="0"/>
    <xf numFmtId="0" fontId="257" fillId="0" borderId="12" applyNumberFormat="0" applyFill="0" applyAlignment="0" applyProtection="0"/>
    <xf numFmtId="0" fontId="257" fillId="0" borderId="12" applyNumberFormat="0" applyFill="0" applyAlignment="0" applyProtection="0"/>
    <xf numFmtId="0" fontId="258" fillId="0" borderId="37" applyNumberFormat="0" applyFill="0" applyAlignment="0" applyProtection="0"/>
    <xf numFmtId="0" fontId="232" fillId="0" borderId="37" applyNumberFormat="0" applyFill="0" applyAlignment="0" applyProtection="0"/>
    <xf numFmtId="0" fontId="93" fillId="0" borderId="37" applyNumberFormat="0" applyFill="0" applyAlignment="0" applyProtection="0"/>
    <xf numFmtId="0" fontId="37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52" fillId="4" borderId="4" applyNumberFormat="0" applyAlignment="0" applyProtection="0"/>
    <xf numFmtId="0" fontId="52" fillId="4" borderId="4" applyNumberFormat="0" applyAlignment="0" applyProtection="0"/>
    <xf numFmtId="0" fontId="52" fillId="4" borderId="4" applyNumberFormat="0" applyAlignment="0" applyProtection="0"/>
    <xf numFmtId="0" fontId="259" fillId="4" borderId="4" applyNumberFormat="0" applyAlignment="0" applyProtection="0"/>
    <xf numFmtId="0" fontId="233" fillId="0" borderId="14" applyNumberFormat="0" applyFill="0" applyAlignment="0" applyProtection="0"/>
    <xf numFmtId="0" fontId="233" fillId="0" borderId="14" applyNumberFormat="0" applyFill="0" applyAlignment="0" applyProtection="0"/>
    <xf numFmtId="0" fontId="233" fillId="0" borderId="14" applyNumberFormat="0" applyFill="0" applyAlignment="0" applyProtection="0"/>
    <xf numFmtId="0" fontId="260" fillId="0" borderId="14" applyNumberFormat="0" applyFill="0" applyAlignment="0" applyProtection="0"/>
    <xf numFmtId="0" fontId="234" fillId="12" borderId="0" applyNumberFormat="0" applyBorder="0" applyAlignment="0" applyProtection="0"/>
    <xf numFmtId="0" fontId="234" fillId="12" borderId="0" applyNumberFormat="0" applyBorder="0" applyAlignment="0" applyProtection="0"/>
    <xf numFmtId="0" fontId="234" fillId="12" borderId="0" applyNumberFormat="0" applyBorder="0" applyAlignment="0" applyProtection="0"/>
    <xf numFmtId="0" fontId="261" fillId="12" borderId="0" applyNumberFormat="0" applyBorder="0" applyAlignment="0" applyProtection="0"/>
    <xf numFmtId="0" fontId="237" fillId="0" borderId="0"/>
    <xf numFmtId="0" fontId="242" fillId="0" borderId="0"/>
    <xf numFmtId="37" fontId="41" fillId="0" borderId="0"/>
    <xf numFmtId="0" fontId="41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262" fillId="0" borderId="0"/>
    <xf numFmtId="0" fontId="262" fillId="0" borderId="0"/>
    <xf numFmtId="0" fontId="242" fillId="0" borderId="0"/>
    <xf numFmtId="0" fontId="44" fillId="0" borderId="0"/>
    <xf numFmtId="0" fontId="242" fillId="0" borderId="0"/>
    <xf numFmtId="0" fontId="242" fillId="0" borderId="0"/>
    <xf numFmtId="0" fontId="18" fillId="0" borderId="0"/>
    <xf numFmtId="0" fontId="262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44" fillId="0" borderId="0"/>
    <xf numFmtId="0" fontId="242" fillId="0" borderId="0"/>
    <xf numFmtId="0" fontId="242" fillId="0" borderId="0"/>
    <xf numFmtId="0" fontId="18" fillId="0" borderId="0"/>
    <xf numFmtId="0" fontId="4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237" fillId="0" borderId="0"/>
    <xf numFmtId="0" fontId="237" fillId="0" borderId="0"/>
    <xf numFmtId="0" fontId="237" fillId="0" borderId="0"/>
    <xf numFmtId="0" fontId="18" fillId="6" borderId="16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235" fillId="26" borderId="17" applyNumberFormat="0" applyAlignment="0" applyProtection="0"/>
    <xf numFmtId="0" fontId="235" fillId="26" borderId="17" applyNumberFormat="0" applyAlignment="0" applyProtection="0"/>
    <xf numFmtId="0" fontId="235" fillId="26" borderId="17" applyNumberFormat="0" applyAlignment="0" applyProtection="0"/>
    <xf numFmtId="0" fontId="263" fillId="26" borderId="17" applyNumberFormat="0" applyAlignment="0" applyProtection="0"/>
    <xf numFmtId="9" fontId="1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9" fillId="0" borderId="62" applyNumberFormat="0" applyFill="0" applyAlignment="0" applyProtection="0"/>
    <xf numFmtId="0" fontId="208" fillId="0" borderId="62" applyNumberFormat="0" applyFill="0" applyAlignment="0" applyProtection="0"/>
    <xf numFmtId="0" fontId="208" fillId="0" borderId="62" applyNumberFormat="0" applyFill="0" applyAlignment="0" applyProtection="0"/>
    <xf numFmtId="0" fontId="208" fillId="0" borderId="62" applyNumberFormat="0" applyFill="0" applyAlignment="0" applyProtection="0"/>
    <xf numFmtId="0" fontId="264" fillId="0" borderId="58" applyNumberFormat="0" applyFill="0" applyAlignment="0" applyProtection="0"/>
    <xf numFmtId="0" fontId="208" fillId="0" borderId="58" applyNumberFormat="0" applyFill="0" applyAlignment="0" applyProtection="0"/>
    <xf numFmtId="0" fontId="29" fillId="0" borderId="58" applyNumberForma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8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9" fillId="29" borderId="0"/>
    <xf numFmtId="168" fontId="18" fillId="0" borderId="0"/>
    <xf numFmtId="0" fontId="266" fillId="59" borderId="0" applyNumberFormat="0" applyBorder="0" applyAlignment="0" applyProtection="0"/>
    <xf numFmtId="0" fontId="44" fillId="0" borderId="0"/>
    <xf numFmtId="0" fontId="44" fillId="0" borderId="0"/>
    <xf numFmtId="0" fontId="18" fillId="0" borderId="0"/>
    <xf numFmtId="0" fontId="18" fillId="0" borderId="0"/>
    <xf numFmtId="0" fontId="13" fillId="0" borderId="0"/>
    <xf numFmtId="0" fontId="18" fillId="0" borderId="0" applyNumberFormat="0" applyFill="0" applyBorder="0" applyAlignment="0" applyProtection="0"/>
    <xf numFmtId="0" fontId="13" fillId="0" borderId="0"/>
    <xf numFmtId="0" fontId="267" fillId="0" borderId="0"/>
    <xf numFmtId="0" fontId="267" fillId="0" borderId="0"/>
    <xf numFmtId="0" fontId="18" fillId="0" borderId="0"/>
    <xf numFmtId="0" fontId="44" fillId="0" borderId="0"/>
    <xf numFmtId="0" fontId="4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8" fillId="0" borderId="0"/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44" fontId="13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8" fillId="0" borderId="0" applyNumberFormat="0">
      <alignment horizontal="right" vertical="top" wrapText="1"/>
    </xf>
    <xf numFmtId="0" fontId="18" fillId="0" borderId="0" applyNumberFormat="0">
      <alignment horizontal="left" vertical="top" wrapText="1"/>
    </xf>
    <xf numFmtId="0" fontId="117" fillId="0" borderId="0"/>
    <xf numFmtId="0" fontId="268" fillId="0" borderId="0"/>
    <xf numFmtId="0" fontId="269" fillId="60" borderId="0">
      <alignment horizontal="left" vertical="center"/>
    </xf>
    <xf numFmtId="0" fontId="22" fillId="0" borderId="63" applyNumberFormat="0">
      <alignment horizontal="right"/>
    </xf>
    <xf numFmtId="0" fontId="22" fillId="0" borderId="63">
      <alignment horizontal="left"/>
    </xf>
    <xf numFmtId="168" fontId="18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69" fillId="60" borderId="0">
      <alignment horizontal="left" vertical="center"/>
    </xf>
    <xf numFmtId="0" fontId="13" fillId="0" borderId="0"/>
    <xf numFmtId="0" fontId="269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8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8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69" fillId="60" borderId="0">
      <alignment horizontal="left" vertical="center"/>
    </xf>
    <xf numFmtId="0" fontId="12" fillId="0" borderId="0"/>
    <xf numFmtId="0" fontId="269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8" fontId="18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69" fillId="60" borderId="0">
      <alignment horizontal="left" vertical="center"/>
    </xf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8" fontId="18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69" fillId="60" borderId="0">
      <alignment horizontal="left" vertical="center"/>
    </xf>
    <xf numFmtId="40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7" fillId="0" borderId="0" applyFont="0" applyFill="0" applyBorder="0" applyAlignment="0" applyProtection="0"/>
    <xf numFmtId="3" fontId="18" fillId="0" borderId="0" applyFont="0" applyFill="0" applyBorder="0" applyAlignment="0" applyProtection="0"/>
    <xf numFmtId="44" fontId="237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81" fillId="0" borderId="0" applyFont="0" applyFill="0" applyBorder="0" applyAlignment="0" applyProtection="0">
      <alignment horizontal="right"/>
    </xf>
    <xf numFmtId="254" fontId="18" fillId="0" borderId="0" applyFont="0" applyFill="0" applyBorder="0" applyAlignment="0" applyProtection="0"/>
    <xf numFmtId="257" fontId="18" fillId="0" borderId="0"/>
    <xf numFmtId="272" fontId="125" fillId="0" borderId="0">
      <alignment horizontal="right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272" fontId="125" fillId="0" borderId="0">
      <alignment horizontal="righ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7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9" fillId="0" borderId="0" applyFont="0" applyFill="0" applyBorder="0" applyAlignment="0" applyProtection="0"/>
    <xf numFmtId="257" fontId="18" fillId="0" borderId="0"/>
    <xf numFmtId="254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18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69" fillId="60" borderId="0">
      <alignment horizontal="left"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1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5" fillId="0" borderId="0" applyFont="0" applyFill="0" applyBorder="0" applyAlignment="0" applyProtection="0"/>
    <xf numFmtId="0" fontId="1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275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94" fontId="25" fillId="0" borderId="0"/>
    <xf numFmtId="0" fontId="3" fillId="0" borderId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76" fillId="62" borderId="0" applyBorder="0"/>
    <xf numFmtId="41" fontId="277" fillId="63" borderId="0" applyNumberFormat="0"/>
    <xf numFmtId="9" fontId="25" fillId="0" borderId="0" applyFont="0" applyFill="0" applyBorder="0" applyAlignment="0" applyProtection="0"/>
    <xf numFmtId="41" fontId="277" fillId="63" borderId="9" applyNumberFormat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14" fontId="278" fillId="64" borderId="9" applyNumberFormat="0"/>
    <xf numFmtId="0" fontId="279" fillId="65" borderId="9" applyNumberFormat="0"/>
    <xf numFmtId="9" fontId="267" fillId="0" borderId="0" applyFont="0" applyFill="0" applyBorder="0" applyAlignment="0" applyProtection="0"/>
    <xf numFmtId="0" fontId="267" fillId="0" borderId="0"/>
    <xf numFmtId="0" fontId="280" fillId="66" borderId="0">
      <alignment horizontal="left" vertical="center"/>
    </xf>
    <xf numFmtId="215" fontId="3" fillId="0" borderId="0" applyFont="0" applyFill="0" applyBorder="0" applyAlignment="0" applyProtection="0"/>
    <xf numFmtId="0" fontId="283" fillId="0" borderId="0"/>
    <xf numFmtId="0" fontId="18" fillId="0" borderId="0"/>
    <xf numFmtId="0" fontId="49" fillId="0" borderId="0"/>
    <xf numFmtId="0" fontId="18" fillId="0" borderId="0"/>
    <xf numFmtId="9" fontId="3" fillId="0" borderId="0" applyFont="0" applyFill="0" applyBorder="0" applyAlignment="0" applyProtection="0"/>
    <xf numFmtId="43" fontId="281" fillId="0" borderId="0" applyFont="0" applyFill="0" applyBorder="0" applyAlignment="0" applyProtection="0"/>
    <xf numFmtId="295" fontId="18" fillId="0" borderId="0" applyFont="0" applyFill="0" applyBorder="0" applyProtection="0">
      <alignment vertical="top"/>
    </xf>
    <xf numFmtId="0" fontId="18" fillId="0" borderId="0"/>
    <xf numFmtId="0" fontId="284" fillId="0" borderId="0"/>
    <xf numFmtId="0" fontId="3" fillId="0" borderId="0"/>
    <xf numFmtId="0" fontId="285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86" fillId="0" borderId="0" applyBorder="0"/>
    <xf numFmtId="0" fontId="284" fillId="0" borderId="0"/>
    <xf numFmtId="0" fontId="304" fillId="0" borderId="0" applyNumberFormat="0" applyFill="0" applyBorder="0" applyAlignment="0" applyProtection="0"/>
    <xf numFmtId="0" fontId="287" fillId="0" borderId="64" applyNumberFormat="0" applyFill="0" applyAlignment="0" applyProtection="0"/>
    <xf numFmtId="0" fontId="288" fillId="0" borderId="65" applyNumberFormat="0" applyFill="0" applyAlignment="0" applyProtection="0"/>
    <xf numFmtId="0" fontId="289" fillId="0" borderId="66" applyNumberFormat="0" applyFill="0" applyAlignment="0" applyProtection="0"/>
    <xf numFmtId="0" fontId="290" fillId="0" borderId="0" applyNumberFormat="0" applyFill="0" applyBorder="0" applyAlignment="0" applyProtection="0"/>
    <xf numFmtId="0" fontId="298" fillId="0" borderId="0" applyProtection="0"/>
    <xf numFmtId="0" fontId="299" fillId="69" borderId="0" applyProtection="0">
      <alignment vertical="center"/>
    </xf>
    <xf numFmtId="0" fontId="284" fillId="72" borderId="0" applyProtection="0">
      <alignment vertical="center"/>
    </xf>
    <xf numFmtId="0" fontId="295" fillId="70" borderId="0" applyProtection="0">
      <alignment horizontal="center" vertical="center" readingOrder="1"/>
    </xf>
    <xf numFmtId="0" fontId="300" fillId="67" borderId="0" applyProtection="0">
      <alignment horizontal="left" vertical="center" readingOrder="1"/>
    </xf>
    <xf numFmtId="0" fontId="295" fillId="68" borderId="0" applyProtection="0">
      <alignment horizontal="center" vertical="center" wrapText="1" readingOrder="1"/>
    </xf>
    <xf numFmtId="0" fontId="300" fillId="68" borderId="0" applyProtection="0">
      <alignment horizontal="left" vertical="center" readingOrder="1"/>
    </xf>
    <xf numFmtId="0" fontId="301" fillId="0" borderId="0" applyProtection="0">
      <alignment vertical="center"/>
    </xf>
    <xf numFmtId="0" fontId="302" fillId="71" borderId="0" applyProtection="0">
      <alignment vertical="center" readingOrder="1"/>
    </xf>
    <xf numFmtId="0" fontId="303" fillId="0" borderId="0" applyProtection="0">
      <alignment horizontal="right" vertical="center" readingOrder="1"/>
    </xf>
    <xf numFmtId="298" fontId="19" fillId="0" borderId="0" applyProtection="0"/>
    <xf numFmtId="296" fontId="19" fillId="0" borderId="0" applyProtection="0"/>
    <xf numFmtId="0" fontId="292" fillId="0" borderId="67" applyNumberFormat="0" applyProtection="0">
      <alignment vertical="center"/>
    </xf>
    <xf numFmtId="0" fontId="293" fillId="0" borderId="0" applyNumberFormat="0" applyProtection="0">
      <alignment vertical="center"/>
    </xf>
    <xf numFmtId="0" fontId="294" fillId="0" borderId="0" applyNumberFormat="0" applyProtection="0">
      <alignment vertical="center"/>
    </xf>
    <xf numFmtId="297" fontId="295" fillId="70" borderId="68" applyProtection="0">
      <alignment vertical="center" readingOrder="1"/>
    </xf>
    <xf numFmtId="297" fontId="295" fillId="68" borderId="68" applyProtection="0">
      <alignment vertical="center" readingOrder="1"/>
    </xf>
    <xf numFmtId="297" fontId="296" fillId="0" borderId="67" applyProtection="0">
      <alignment vertical="center" readingOrder="1"/>
    </xf>
    <xf numFmtId="0" fontId="284" fillId="0" borderId="0" applyNumberFormat="0" applyProtection="0">
      <alignment vertical="center"/>
    </xf>
    <xf numFmtId="0" fontId="284" fillId="0" borderId="67" applyProtection="0">
      <alignment vertical="center" wrapText="1" readingOrder="1"/>
    </xf>
    <xf numFmtId="298" fontId="291" fillId="0" borderId="69" applyProtection="0">
      <alignment vertical="center"/>
    </xf>
    <xf numFmtId="0" fontId="297" fillId="0" borderId="0" applyProtection="0">
      <alignment vertical="top"/>
    </xf>
    <xf numFmtId="0" fontId="284" fillId="0" borderId="0"/>
    <xf numFmtId="0" fontId="18" fillId="0" borderId="0"/>
    <xf numFmtId="0" fontId="18" fillId="0" borderId="0"/>
    <xf numFmtId="0" fontId="3" fillId="0" borderId="0"/>
    <xf numFmtId="9" fontId="285" fillId="0" borderId="0" applyFont="0" applyFill="0" applyBorder="0" applyAlignment="0" applyProtection="0"/>
    <xf numFmtId="0" fontId="3" fillId="0" borderId="0"/>
    <xf numFmtId="43" fontId="285" fillId="0" borderId="0" applyFont="0" applyFill="0" applyBorder="0" applyAlignment="0" applyProtection="0"/>
    <xf numFmtId="0" fontId="18" fillId="0" borderId="0"/>
    <xf numFmtId="0" fontId="3" fillId="0" borderId="0"/>
    <xf numFmtId="0" fontId="18" fillId="0" borderId="0"/>
    <xf numFmtId="0" fontId="3" fillId="0" borderId="0"/>
    <xf numFmtId="44" fontId="18" fillId="0" borderId="0" applyFont="0" applyFill="0" applyBorder="0" applyAlignment="0" applyProtection="0"/>
    <xf numFmtId="9" fontId="286" fillId="0" borderId="0" applyFont="0" applyFill="0" applyBorder="0" applyAlignment="0" applyProtection="0"/>
    <xf numFmtId="44" fontId="284" fillId="0" borderId="0" applyFont="0" applyFill="0" applyBorder="0" applyAlignment="0" applyProtection="0"/>
    <xf numFmtId="0" fontId="3" fillId="0" borderId="0"/>
    <xf numFmtId="0" fontId="282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05" fillId="0" borderId="70" applyNumberFormat="0" applyFont="0" applyProtection="0">
      <alignment wrapText="1"/>
    </xf>
    <xf numFmtId="0" fontId="305" fillId="0" borderId="0" applyNumberFormat="0" applyFill="0" applyBorder="0" applyAlignment="0" applyProtection="0"/>
    <xf numFmtId="0" fontId="305" fillId="0" borderId="71" applyNumberFormat="0" applyProtection="0">
      <alignment wrapText="1"/>
    </xf>
    <xf numFmtId="0" fontId="306" fillId="0" borderId="72" applyNumberFormat="0" applyProtection="0">
      <alignment wrapText="1"/>
    </xf>
    <xf numFmtId="0" fontId="306" fillId="0" borderId="73" applyNumberFormat="0" applyProtection="0">
      <alignment wrapText="1"/>
    </xf>
    <xf numFmtId="0" fontId="307" fillId="0" borderId="0" applyNumberFormat="0" applyProtection="0">
      <alignment horizontal="left"/>
    </xf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75" fillId="0" borderId="0" applyFont="0" applyFill="0" applyBorder="0" applyAlignment="0" applyProtection="0"/>
    <xf numFmtId="0" fontId="310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8" fontId="313" fillId="0" borderId="0">
      <protection locked="0"/>
    </xf>
    <xf numFmtId="0" fontId="2" fillId="0" borderId="0"/>
    <xf numFmtId="0" fontId="314" fillId="0" borderId="0" applyNumberFormat="0" applyFont="0" applyFill="0" applyBorder="0" applyAlignment="0" applyProtection="0">
      <alignment horizontal="left"/>
    </xf>
    <xf numFmtId="15" fontId="314" fillId="0" borderId="0" applyFont="0" applyFill="0" applyBorder="0" applyAlignment="0" applyProtection="0"/>
    <xf numFmtId="4" fontId="314" fillId="0" borderId="0" applyFont="0" applyFill="0" applyBorder="0" applyAlignment="0" applyProtection="0"/>
    <xf numFmtId="0" fontId="315" fillId="0" borderId="2">
      <alignment horizontal="center"/>
    </xf>
    <xf numFmtId="3" fontId="314" fillId="0" borderId="0" applyFont="0" applyFill="0" applyBorder="0" applyAlignment="0" applyProtection="0"/>
    <xf numFmtId="0" fontId="314" fillId="31" borderId="0" applyNumberFormat="0" applyFon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311" fillId="0" borderId="0"/>
    <xf numFmtId="43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43" fontId="90" fillId="0" borderId="0" applyFont="0" applyFill="0" applyBorder="0" applyAlignment="0" applyProtection="0"/>
    <xf numFmtId="0" fontId="311" fillId="0" borderId="0"/>
    <xf numFmtId="0" fontId="21" fillId="0" borderId="0"/>
    <xf numFmtId="9" fontId="22" fillId="0" borderId="0" applyFont="0" applyFill="0" applyBorder="0" applyAlignment="0" applyProtection="0"/>
    <xf numFmtId="38" fontId="18" fillId="0" borderId="0" applyFont="0" applyFill="0" applyBorder="0" applyAlignment="0" applyProtection="0"/>
    <xf numFmtId="40" fontId="18" fillId="0" borderId="0" applyFont="0" applyFill="0" applyBorder="0" applyAlignment="0" applyProtection="0"/>
    <xf numFmtId="0" fontId="316" fillId="0" borderId="0"/>
    <xf numFmtId="40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7" fillId="0" borderId="0" applyNumberFormat="0" applyFill="0" applyBorder="0" applyAlignment="0" applyProtection="0"/>
    <xf numFmtId="0" fontId="318" fillId="75" borderId="77">
      <alignment horizontal="left"/>
    </xf>
    <xf numFmtId="38" fontId="318" fillId="75" borderId="77"/>
    <xf numFmtId="0" fontId="319" fillId="63" borderId="76" applyProtection="0"/>
    <xf numFmtId="300" fontId="318" fillId="76" borderId="77">
      <alignment horizontal="center"/>
    </xf>
    <xf numFmtId="9" fontId="319" fillId="63" borderId="76" applyProtection="0">
      <alignment horizontal="center"/>
    </xf>
    <xf numFmtId="38" fontId="318" fillId="75" borderId="77"/>
    <xf numFmtId="0" fontId="320" fillId="0" borderId="0">
      <alignment horizontal="center"/>
    </xf>
    <xf numFmtId="0" fontId="321" fillId="77" borderId="76" applyNumberFormat="0" applyAlignment="0" applyProtection="0"/>
    <xf numFmtId="0" fontId="312" fillId="0" borderId="7">
      <alignment horizontal="center" wrapText="1"/>
    </xf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5" fontId="18" fillId="0" borderId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9">
    <xf numFmtId="0" fontId="0" fillId="0" borderId="0" xfId="0"/>
    <xf numFmtId="0" fontId="30" fillId="0" borderId="0" xfId="0" applyFont="1"/>
    <xf numFmtId="164" fontId="30" fillId="0" borderId="0" xfId="0" applyNumberFormat="1" applyFont="1"/>
    <xf numFmtId="37" fontId="30" fillId="0" borderId="0" xfId="0" applyNumberFormat="1" applyFont="1"/>
    <xf numFmtId="0" fontId="18" fillId="0" borderId="0" xfId="0" applyFont="1"/>
    <xf numFmtId="37" fontId="22" fillId="0" borderId="23" xfId="0" applyNumberFormat="1" applyFont="1" applyBorder="1"/>
    <xf numFmtId="8" fontId="30" fillId="0" borderId="0" xfId="0" applyNumberFormat="1" applyFont="1"/>
    <xf numFmtId="3" fontId="30" fillId="0" borderId="0" xfId="0" applyNumberFormat="1" applyFont="1"/>
    <xf numFmtId="43" fontId="30" fillId="0" borderId="0" xfId="0" applyNumberFormat="1" applyFont="1"/>
    <xf numFmtId="179" fontId="30" fillId="0" borderId="0" xfId="436" applyNumberFormat="1" applyFont="1" applyFill="1"/>
    <xf numFmtId="0" fontId="22" fillId="61" borderId="0" xfId="0" applyFont="1" applyFill="1"/>
    <xf numFmtId="0" fontId="22" fillId="61" borderId="0" xfId="0" applyFont="1" applyFill="1" applyAlignment="1">
      <alignment horizontal="center"/>
    </xf>
    <xf numFmtId="0" fontId="23" fillId="61" borderId="7" xfId="0" applyFont="1" applyFill="1" applyBorder="1" applyAlignment="1">
      <alignment horizontal="center" vertical="center" wrapText="1"/>
    </xf>
    <xf numFmtId="0" fontId="22" fillId="61" borderId="7" xfId="0" applyFont="1" applyFill="1" applyBorder="1" applyAlignment="1">
      <alignment horizontal="center" vertical="center" wrapText="1"/>
    </xf>
    <xf numFmtId="0" fontId="22" fillId="61" borderId="19" xfId="0" applyFont="1" applyFill="1" applyBorder="1" applyAlignment="1">
      <alignment horizontal="left"/>
    </xf>
    <xf numFmtId="0" fontId="22" fillId="61" borderId="0" xfId="0" applyFont="1" applyFill="1" applyAlignment="1">
      <alignment horizontal="left"/>
    </xf>
    <xf numFmtId="0" fontId="22" fillId="61" borderId="0" xfId="0" applyFont="1" applyFill="1" applyAlignment="1">
      <alignment horizontal="left" vertical="center" wrapText="1"/>
    </xf>
    <xf numFmtId="0" fontId="22" fillId="61" borderId="0" xfId="0" applyFont="1" applyFill="1" applyAlignment="1">
      <alignment vertical="center" wrapText="1"/>
    </xf>
    <xf numFmtId="0" fontId="22" fillId="61" borderId="0" xfId="0" applyFont="1" applyFill="1" applyAlignment="1">
      <alignment horizontal="left" vertical="center"/>
    </xf>
    <xf numFmtId="38" fontId="120" fillId="61" borderId="0" xfId="0" applyNumberFormat="1" applyFont="1" applyFill="1"/>
    <xf numFmtId="43" fontId="22" fillId="61" borderId="0" xfId="0" applyNumberFormat="1" applyFont="1" applyFill="1" applyAlignment="1">
      <alignment horizontal="left" vertical="center"/>
    </xf>
    <xf numFmtId="0" fontId="55" fillId="61" borderId="0" xfId="0" applyFont="1" applyFill="1" applyAlignment="1">
      <alignment vertical="center"/>
    </xf>
    <xf numFmtId="37" fontId="30" fillId="0" borderId="19" xfId="0" applyNumberFormat="1" applyFont="1" applyBorder="1"/>
    <xf numFmtId="0" fontId="54" fillId="0" borderId="0" xfId="0" applyFont="1"/>
    <xf numFmtId="0" fontId="237" fillId="0" borderId="0" xfId="0" applyFont="1"/>
    <xf numFmtId="0" fontId="273" fillId="0" borderId="0" xfId="0" applyFont="1" applyAlignment="1">
      <alignment horizontal="center"/>
    </xf>
    <xf numFmtId="0" fontId="273" fillId="0" borderId="0" xfId="0" applyFont="1"/>
    <xf numFmtId="0" fontId="237" fillId="0" borderId="0" xfId="0" applyFont="1" applyAlignment="1">
      <alignment horizontal="center"/>
    </xf>
    <xf numFmtId="164" fontId="237" fillId="0" borderId="0" xfId="424" applyNumberFormat="1" applyFont="1"/>
    <xf numFmtId="164" fontId="237" fillId="0" borderId="7" xfId="424" applyNumberFormat="1" applyFont="1" applyFill="1" applyBorder="1"/>
    <xf numFmtId="164" fontId="237" fillId="0" borderId="0" xfId="424" applyNumberFormat="1" applyFont="1" applyFill="1"/>
    <xf numFmtId="171" fontId="273" fillId="0" borderId="0" xfId="436" applyNumberFormat="1" applyFont="1"/>
    <xf numFmtId="164" fontId="237" fillId="0" borderId="0" xfId="0" applyNumberFormat="1" applyFont="1"/>
    <xf numFmtId="171" fontId="237" fillId="0" borderId="0" xfId="0" applyNumberFormat="1" applyFont="1"/>
    <xf numFmtId="164" fontId="237" fillId="0" borderId="7" xfId="424" applyNumberFormat="1" applyFont="1" applyBorder="1"/>
    <xf numFmtId="171" fontId="237" fillId="0" borderId="0" xfId="436" applyNumberFormat="1" applyFont="1"/>
    <xf numFmtId="9" fontId="237" fillId="0" borderId="7" xfId="0" applyNumberFormat="1" applyFont="1" applyBorder="1"/>
    <xf numFmtId="0" fontId="237" fillId="0" borderId="7" xfId="0" applyFont="1" applyBorder="1"/>
    <xf numFmtId="171" fontId="30" fillId="0" borderId="0" xfId="436" applyNumberFormat="1" applyFont="1" applyFill="1"/>
    <xf numFmtId="171" fontId="30" fillId="0" borderId="0" xfId="0" applyNumberFormat="1" applyFont="1"/>
    <xf numFmtId="174" fontId="30" fillId="0" borderId="0" xfId="553" applyNumberFormat="1" applyFont="1" applyFill="1"/>
    <xf numFmtId="38" fontId="120" fillId="61" borderId="7" xfId="0" applyNumberFormat="1" applyFont="1" applyFill="1" applyBorder="1"/>
    <xf numFmtId="0" fontId="18" fillId="0" borderId="7" xfId="0" applyFont="1" applyBorder="1"/>
    <xf numFmtId="171" fontId="30" fillId="0" borderId="7" xfId="436" applyNumberFormat="1" applyFont="1" applyFill="1" applyBorder="1"/>
    <xf numFmtId="171" fontId="30" fillId="0" borderId="7" xfId="0" applyNumberFormat="1" applyFont="1" applyBorder="1"/>
    <xf numFmtId="0" fontId="18" fillId="0" borderId="11" xfId="0" applyFont="1" applyBorder="1"/>
    <xf numFmtId="171" fontId="30" fillId="0" borderId="11" xfId="436" applyNumberFormat="1" applyFont="1" applyFill="1" applyBorder="1"/>
    <xf numFmtId="43" fontId="30" fillId="0" borderId="0" xfId="424" applyFont="1" applyFill="1"/>
    <xf numFmtId="3" fontId="30" fillId="0" borderId="7" xfId="0" applyNumberFormat="1" applyFont="1" applyBorder="1"/>
    <xf numFmtId="164" fontId="18" fillId="61" borderId="0" xfId="424" applyNumberFormat="1" applyFont="1" applyFill="1" applyBorder="1" applyAlignment="1">
      <alignment vertical="center"/>
    </xf>
    <xf numFmtId="0" fontId="18" fillId="61" borderId="0" xfId="0" applyFont="1" applyFill="1" applyAlignment="1">
      <alignment vertical="center"/>
    </xf>
    <xf numFmtId="0" fontId="18" fillId="0" borderId="0" xfId="0" applyFont="1" applyAlignment="1">
      <alignment horizontal="center"/>
    </xf>
    <xf numFmtId="0" fontId="22" fillId="0" borderId="7" xfId="0" applyFont="1" applyBorder="1"/>
    <xf numFmtId="165" fontId="30" fillId="0" borderId="7" xfId="553" applyNumberFormat="1" applyFont="1" applyFill="1" applyBorder="1" applyAlignment="1">
      <alignment horizontal="right" vertical="center"/>
    </xf>
    <xf numFmtId="37" fontId="30" fillId="0" borderId="11" xfId="0" applyNumberFormat="1" applyFont="1" applyBorder="1"/>
    <xf numFmtId="164" fontId="30" fillId="0" borderId="0" xfId="424" applyNumberFormat="1" applyFont="1" applyFill="1" applyBorder="1" applyAlignment="1">
      <alignment horizontal="center"/>
    </xf>
    <xf numFmtId="0" fontId="273" fillId="0" borderId="7" xfId="0" applyFont="1" applyBorder="1" applyAlignment="1">
      <alignment horizontal="center"/>
    </xf>
    <xf numFmtId="164" fontId="18" fillId="0" borderId="0" xfId="424" applyNumberFormat="1" applyFont="1" applyFill="1"/>
    <xf numFmtId="0" fontId="18" fillId="61" borderId="0" xfId="0" applyFont="1" applyFill="1"/>
    <xf numFmtId="0" fontId="18" fillId="61" borderId="0" xfId="0" applyFont="1" applyFill="1" applyAlignment="1">
      <alignment vertical="center" wrapText="1"/>
    </xf>
    <xf numFmtId="0" fontId="18" fillId="61" borderId="0" xfId="0" applyFont="1" applyFill="1" applyAlignment="1">
      <alignment horizontal="left"/>
    </xf>
    <xf numFmtId="164" fontId="18" fillId="61" borderId="0" xfId="424" applyNumberFormat="1" applyFont="1" applyFill="1" applyBorder="1"/>
    <xf numFmtId="0" fontId="18" fillId="61" borderId="7" xfId="0" applyFont="1" applyFill="1" applyBorder="1" applyAlignment="1">
      <alignment horizontal="left"/>
    </xf>
    <xf numFmtId="164" fontId="18" fillId="61" borderId="19" xfId="424" applyNumberFormat="1" applyFont="1" applyFill="1" applyBorder="1"/>
    <xf numFmtId="0" fontId="18" fillId="61" borderId="0" xfId="0" applyFont="1" applyFill="1" applyAlignment="1">
      <alignment horizontal="left" vertical="center" wrapText="1"/>
    </xf>
    <xf numFmtId="38" fontId="18" fillId="61" borderId="0" xfId="0" applyNumberFormat="1" applyFont="1" applyFill="1" applyAlignment="1">
      <alignment horizontal="left" vertical="center" wrapText="1"/>
    </xf>
    <xf numFmtId="164" fontId="18" fillId="61" borderId="0" xfId="424" applyNumberFormat="1" applyFont="1" applyFill="1" applyBorder="1" applyAlignment="1">
      <alignment horizontal="left" vertical="center"/>
    </xf>
    <xf numFmtId="0" fontId="18" fillId="61" borderId="0" xfId="0" applyFont="1" applyFill="1" applyAlignment="1">
      <alignment horizontal="left" vertical="center"/>
    </xf>
    <xf numFmtId="164" fontId="18" fillId="61" borderId="0" xfId="0" applyNumberFormat="1" applyFont="1" applyFill="1" applyAlignment="1">
      <alignment horizontal="left" vertical="center" wrapText="1"/>
    </xf>
    <xf numFmtId="164" fontId="18" fillId="61" borderId="0" xfId="0" applyNumberFormat="1" applyFont="1" applyFill="1" applyAlignment="1">
      <alignment vertical="center"/>
    </xf>
    <xf numFmtId="43" fontId="18" fillId="61" borderId="0" xfId="0" applyNumberFormat="1" applyFont="1" applyFill="1" applyAlignment="1">
      <alignment vertical="center"/>
    </xf>
    <xf numFmtId="236" fontId="18" fillId="61" borderId="0" xfId="424" applyNumberFormat="1" applyFont="1" applyFill="1" applyBorder="1" applyAlignment="1">
      <alignment vertical="center"/>
    </xf>
    <xf numFmtId="164" fontId="18" fillId="61" borderId="0" xfId="424" applyNumberFormat="1" applyFont="1" applyFill="1" applyBorder="1" applyAlignment="1">
      <alignment horizontal="center" vertical="center"/>
    </xf>
    <xf numFmtId="43" fontId="18" fillId="61" borderId="0" xfId="424" applyFont="1" applyFill="1" applyBorder="1" applyAlignment="1">
      <alignment vertical="center"/>
    </xf>
    <xf numFmtId="0" fontId="18" fillId="61" borderId="0" xfId="0" applyFont="1" applyFill="1" applyAlignment="1">
      <alignment horizontal="right" vertical="center"/>
    </xf>
    <xf numFmtId="165" fontId="18" fillId="61" borderId="0" xfId="553" applyNumberFormat="1" applyFont="1" applyFill="1" applyBorder="1" applyAlignment="1">
      <alignment vertical="center"/>
    </xf>
    <xf numFmtId="43" fontId="18" fillId="61" borderId="0" xfId="0" applyNumberFormat="1" applyFont="1" applyFill="1" applyAlignment="1">
      <alignment horizontal="left" vertical="center"/>
    </xf>
    <xf numFmtId="2" fontId="18" fillId="61" borderId="0" xfId="553" applyNumberFormat="1" applyFont="1" applyFill="1" applyBorder="1" applyAlignment="1">
      <alignment vertical="center"/>
    </xf>
    <xf numFmtId="164" fontId="18" fillId="61" borderId="0" xfId="0" applyNumberFormat="1" applyFont="1" applyFill="1" applyAlignment="1">
      <alignment horizontal="left" vertical="center"/>
    </xf>
    <xf numFmtId="164" fontId="18" fillId="61" borderId="0" xfId="0" applyNumberFormat="1" applyFont="1" applyFill="1" applyAlignment="1">
      <alignment horizontal="center" vertical="center"/>
    </xf>
    <xf numFmtId="43" fontId="18" fillId="61" borderId="0" xfId="0" applyNumberFormat="1" applyFont="1" applyFill="1"/>
    <xf numFmtId="8" fontId="274" fillId="0" borderId="0" xfId="0" applyNumberFormat="1" applyFont="1"/>
    <xf numFmtId="0" fontId="0" fillId="0" borderId="0" xfId="0" applyAlignment="1">
      <alignment horizontal="left"/>
    </xf>
    <xf numFmtId="9" fontId="18" fillId="0" borderId="0" xfId="553" applyFont="1" applyFill="1" applyAlignment="1"/>
    <xf numFmtId="0" fontId="22" fillId="0" borderId="0" xfId="0" applyFont="1"/>
    <xf numFmtId="0" fontId="18" fillId="73" borderId="0" xfId="0" applyFont="1" applyFill="1"/>
    <xf numFmtId="164" fontId="18" fillId="73" borderId="0" xfId="424" applyNumberFormat="1" applyFont="1" applyFill="1"/>
    <xf numFmtId="3" fontId="18" fillId="0" borderId="24" xfId="0" applyNumberFormat="1" applyFont="1" applyBorder="1"/>
    <xf numFmtId="0" fontId="22" fillId="0" borderId="27" xfId="0" applyFont="1" applyBorder="1"/>
    <xf numFmtId="9" fontId="18" fillId="73" borderId="0" xfId="553" applyFont="1" applyFill="1"/>
    <xf numFmtId="164" fontId="18" fillId="73" borderId="0" xfId="424" applyNumberFormat="1" applyFont="1" applyFill="1" applyBorder="1" applyAlignment="1">
      <alignment horizontal="right"/>
    </xf>
    <xf numFmtId="38" fontId="120" fillId="61" borderId="19" xfId="0" applyNumberFormat="1" applyFont="1" applyFill="1" applyBorder="1"/>
    <xf numFmtId="38" fontId="120" fillId="61" borderId="19" xfId="0" quotePrefix="1" applyNumberFormat="1" applyFont="1" applyFill="1" applyBorder="1"/>
    <xf numFmtId="0" fontId="18" fillId="74" borderId="11" xfId="0" applyFont="1" applyFill="1" applyBorder="1" applyAlignment="1">
      <alignment horizontal="right"/>
    </xf>
    <xf numFmtId="164" fontId="18" fillId="0" borderId="0" xfId="0" applyNumberFormat="1" applyFont="1" applyAlignment="1">
      <alignment vertical="center"/>
    </xf>
    <xf numFmtId="0" fontId="22" fillId="0" borderId="7" xfId="0" applyFont="1" applyBorder="1" applyAlignment="1">
      <alignment horizontal="center"/>
    </xf>
    <xf numFmtId="0" fontId="22" fillId="0" borderId="0" xfId="0" applyFont="1" applyAlignment="1">
      <alignment horizontal="center"/>
    </xf>
    <xf numFmtId="3" fontId="18" fillId="0" borderId="0" xfId="0" applyNumberFormat="1" applyFont="1"/>
    <xf numFmtId="44" fontId="30" fillId="0" borderId="0" xfId="0" applyNumberFormat="1" applyFont="1"/>
    <xf numFmtId="3" fontId="309" fillId="0" borderId="0" xfId="0" applyNumberFormat="1" applyFont="1" applyAlignment="1">
      <alignment wrapText="1"/>
    </xf>
    <xf numFmtId="171" fontId="30" fillId="0" borderId="19" xfId="0" applyNumberFormat="1" applyFont="1" applyBorder="1"/>
    <xf numFmtId="164" fontId="18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18" fillId="0" borderId="0" xfId="0" applyFont="1" applyProtection="1">
      <protection locked="0"/>
    </xf>
    <xf numFmtId="164" fontId="18" fillId="0" borderId="0" xfId="424" applyNumberFormat="1" applyFont="1" applyFill="1" applyBorder="1"/>
    <xf numFmtId="174" fontId="18" fillId="0" borderId="0" xfId="553" applyNumberFormat="1" applyFont="1" applyFill="1" applyBorder="1"/>
    <xf numFmtId="299" fontId="30" fillId="0" borderId="0" xfId="0" applyNumberFormat="1" applyFont="1"/>
    <xf numFmtId="0" fontId="30" fillId="0" borderId="19" xfId="0" applyFont="1" applyBorder="1"/>
    <xf numFmtId="164" fontId="18" fillId="61" borderId="0" xfId="424" applyNumberFormat="1" applyFont="1" applyFill="1" applyBorder="1" applyAlignment="1">
      <alignment horizontal="right"/>
    </xf>
    <xf numFmtId="0" fontId="18" fillId="61" borderId="0" xfId="0" applyFont="1" applyFill="1" applyAlignment="1">
      <alignment horizontal="right"/>
    </xf>
    <xf numFmtId="10" fontId="18" fillId="0" borderId="0" xfId="553" applyNumberFormat="1" applyFont="1" applyFill="1"/>
    <xf numFmtId="3" fontId="22" fillId="0" borderId="0" xfId="0" applyNumberFormat="1" applyFont="1"/>
    <xf numFmtId="37" fontId="22" fillId="0" borderId="11" xfId="0" applyNumberFormat="1" applyFont="1" applyBorder="1"/>
    <xf numFmtId="0" fontId="18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18" fillId="0" borderId="7" xfId="0" applyFont="1" applyBorder="1" applyAlignment="1">
      <alignment horizontal="center"/>
    </xf>
    <xf numFmtId="0" fontId="18" fillId="0" borderId="0" xfId="0" applyFont="1" applyAlignment="1">
      <alignment horizontal="left" indent="2"/>
    </xf>
    <xf numFmtId="164" fontId="18" fillId="73" borderId="7" xfId="424" applyNumberFormat="1" applyFont="1" applyFill="1" applyBorder="1"/>
    <xf numFmtId="164" fontId="18" fillId="0" borderId="0" xfId="0" applyNumberFormat="1" applyFont="1"/>
    <xf numFmtId="164" fontId="18" fillId="73" borderId="0" xfId="424" applyNumberFormat="1" applyFont="1" applyFill="1" applyBorder="1"/>
    <xf numFmtId="10" fontId="18" fillId="0" borderId="0" xfId="553" applyNumberFormat="1" applyFont="1" applyFill="1" applyBorder="1"/>
    <xf numFmtId="301" fontId="18" fillId="0" borderId="0" xfId="424" applyNumberFormat="1" applyFont="1" applyFill="1" applyBorder="1"/>
    <xf numFmtId="43" fontId="30" fillId="0" borderId="7" xfId="424" applyFont="1" applyFill="1" applyBorder="1"/>
    <xf numFmtId="10" fontId="18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3" fillId="78" borderId="0" xfId="0" applyFont="1" applyFill="1" applyAlignment="1">
      <alignment horizontal="center"/>
    </xf>
    <xf numFmtId="0" fontId="273" fillId="78" borderId="0" xfId="0" applyFont="1" applyFill="1"/>
    <xf numFmtId="171" fontId="22" fillId="78" borderId="0" xfId="0" applyNumberFormat="1" applyFont="1" applyFill="1"/>
    <xf numFmtId="0" fontId="55" fillId="74" borderId="11" xfId="0" applyFont="1" applyFill="1" applyBorder="1" applyAlignment="1">
      <alignment horizontal="right"/>
    </xf>
    <xf numFmtId="164" fontId="55" fillId="74" borderId="11" xfId="424" applyNumberFormat="1" applyFont="1" applyFill="1" applyBorder="1" applyAlignment="1">
      <alignment horizontal="right"/>
    </xf>
    <xf numFmtId="0" fontId="1" fillId="0" borderId="0" xfId="2959"/>
    <xf numFmtId="0" fontId="322" fillId="0" borderId="0" xfId="2959" applyFont="1"/>
    <xf numFmtId="10" fontId="1" fillId="0" borderId="0" xfId="2960" applyNumberFormat="1"/>
    <xf numFmtId="10" fontId="18" fillId="73" borderId="0" xfId="553" applyNumberFormat="1" applyFont="1" applyFill="1"/>
    <xf numFmtId="0" fontId="18" fillId="0" borderId="0" xfId="0" applyFont="1" applyAlignment="1">
      <alignment horizontal="left"/>
    </xf>
    <xf numFmtId="2" fontId="18" fillId="73" borderId="0" xfId="0" applyNumberFormat="1" applyFont="1" applyFill="1"/>
    <xf numFmtId="0" fontId="18" fillId="0" borderId="24" xfId="0" applyFont="1" applyBorder="1"/>
    <xf numFmtId="0" fontId="18" fillId="0" borderId="26" xfId="0" applyFont="1" applyBorder="1"/>
    <xf numFmtId="0" fontId="18" fillId="0" borderId="28" xfId="0" applyFont="1" applyBorder="1"/>
    <xf numFmtId="0" fontId="22" fillId="0" borderId="74" xfId="0" applyFont="1" applyBorder="1" applyAlignment="1">
      <alignment horizontal="center"/>
    </xf>
    <xf numFmtId="0" fontId="18" fillId="0" borderId="25" xfId="0" applyFont="1" applyBorder="1"/>
    <xf numFmtId="171" fontId="18" fillId="0" borderId="25" xfId="436" applyNumberFormat="1" applyFont="1" applyFill="1" applyBorder="1" applyProtection="1"/>
    <xf numFmtId="171" fontId="18" fillId="0" borderId="75" xfId="436" applyNumberFormat="1" applyFont="1" applyFill="1" applyBorder="1" applyProtection="1"/>
    <xf numFmtId="164" fontId="22" fillId="0" borderId="25" xfId="424" applyNumberFormat="1" applyFont="1" applyFill="1" applyBorder="1" applyProtection="1"/>
    <xf numFmtId="0" fontId="22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18" fillId="0" borderId="0" xfId="0" applyFont="1" applyAlignment="1">
      <alignment horizontal="right"/>
    </xf>
    <xf numFmtId="49" fontId="18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 wrapText="1"/>
    </xf>
    <xf numFmtId="37" fontId="18" fillId="0" borderId="0" xfId="0" applyNumberFormat="1" applyFont="1" applyAlignment="1">
      <alignment horizontal="center" wrapText="1"/>
    </xf>
    <xf numFmtId="37" fontId="18" fillId="0" borderId="0" xfId="0" applyNumberFormat="1" applyFont="1" applyAlignment="1">
      <alignment horizontal="center"/>
    </xf>
    <xf numFmtId="5" fontId="18" fillId="0" borderId="0" xfId="0" applyNumberFormat="1" applyFont="1"/>
    <xf numFmtId="10" fontId="18" fillId="0" borderId="0" xfId="0" applyNumberFormat="1" applyFont="1"/>
    <xf numFmtId="0" fontId="18" fillId="0" borderId="0" xfId="1157"/>
    <xf numFmtId="49" fontId="22" fillId="0" borderId="0" xfId="1157" applyNumberFormat="1" applyFont="1" applyAlignment="1">
      <alignment horizontal="center" wrapText="1"/>
    </xf>
    <xf numFmtId="0" fontId="324" fillId="0" borderId="0" xfId="1157" applyFont="1" applyAlignment="1">
      <alignment horizontal="center"/>
    </xf>
    <xf numFmtId="37" fontId="22" fillId="0" borderId="0" xfId="1157" applyNumberFormat="1" applyFont="1" applyAlignment="1">
      <alignment horizontal="center"/>
    </xf>
    <xf numFmtId="37" fontId="22" fillId="0" borderId="0" xfId="1157" applyNumberFormat="1" applyFont="1" applyAlignment="1">
      <alignment horizontal="center" wrapText="1"/>
    </xf>
    <xf numFmtId="49" fontId="18" fillId="0" borderId="0" xfId="1157" applyNumberFormat="1" applyAlignment="1">
      <alignment wrapText="1"/>
    </xf>
    <xf numFmtId="37" fontId="18" fillId="0" borderId="0" xfId="1157" applyNumberFormat="1" applyAlignment="1">
      <alignment horizontal="center"/>
    </xf>
    <xf numFmtId="304" fontId="18" fillId="0" borderId="0" xfId="1157" applyNumberFormat="1"/>
    <xf numFmtId="49" fontId="18" fillId="0" borderId="0" xfId="1157" applyNumberFormat="1"/>
    <xf numFmtId="302" fontId="18" fillId="0" borderId="0" xfId="1157" applyNumberFormat="1"/>
    <xf numFmtId="305" fontId="18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18" fillId="0" borderId="0" xfId="0" applyNumberFormat="1" applyFont="1"/>
    <xf numFmtId="10" fontId="18" fillId="0" borderId="0" xfId="0" applyNumberFormat="1" applyFont="1" applyAlignment="1">
      <alignment horizontal="right"/>
    </xf>
    <xf numFmtId="49" fontId="18" fillId="0" borderId="0" xfId="0" applyNumberFormat="1" applyFont="1" applyAlignment="1">
      <alignment horizontal="right"/>
    </xf>
    <xf numFmtId="303" fontId="22" fillId="0" borderId="0" xfId="0" applyNumberFormat="1" applyFont="1"/>
    <xf numFmtId="10" fontId="30" fillId="0" borderId="0" xfId="553" applyNumberFormat="1" applyFont="1" applyFill="1"/>
    <xf numFmtId="44" fontId="30" fillId="0" borderId="0" xfId="436" applyFont="1" applyFill="1"/>
    <xf numFmtId="9" fontId="18" fillId="61" borderId="0" xfId="553" applyFont="1" applyFill="1" applyBorder="1" applyAlignment="1">
      <alignment vertical="center"/>
    </xf>
    <xf numFmtId="44" fontId="30" fillId="0" borderId="0" xfId="436" applyFont="1" applyFill="1" applyAlignment="1"/>
    <xf numFmtId="0" fontId="18" fillId="79" borderId="0" xfId="0" applyFont="1" applyFill="1"/>
    <xf numFmtId="165" fontId="30" fillId="0" borderId="0" xfId="553" applyNumberFormat="1" applyFont="1" applyFill="1" applyBorder="1" applyAlignment="1">
      <alignment horizontal="right" vertical="center"/>
    </xf>
    <xf numFmtId="171" fontId="30" fillId="0" borderId="0" xfId="436" applyNumberFormat="1" applyFont="1" applyFill="1" applyBorder="1"/>
    <xf numFmtId="43" fontId="30" fillId="0" borderId="0" xfId="424" applyFont="1" applyFill="1" applyBorder="1"/>
    <xf numFmtId="37" fontId="22" fillId="0" borderId="0" xfId="0" applyNumberFormat="1" applyFont="1"/>
    <xf numFmtId="179" fontId="30" fillId="0" borderId="0" xfId="436" applyNumberFormat="1" applyFont="1" applyFill="1" applyBorder="1"/>
    <xf numFmtId="44" fontId="30" fillId="0" borderId="0" xfId="436" applyFont="1" applyFill="1" applyBorder="1"/>
    <xf numFmtId="174" fontId="30" fillId="0" borderId="0" xfId="553" applyNumberFormat="1" applyFont="1" applyFill="1" applyBorder="1"/>
    <xf numFmtId="9" fontId="18" fillId="0" borderId="0" xfId="553" applyFont="1" applyFill="1" applyBorder="1"/>
    <xf numFmtId="10" fontId="0" fillId="61" borderId="7" xfId="0" applyNumberFormat="1" applyFill="1" applyBorder="1"/>
    <xf numFmtId="0" fontId="18" fillId="0" borderId="11" xfId="0" applyFont="1" applyBorder="1" applyAlignment="1">
      <alignment horizontal="right"/>
    </xf>
    <xf numFmtId="164" fontId="18" fillId="0" borderId="0" xfId="424" applyNumberFormat="1" applyFont="1" applyFill="1" applyBorder="1" applyAlignment="1">
      <alignment horizontal="right"/>
    </xf>
    <xf numFmtId="0" fontId="310" fillId="0" borderId="0" xfId="2916" applyFill="1" applyBorder="1"/>
    <xf numFmtId="0" fontId="325" fillId="0" borderId="0" xfId="0" applyFont="1"/>
    <xf numFmtId="0" fontId="326" fillId="0" borderId="0" xfId="0" applyFont="1"/>
    <xf numFmtId="164" fontId="326" fillId="0" borderId="0" xfId="424" applyNumberFormat="1" applyFont="1" applyFill="1" applyBorder="1"/>
    <xf numFmtId="10" fontId="0" fillId="0" borderId="0" xfId="0" applyNumberFormat="1"/>
    <xf numFmtId="0" fontId="18" fillId="73" borderId="0" xfId="0" applyFont="1" applyFill="1" applyProtection="1">
      <protection locked="0"/>
    </xf>
    <xf numFmtId="0" fontId="18" fillId="0" borderId="24" xfId="0" applyFont="1" applyBorder="1" applyAlignment="1">
      <alignment horizontal="left"/>
    </xf>
    <xf numFmtId="3" fontId="18" fillId="73" borderId="0" xfId="0" applyNumberFormat="1" applyFont="1" applyFill="1"/>
    <xf numFmtId="164" fontId="22" fillId="0" borderId="0" xfId="424" applyNumberFormat="1" applyFont="1" applyFill="1"/>
    <xf numFmtId="10" fontId="0" fillId="79" borderId="0" xfId="553" applyNumberFormat="1" applyFont="1" applyFill="1"/>
    <xf numFmtId="164" fontId="0" fillId="0" borderId="7" xfId="424" applyNumberFormat="1" applyFont="1" applyBorder="1"/>
    <xf numFmtId="171" fontId="0" fillId="0" borderId="7" xfId="0" applyNumberFormat="1" applyBorder="1"/>
    <xf numFmtId="171" fontId="22" fillId="0" borderId="0" xfId="0" applyNumberFormat="1" applyFont="1"/>
    <xf numFmtId="49" fontId="18" fillId="0" borderId="0" xfId="0" applyNumberFormat="1" applyFont="1" applyAlignment="1">
      <alignment horizontal="center"/>
    </xf>
    <xf numFmtId="49" fontId="18" fillId="0" borderId="0" xfId="0" applyNumberFormat="1" applyFont="1"/>
    <xf numFmtId="0" fontId="0" fillId="0" borderId="0" xfId="0"/>
    <xf numFmtId="49" fontId="323" fillId="0" borderId="0" xfId="1157" applyNumberFormat="1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72" fillId="61" borderId="0" xfId="0" applyFont="1" applyFill="1" applyAlignment="1">
      <alignment horizontal="center"/>
    </xf>
    <xf numFmtId="0" fontId="20" fillId="0" borderId="0" xfId="533" applyFont="1" applyAlignment="1">
      <alignment horizontal="center"/>
    </xf>
  </cellXfs>
  <cellStyles count="2961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3" xfId="2085" xr:uid="{00000000-0005-0000-0000-000052040000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3" xfId="2089" xr:uid="{00000000-0005-0000-0000-000056040000}"/>
    <cellStyle name="Comma 17 4" xfId="2090" xr:uid="{00000000-0005-0000-0000-000057040000}"/>
    <cellStyle name="Comma 17 4 2" xfId="2091" xr:uid="{00000000-0005-0000-0000-000058040000}"/>
    <cellStyle name="Comma 17 5" xfId="2092" xr:uid="{00000000-0005-0000-0000-000059040000}"/>
    <cellStyle name="Comma 17 6" xfId="2571" xr:uid="{00000000-0005-0000-0000-00005A040000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3" xfId="2104" xr:uid="{00000000-0005-0000-0000-00006D040000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3" xfId="2108" xr:uid="{00000000-0005-0000-0000-000071040000}"/>
    <cellStyle name="Comma 20 4" xfId="2109" xr:uid="{00000000-0005-0000-0000-000072040000}"/>
    <cellStyle name="Comma 20 4 2" xfId="2110" xr:uid="{00000000-0005-0000-0000-000073040000}"/>
    <cellStyle name="Comma 20 5" xfId="2111" xr:uid="{00000000-0005-0000-0000-000074040000}"/>
    <cellStyle name="Comma 20 6" xfId="2573" xr:uid="{00000000-0005-0000-0000-000075040000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3" xfId="2117" xr:uid="{00000000-0005-0000-0000-000087040000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3" xfId="2121" xr:uid="{00000000-0005-0000-0000-00008B040000}"/>
    <cellStyle name="Comma 3 10 4" xfId="2122" xr:uid="{00000000-0005-0000-0000-00008C040000}"/>
    <cellStyle name="Comma 3 10 4 2" xfId="2123" xr:uid="{00000000-0005-0000-0000-00008D040000}"/>
    <cellStyle name="Comma 3 10 5" xfId="2124" xr:uid="{00000000-0005-0000-0000-00008E040000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3" xfId="2129" xr:uid="{00000000-0005-0000-0000-000093040000}"/>
    <cellStyle name="Comma 3 13" xfId="2130" xr:uid="{00000000-0005-0000-0000-000094040000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3" xfId="2136" xr:uid="{00000000-0005-0000-0000-00009C040000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3" xfId="2140" xr:uid="{00000000-0005-0000-0000-0000A0040000}"/>
    <cellStyle name="Comma 3 4 4" xfId="2141" xr:uid="{00000000-0005-0000-0000-0000A1040000}"/>
    <cellStyle name="Comma 3 4 4 2" xfId="2142" xr:uid="{00000000-0005-0000-0000-0000A2040000}"/>
    <cellStyle name="Comma 3 4 5" xfId="2143" xr:uid="{00000000-0005-0000-0000-0000A3040000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3" xfId="2148" xr:uid="{00000000-0005-0000-0000-0000A8040000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3" xfId="2152" xr:uid="{00000000-0005-0000-0000-0000AC040000}"/>
    <cellStyle name="Comma 3 5 4" xfId="2153" xr:uid="{00000000-0005-0000-0000-0000AD040000}"/>
    <cellStyle name="Comma 3 5 4 2" xfId="2154" xr:uid="{00000000-0005-0000-0000-0000AE040000}"/>
    <cellStyle name="Comma 3 5 5" xfId="2155" xr:uid="{00000000-0005-0000-0000-0000AF040000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3" xfId="2160" xr:uid="{00000000-0005-0000-0000-0000B4040000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3" xfId="2164" xr:uid="{00000000-0005-0000-0000-0000B8040000}"/>
    <cellStyle name="Comma 3 6 4" xfId="2165" xr:uid="{00000000-0005-0000-0000-0000B9040000}"/>
    <cellStyle name="Comma 3 6 4 2" xfId="2166" xr:uid="{00000000-0005-0000-0000-0000BA040000}"/>
    <cellStyle name="Comma 3 6 5" xfId="2167" xr:uid="{00000000-0005-0000-0000-0000BB04000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3" xfId="2172" xr:uid="{00000000-0005-0000-0000-0000C0040000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3" xfId="2176" xr:uid="{00000000-0005-0000-0000-0000C4040000}"/>
    <cellStyle name="Comma 3 7 4" xfId="2177" xr:uid="{00000000-0005-0000-0000-0000C5040000}"/>
    <cellStyle name="Comma 3 7 4 2" xfId="2178" xr:uid="{00000000-0005-0000-0000-0000C6040000}"/>
    <cellStyle name="Comma 3 7 5" xfId="2179" xr:uid="{00000000-0005-0000-0000-0000C7040000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3" xfId="2184" xr:uid="{00000000-0005-0000-0000-0000CC040000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3" xfId="2188" xr:uid="{00000000-0005-0000-0000-0000D0040000}"/>
    <cellStyle name="Comma 3 8 4" xfId="2189" xr:uid="{00000000-0005-0000-0000-0000D1040000}"/>
    <cellStyle name="Comma 3 8 4 2" xfId="2190" xr:uid="{00000000-0005-0000-0000-0000D2040000}"/>
    <cellStyle name="Comma 3 8 5" xfId="2191" xr:uid="{00000000-0005-0000-0000-0000D3040000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3" xfId="2196" xr:uid="{00000000-0005-0000-0000-0000D8040000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3" xfId="2200" xr:uid="{00000000-0005-0000-0000-0000DC040000}"/>
    <cellStyle name="Comma 3 9 4" xfId="2201" xr:uid="{00000000-0005-0000-0000-0000DD040000}"/>
    <cellStyle name="Comma 3 9 4 2" xfId="2202" xr:uid="{00000000-0005-0000-0000-0000DE040000}"/>
    <cellStyle name="Comma 3 9 5" xfId="2203" xr:uid="{00000000-0005-0000-0000-0000DF040000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3" xfId="2212" xr:uid="{00000000-0005-0000-0000-00002B050000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3" xfId="2216" xr:uid="{00000000-0005-0000-0000-00002F050000}"/>
    <cellStyle name="Currency 10 4" xfId="2217" xr:uid="{00000000-0005-0000-0000-000030050000}"/>
    <cellStyle name="Currency 10 4 2" xfId="2218" xr:uid="{00000000-0005-0000-0000-000031050000}"/>
    <cellStyle name="Currency 10 5" xfId="2219" xr:uid="{00000000-0005-0000-0000-000032050000}"/>
    <cellStyle name="Currency 10 6" xfId="2208" xr:uid="{00000000-0005-0000-0000-000033050000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2" xfId="2282" xr:uid="{00000000-0005-0000-0000-0000E9060000}"/>
    <cellStyle name="Normal 10 3" xfId="2587" xr:uid="{00000000-0005-0000-0000-0000EA060000}"/>
    <cellStyle name="Normal 10 4" xfId="2912" xr:uid="{771A17B4-C4C4-409D-9EFA-006B3BE98A59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3" xfId="2291" xr:uid="{00000000-0005-0000-0000-000001070000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3" xfId="2295" xr:uid="{00000000-0005-0000-0000-000005070000}"/>
    <cellStyle name="Normal 15 4" xfId="2296" xr:uid="{00000000-0005-0000-0000-000006070000}"/>
    <cellStyle name="Normal 15 4 2" xfId="2297" xr:uid="{00000000-0005-0000-0000-000007070000}"/>
    <cellStyle name="Normal 15 5" xfId="2298" xr:uid="{00000000-0005-0000-0000-000008070000}"/>
    <cellStyle name="Normal 15 6" xfId="2287" xr:uid="{00000000-0005-0000-0000-000009070000}"/>
    <cellStyle name="Normal 15 7" xfId="2592" xr:uid="{00000000-0005-0000-0000-00000A070000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8" xfId="2324" xr:uid="{00000000-0005-0000-0000-000050070000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3" xfId="2335" xr:uid="{00000000-0005-0000-0000-00005D070000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3" xfId="2339" xr:uid="{00000000-0005-0000-0000-000061070000}"/>
    <cellStyle name="Normal 35 4" xfId="2340" xr:uid="{00000000-0005-0000-0000-000062070000}"/>
    <cellStyle name="Normal 35 4 2" xfId="2341" xr:uid="{00000000-0005-0000-0000-000063070000}"/>
    <cellStyle name="Normal 35 5" xfId="2342" xr:uid="{00000000-0005-0000-0000-000064070000}"/>
    <cellStyle name="Normal 35 6" xfId="2331" xr:uid="{00000000-0005-0000-0000-000065070000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3" xfId="2354" xr:uid="{00000000-0005-0000-0000-000090070000}"/>
    <cellStyle name="Normal 6 11" xfId="2350" xr:uid="{00000000-0005-0000-0000-000091070000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3" xfId="2359" xr:uid="{00000000-0005-0000-0000-000097070000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3" xfId="2363" xr:uid="{00000000-0005-0000-0000-00009B070000}"/>
    <cellStyle name="Normal 6 2 4" xfId="2364" xr:uid="{00000000-0005-0000-0000-00009C070000}"/>
    <cellStyle name="Normal 6 2 4 2" xfId="2365" xr:uid="{00000000-0005-0000-0000-00009D070000}"/>
    <cellStyle name="Normal 6 2 5" xfId="2366" xr:uid="{00000000-0005-0000-0000-00009E070000}"/>
    <cellStyle name="Normal 6 2 6" xfId="2355" xr:uid="{00000000-0005-0000-0000-00009F070000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3" xfId="2371" xr:uid="{00000000-0005-0000-0000-0000A4070000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3" xfId="2375" xr:uid="{00000000-0005-0000-0000-0000A8070000}"/>
    <cellStyle name="Normal 6 3 4" xfId="2376" xr:uid="{00000000-0005-0000-0000-0000A9070000}"/>
    <cellStyle name="Normal 6 3 4 2" xfId="2377" xr:uid="{00000000-0005-0000-0000-0000AA070000}"/>
    <cellStyle name="Normal 6 3 5" xfId="2378" xr:uid="{00000000-0005-0000-0000-0000AB070000}"/>
    <cellStyle name="Normal 6 3 6" xfId="2367" xr:uid="{00000000-0005-0000-0000-0000AC070000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3" xfId="2383" xr:uid="{00000000-0005-0000-0000-0000B1070000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3" xfId="2387" xr:uid="{00000000-0005-0000-0000-0000B5070000}"/>
    <cellStyle name="Normal 6 4 4" xfId="2388" xr:uid="{00000000-0005-0000-0000-0000B6070000}"/>
    <cellStyle name="Normal 6 4 4 2" xfId="2389" xr:uid="{00000000-0005-0000-0000-0000B7070000}"/>
    <cellStyle name="Normal 6 4 5" xfId="2390" xr:uid="{00000000-0005-0000-0000-0000B8070000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3" xfId="2395" xr:uid="{00000000-0005-0000-0000-0000BD070000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3" xfId="2399" xr:uid="{00000000-0005-0000-0000-0000C1070000}"/>
    <cellStyle name="Normal 6 5 4" xfId="2400" xr:uid="{00000000-0005-0000-0000-0000C2070000}"/>
    <cellStyle name="Normal 6 5 4 2" xfId="2401" xr:uid="{00000000-0005-0000-0000-0000C3070000}"/>
    <cellStyle name="Normal 6 5 5" xfId="2402" xr:uid="{00000000-0005-0000-0000-0000C4070000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3" xfId="2407" xr:uid="{00000000-0005-0000-0000-0000C9070000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3" xfId="2411" xr:uid="{00000000-0005-0000-0000-0000CD070000}"/>
    <cellStyle name="Normal 6 6 4" xfId="2412" xr:uid="{00000000-0005-0000-0000-0000CE070000}"/>
    <cellStyle name="Normal 6 6 4 2" xfId="2413" xr:uid="{00000000-0005-0000-0000-0000CF070000}"/>
    <cellStyle name="Normal 6 6 5" xfId="2414" xr:uid="{00000000-0005-0000-0000-0000D0070000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3" xfId="2419" xr:uid="{00000000-0005-0000-0000-0000D5070000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3" xfId="2423" xr:uid="{00000000-0005-0000-0000-0000D9070000}"/>
    <cellStyle name="Normal 6 7 4" xfId="2424" xr:uid="{00000000-0005-0000-0000-0000DA070000}"/>
    <cellStyle name="Normal 6 7 4 2" xfId="2425" xr:uid="{00000000-0005-0000-0000-0000DB070000}"/>
    <cellStyle name="Normal 6 7 5" xfId="2426" xr:uid="{00000000-0005-0000-0000-0000DC070000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3" xfId="2431" xr:uid="{00000000-0005-0000-0000-0000E1070000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3" xfId="2435" xr:uid="{00000000-0005-0000-0000-0000E5070000}"/>
    <cellStyle name="Normal 6 8 4" xfId="2436" xr:uid="{00000000-0005-0000-0000-0000E6070000}"/>
    <cellStyle name="Normal 6 8 4 2" xfId="2437" xr:uid="{00000000-0005-0000-0000-0000E7070000}"/>
    <cellStyle name="Normal 6 8 5" xfId="2438" xr:uid="{00000000-0005-0000-0000-0000E8070000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3" xfId="2473" xr:uid="{00000000-0005-0000-0000-00005F080000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3" xfId="2477" xr:uid="{00000000-0005-0000-0000-000063080000}"/>
    <cellStyle name="Percent 13 4" xfId="2478" xr:uid="{00000000-0005-0000-0000-000064080000}"/>
    <cellStyle name="Percent 13 4 2" xfId="2479" xr:uid="{00000000-0005-0000-0000-000065080000}"/>
    <cellStyle name="Percent 13 5" xfId="2480" xr:uid="{00000000-0005-0000-0000-000066080000}"/>
    <cellStyle name="Percent 13 6" xfId="2469" xr:uid="{00000000-0005-0000-0000-00006708000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S56"/>
  <sheetViews>
    <sheetView tabSelected="1" zoomScaleNormal="100" workbookViewId="0">
      <selection activeCell="C10" sqref="C10"/>
    </sheetView>
  </sheetViews>
  <sheetFormatPr defaultColWidth="9.1796875" defaultRowHeight="12.5"/>
  <cols>
    <col min="1" max="1" width="43.54296875" style="4" bestFit="1" customWidth="1"/>
    <col min="2" max="2" width="15.26953125" style="4" bestFit="1" customWidth="1"/>
    <col min="3" max="3" width="12.7265625" style="4" bestFit="1" customWidth="1"/>
    <col min="4" max="4" width="26" style="4" bestFit="1" customWidth="1"/>
    <col min="5" max="5" width="16.08984375" style="4" bestFit="1" customWidth="1"/>
    <col min="6" max="9" width="12.1796875" style="4" bestFit="1" customWidth="1"/>
    <col min="10" max="10" width="19.453125" style="4" customWidth="1"/>
    <col min="11" max="11" width="13.26953125" style="4" bestFit="1" customWidth="1"/>
    <col min="12" max="12" width="12.1796875" style="4" bestFit="1" customWidth="1"/>
    <col min="13" max="13" width="13.81640625" style="4" bestFit="1" customWidth="1"/>
    <col min="14" max="27" width="13.81640625" style="4" customWidth="1"/>
    <col min="28" max="35" width="12.1796875" style="4" bestFit="1" customWidth="1"/>
    <col min="36" max="44" width="5" style="4" bestFit="1" customWidth="1"/>
    <col min="45" max="45" width="12.26953125" style="4" bestFit="1" customWidth="1"/>
    <col min="46" max="46" width="53.1796875" style="4" bestFit="1" customWidth="1"/>
    <col min="47" max="16384" width="9.1796875" style="4"/>
  </cols>
  <sheetData>
    <row r="1" spans="1:45" ht="14">
      <c r="A1" s="23" t="s">
        <v>252</v>
      </c>
    </row>
    <row r="2" spans="1:45" ht="13">
      <c r="A2" s="4" t="s">
        <v>106</v>
      </c>
      <c r="B2" s="149" t="s">
        <v>208</v>
      </c>
      <c r="D2" s="143"/>
      <c r="E2" s="144" t="s">
        <v>205</v>
      </c>
    </row>
    <row r="3" spans="1:45" ht="13">
      <c r="A3" s="4" t="s">
        <v>183</v>
      </c>
      <c r="B3" s="149" t="s">
        <v>209</v>
      </c>
      <c r="D3" s="141"/>
      <c r="E3" s="145"/>
      <c r="F3" s="103"/>
      <c r="I3" s="103"/>
      <c r="J3" s="103" t="s">
        <v>256</v>
      </c>
      <c r="K3" s="203">
        <v>3</v>
      </c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</row>
    <row r="4" spans="1:45" ht="13">
      <c r="D4" s="141" t="s">
        <v>120</v>
      </c>
      <c r="E4" s="148">
        <f>B8</f>
        <v>1560</v>
      </c>
      <c r="F4" s="84"/>
      <c r="K4" s="85"/>
      <c r="L4" s="199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99"/>
    </row>
    <row r="5" spans="1:45">
      <c r="A5" s="4" t="s">
        <v>121</v>
      </c>
      <c r="B5" s="85" t="s">
        <v>258</v>
      </c>
      <c r="D5" s="141"/>
      <c r="E5" s="145"/>
      <c r="K5" s="205"/>
    </row>
    <row r="6" spans="1:45">
      <c r="A6" s="4" t="s">
        <v>122</v>
      </c>
      <c r="B6" s="85" t="s">
        <v>254</v>
      </c>
      <c r="D6" s="141" t="s">
        <v>38</v>
      </c>
      <c r="E6" s="146">
        <f>B10</f>
        <v>106286000</v>
      </c>
      <c r="AS6" s="51"/>
    </row>
    <row r="7" spans="1:45">
      <c r="A7" s="4" t="s">
        <v>128</v>
      </c>
      <c r="B7" s="85">
        <v>2029</v>
      </c>
      <c r="D7" s="141" t="s">
        <v>101</v>
      </c>
      <c r="E7" s="146">
        <f>B17</f>
        <v>0</v>
      </c>
    </row>
    <row r="8" spans="1:45">
      <c r="A8" s="4" t="s">
        <v>120</v>
      </c>
      <c r="B8" s="86">
        <v>1560</v>
      </c>
      <c r="D8" s="141" t="s">
        <v>257</v>
      </c>
      <c r="E8" s="146">
        <f>B11</f>
        <v>0</v>
      </c>
      <c r="F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98"/>
    </row>
    <row r="9" spans="1:45">
      <c r="D9" s="142" t="s">
        <v>70</v>
      </c>
      <c r="E9" s="147">
        <f>B18</f>
        <v>106286000</v>
      </c>
      <c r="F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</row>
    <row r="10" spans="1:45" ht="13">
      <c r="A10" s="4" t="s">
        <v>130</v>
      </c>
      <c r="B10" s="206">
        <f>'Cash Flow of U2'!G8</f>
        <v>106286000</v>
      </c>
      <c r="C10" s="200"/>
      <c r="F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</row>
    <row r="11" spans="1:45" ht="13">
      <c r="A11" s="4" t="s">
        <v>257</v>
      </c>
      <c r="B11" s="86"/>
      <c r="D11" s="84" t="s">
        <v>207</v>
      </c>
      <c r="F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</row>
    <row r="12" spans="1:45">
      <c r="A12" s="82" t="s">
        <v>116</v>
      </c>
      <c r="B12" s="57"/>
      <c r="D12" s="4" t="s">
        <v>164</v>
      </c>
      <c r="E12" s="140">
        <f>GRCF!D25</f>
        <v>1.33849291</v>
      </c>
      <c r="F12" s="201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</row>
    <row r="13" spans="1:45">
      <c r="A13" s="102" t="s">
        <v>161</v>
      </c>
      <c r="B13" s="86"/>
      <c r="D13" s="4" t="s">
        <v>263</v>
      </c>
      <c r="E13" s="138">
        <f>Allocators!E7</f>
        <v>0.5</v>
      </c>
      <c r="F13" s="201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</row>
    <row r="14" spans="1:45">
      <c r="A14" s="102" t="s">
        <v>117</v>
      </c>
      <c r="B14" s="86"/>
      <c r="D14" s="4" t="s">
        <v>165</v>
      </c>
      <c r="E14" s="138">
        <f>'CAP Structure'!F18</f>
        <v>7.4090912000000009E-2</v>
      </c>
      <c r="F14" s="201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98"/>
    </row>
    <row r="15" spans="1:45">
      <c r="A15" s="102" t="s">
        <v>118</v>
      </c>
      <c r="B15" s="86"/>
      <c r="D15" s="4" t="s">
        <v>166</v>
      </c>
      <c r="E15" s="138">
        <f>'CAP Structure'!E16</f>
        <v>9.6500000000000002E-2</v>
      </c>
      <c r="F15" s="201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</row>
    <row r="16" spans="1:45">
      <c r="A16" s="102" t="s">
        <v>119</v>
      </c>
      <c r="B16" s="86"/>
      <c r="D16" s="4" t="s">
        <v>167</v>
      </c>
      <c r="E16" s="138">
        <f>AVERAGE(('CAP Structure'!F12+'CAP Structure'!F14))</f>
        <v>2.9573532E-2</v>
      </c>
      <c r="F16" s="201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98"/>
    </row>
    <row r="17" spans="1:27" ht="12" customHeight="1">
      <c r="A17" s="4" t="s">
        <v>101</v>
      </c>
      <c r="B17" s="57">
        <f>B13+B14+B15+B16</f>
        <v>0</v>
      </c>
      <c r="D17" s="4" t="s">
        <v>168</v>
      </c>
      <c r="E17" s="138">
        <f>'CAP Structure'!D16</f>
        <v>0.46132000000000001</v>
      </c>
      <c r="F17" s="201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98"/>
    </row>
    <row r="18" spans="1:27" ht="12" customHeight="1">
      <c r="A18" s="4" t="s">
        <v>70</v>
      </c>
      <c r="B18" s="57">
        <f>B10+B17+B11</f>
        <v>106286000</v>
      </c>
      <c r="D18" s="4" t="s">
        <v>267</v>
      </c>
      <c r="E18" s="138">
        <v>5.8E-4</v>
      </c>
      <c r="F18" s="201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98"/>
    </row>
    <row r="19" spans="1:27" ht="12" customHeight="1">
      <c r="F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98"/>
    </row>
    <row r="20" spans="1:27" ht="12" customHeight="1">
      <c r="A20" s="82" t="s">
        <v>203</v>
      </c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98"/>
    </row>
    <row r="21" spans="1:27" ht="12" customHeight="1">
      <c r="A21" s="102" t="s">
        <v>182</v>
      </c>
      <c r="B21" s="119">
        <v>12</v>
      </c>
      <c r="C21" s="199"/>
      <c r="F21" s="120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98"/>
    </row>
    <row r="22" spans="1:27" ht="12" customHeight="1">
      <c r="A22" s="116" t="s">
        <v>199</v>
      </c>
      <c r="B22" s="120">
        <f>IF(B30&lt;&gt;0,(B30+E9)/B21/E9,1/B21)</f>
        <v>8.3333333333333329E-2</v>
      </c>
      <c r="F22" s="120"/>
      <c r="G22" s="121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98"/>
    </row>
    <row r="23" spans="1:27" ht="12" customHeight="1">
      <c r="G23" s="121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98"/>
    </row>
    <row r="24" spans="1:27">
      <c r="A24" s="139" t="s">
        <v>204</v>
      </c>
      <c r="G24" s="104"/>
      <c r="H24" s="105"/>
      <c r="I24" s="105"/>
      <c r="J24" s="105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</row>
    <row r="25" spans="1:27">
      <c r="A25" s="116" t="s">
        <v>206</v>
      </c>
      <c r="B25" s="85">
        <v>2025</v>
      </c>
      <c r="K25" s="83"/>
    </row>
    <row r="26" spans="1:27">
      <c r="A26" s="116" t="s">
        <v>202</v>
      </c>
      <c r="B26" s="138">
        <v>2.5000000000000001E-2</v>
      </c>
      <c r="F26" s="104"/>
      <c r="K26" s="83"/>
    </row>
    <row r="27" spans="1:27">
      <c r="A27" s="116" t="s">
        <v>180</v>
      </c>
      <c r="B27" s="86"/>
      <c r="F27" s="104"/>
      <c r="K27" s="83"/>
    </row>
    <row r="28" spans="1:27">
      <c r="A28" s="102" t="s">
        <v>169</v>
      </c>
      <c r="B28" s="117"/>
      <c r="K28" s="83"/>
    </row>
    <row r="29" spans="1:27">
      <c r="A29" s="102" t="s">
        <v>200</v>
      </c>
      <c r="B29" s="118">
        <f>B27-B28</f>
        <v>0</v>
      </c>
      <c r="K29" s="83"/>
    </row>
    <row r="30" spans="1:27">
      <c r="A30" s="102" t="s">
        <v>201</v>
      </c>
      <c r="B30" s="118">
        <f>B29*(1+B26)^(B21+B7-B25)</f>
        <v>0</v>
      </c>
      <c r="K30" s="83"/>
    </row>
    <row r="31" spans="1:27">
      <c r="K31" s="83"/>
    </row>
    <row r="32" spans="1:27">
      <c r="A32" s="82" t="s">
        <v>178</v>
      </c>
      <c r="B32" s="118"/>
      <c r="K32" s="83"/>
    </row>
    <row r="33" spans="1:45">
      <c r="A33" s="116" t="s">
        <v>192</v>
      </c>
      <c r="B33" s="86" t="s">
        <v>198</v>
      </c>
      <c r="C33" s="201"/>
      <c r="E33" s="118"/>
      <c r="K33" s="83"/>
    </row>
    <row r="34" spans="1:45">
      <c r="A34" s="116" t="s">
        <v>51</v>
      </c>
      <c r="B34" s="138">
        <f>GRCF!C16</f>
        <v>5.0097000000000003E-2</v>
      </c>
      <c r="E34" s="118"/>
      <c r="K34" s="83"/>
    </row>
    <row r="35" spans="1:45">
      <c r="A35" s="116" t="s">
        <v>58</v>
      </c>
      <c r="B35" s="89">
        <v>0.21</v>
      </c>
      <c r="E35" s="118"/>
      <c r="K35" s="83"/>
    </row>
    <row r="36" spans="1:45">
      <c r="A36" s="116"/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4"/>
      <c r="AA36" s="104"/>
      <c r="AB36" s="104"/>
      <c r="AC36" s="104"/>
      <c r="AD36" s="104"/>
      <c r="AE36" s="104"/>
      <c r="AF36" s="104"/>
      <c r="AG36" s="104"/>
      <c r="AH36" s="104"/>
      <c r="AI36" s="104"/>
    </row>
    <row r="37" spans="1:45" ht="13">
      <c r="A37" s="88" t="str">
        <f>IF(B5="","",B5)</f>
        <v>Option 3: New Mechanical Draft Cooling Tower</v>
      </c>
      <c r="B37" s="93">
        <f>B7</f>
        <v>2029</v>
      </c>
      <c r="C37" s="93">
        <f>B37+1</f>
        <v>2030</v>
      </c>
      <c r="D37" s="93">
        <f t="shared" ref="D37:Z37" si="0">C37+1</f>
        <v>2031</v>
      </c>
      <c r="E37" s="93">
        <f t="shared" si="0"/>
        <v>2032</v>
      </c>
      <c r="F37" s="93">
        <f t="shared" si="0"/>
        <v>2033</v>
      </c>
      <c r="G37" s="93">
        <f t="shared" si="0"/>
        <v>2034</v>
      </c>
      <c r="H37" s="93">
        <f t="shared" si="0"/>
        <v>2035</v>
      </c>
      <c r="I37" s="93">
        <f t="shared" si="0"/>
        <v>2036</v>
      </c>
      <c r="J37" s="93">
        <f t="shared" si="0"/>
        <v>2037</v>
      </c>
      <c r="K37" s="93">
        <f t="shared" si="0"/>
        <v>2038</v>
      </c>
      <c r="L37" s="93">
        <f t="shared" si="0"/>
        <v>2039</v>
      </c>
      <c r="M37" s="93">
        <f t="shared" si="0"/>
        <v>2040</v>
      </c>
      <c r="N37" s="93">
        <f t="shared" si="0"/>
        <v>2041</v>
      </c>
      <c r="O37" s="93">
        <f t="shared" si="0"/>
        <v>2042</v>
      </c>
      <c r="P37" s="93">
        <f t="shared" si="0"/>
        <v>2043</v>
      </c>
      <c r="Q37" s="93">
        <f t="shared" si="0"/>
        <v>2044</v>
      </c>
      <c r="R37" s="93">
        <f t="shared" si="0"/>
        <v>2045</v>
      </c>
      <c r="S37" s="93">
        <f t="shared" si="0"/>
        <v>2046</v>
      </c>
      <c r="T37" s="93">
        <f t="shared" si="0"/>
        <v>2047</v>
      </c>
      <c r="U37" s="93">
        <f t="shared" si="0"/>
        <v>2048</v>
      </c>
      <c r="V37" s="93">
        <f t="shared" si="0"/>
        <v>2049</v>
      </c>
      <c r="W37" s="93">
        <f t="shared" si="0"/>
        <v>2050</v>
      </c>
      <c r="X37" s="93">
        <f t="shared" si="0"/>
        <v>2051</v>
      </c>
      <c r="Y37" s="93">
        <f t="shared" si="0"/>
        <v>2052</v>
      </c>
      <c r="Z37" s="93">
        <f t="shared" si="0"/>
        <v>2053</v>
      </c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4"/>
      <c r="AL37" s="154"/>
      <c r="AM37" s="154"/>
      <c r="AN37" s="196"/>
      <c r="AO37" s="196"/>
      <c r="AP37" s="196"/>
      <c r="AQ37" s="196"/>
      <c r="AR37" s="196"/>
      <c r="AS37" s="84"/>
    </row>
    <row r="38" spans="1:45" s="186" customFormat="1" ht="13">
      <c r="A38" s="143" t="s">
        <v>172</v>
      </c>
      <c r="B38" s="90">
        <v>28917000</v>
      </c>
      <c r="C38" s="90">
        <v>0</v>
      </c>
      <c r="D38" s="90">
        <v>0</v>
      </c>
      <c r="E38" s="90">
        <v>0</v>
      </c>
      <c r="F38" s="90">
        <v>0</v>
      </c>
      <c r="G38" s="90">
        <v>0</v>
      </c>
      <c r="H38" s="90">
        <v>0</v>
      </c>
      <c r="I38" s="90">
        <v>0</v>
      </c>
      <c r="J38" s="90">
        <v>0</v>
      </c>
      <c r="K38" s="90">
        <v>0</v>
      </c>
      <c r="L38" s="90">
        <v>0</v>
      </c>
      <c r="M38" s="90">
        <v>5000000</v>
      </c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200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  <c r="AL38" s="197"/>
      <c r="AM38" s="197"/>
      <c r="AN38" s="197"/>
      <c r="AO38" s="197"/>
      <c r="AP38" s="197"/>
      <c r="AQ38" s="197"/>
      <c r="AR38" s="197"/>
      <c r="AS38" s="84"/>
    </row>
    <row r="39" spans="1:45" ht="13">
      <c r="A39" s="141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197"/>
      <c r="AB39" s="197"/>
      <c r="AC39" s="197"/>
      <c r="AD39" s="197"/>
      <c r="AE39" s="197"/>
      <c r="AF39" s="197"/>
      <c r="AG39" s="197"/>
      <c r="AH39" s="197"/>
      <c r="AI39" s="197"/>
      <c r="AJ39" s="197"/>
      <c r="AK39" s="197"/>
      <c r="AL39" s="197"/>
      <c r="AM39" s="197"/>
      <c r="AN39" s="197"/>
      <c r="AO39" s="197"/>
      <c r="AP39" s="197"/>
      <c r="AQ39" s="197"/>
      <c r="AR39" s="197"/>
      <c r="AS39" s="84"/>
    </row>
    <row r="40" spans="1:45">
      <c r="A40" s="141" t="s">
        <v>3</v>
      </c>
      <c r="B40" s="101">
        <f>B38+B39</f>
        <v>28917000</v>
      </c>
      <c r="C40" s="101">
        <f>C38+C39</f>
        <v>0</v>
      </c>
      <c r="D40" s="101">
        <f t="shared" ref="D40:M40" si="1">D38+D39</f>
        <v>0</v>
      </c>
      <c r="E40" s="101">
        <f t="shared" si="1"/>
        <v>0</v>
      </c>
      <c r="F40" s="101">
        <f t="shared" si="1"/>
        <v>0</v>
      </c>
      <c r="G40" s="101">
        <f t="shared" si="1"/>
        <v>0</v>
      </c>
      <c r="H40" s="101">
        <f t="shared" si="1"/>
        <v>0</v>
      </c>
      <c r="I40" s="101">
        <f t="shared" si="1"/>
        <v>0</v>
      </c>
      <c r="J40" s="101">
        <f t="shared" si="1"/>
        <v>0</v>
      </c>
      <c r="K40" s="101">
        <f t="shared" si="1"/>
        <v>0</v>
      </c>
      <c r="L40" s="101">
        <f t="shared" si="1"/>
        <v>0</v>
      </c>
      <c r="M40" s="101">
        <f t="shared" si="1"/>
        <v>5000000</v>
      </c>
      <c r="N40" s="197"/>
      <c r="O40" s="197"/>
      <c r="P40" s="197"/>
      <c r="Q40" s="197"/>
      <c r="R40" s="197"/>
      <c r="S40" s="197"/>
      <c r="T40" s="197"/>
      <c r="U40" s="197"/>
      <c r="V40" s="197"/>
      <c r="W40" s="197"/>
      <c r="X40" s="197"/>
      <c r="Y40" s="197"/>
      <c r="Z40" s="197"/>
      <c r="AA40" s="197"/>
      <c r="AB40" s="197"/>
      <c r="AC40" s="197"/>
      <c r="AD40" s="197"/>
      <c r="AE40" s="197"/>
      <c r="AF40" s="197"/>
      <c r="AG40" s="197"/>
      <c r="AH40" s="197"/>
      <c r="AI40" s="197"/>
      <c r="AJ40" s="197"/>
      <c r="AK40" s="197"/>
      <c r="AL40" s="197"/>
      <c r="AM40" s="197"/>
      <c r="AN40" s="101"/>
      <c r="AO40" s="101"/>
      <c r="AP40" s="101"/>
      <c r="AQ40" s="101"/>
      <c r="AR40" s="101"/>
    </row>
    <row r="41" spans="1:45">
      <c r="A41" s="14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54"/>
      <c r="AB41" s="154"/>
      <c r="AC41" s="154"/>
      <c r="AD41" s="154"/>
      <c r="AE41" s="154"/>
      <c r="AF41" s="154"/>
      <c r="AG41" s="154"/>
      <c r="AH41" s="154"/>
      <c r="AI41" s="154"/>
      <c r="AJ41" s="154"/>
      <c r="AK41" s="154"/>
      <c r="AL41" s="154"/>
      <c r="AM41" s="154"/>
      <c r="AN41" s="154"/>
      <c r="AO41" s="154"/>
      <c r="AP41" s="154"/>
      <c r="AQ41" s="154"/>
      <c r="AR41" s="154"/>
    </row>
    <row r="42" spans="1:45" s="186" customFormat="1">
      <c r="A42" s="141" t="s">
        <v>171</v>
      </c>
      <c r="B42" s="90">
        <v>0</v>
      </c>
      <c r="C42" s="90">
        <v>0</v>
      </c>
      <c r="D42" s="90">
        <v>0</v>
      </c>
      <c r="E42" s="90">
        <v>0</v>
      </c>
      <c r="F42" s="90">
        <v>0</v>
      </c>
      <c r="G42" s="90">
        <v>0</v>
      </c>
      <c r="H42" s="90">
        <v>0</v>
      </c>
      <c r="I42" s="90">
        <v>0</v>
      </c>
      <c r="J42" s="90">
        <v>0</v>
      </c>
      <c r="K42" s="90">
        <v>0</v>
      </c>
      <c r="L42" s="90">
        <v>0</v>
      </c>
      <c r="M42" s="90">
        <v>0</v>
      </c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197"/>
      <c r="AB42" s="197"/>
      <c r="AC42" s="197"/>
      <c r="AD42" s="197"/>
      <c r="AE42" s="197"/>
      <c r="AF42" s="197"/>
      <c r="AG42" s="197"/>
      <c r="AH42" s="197"/>
      <c r="AI42" s="197"/>
      <c r="AJ42" s="197"/>
      <c r="AK42" s="197"/>
      <c r="AL42" s="197"/>
      <c r="AM42" s="197"/>
      <c r="AN42" s="197"/>
      <c r="AO42" s="197"/>
      <c r="AP42" s="197"/>
      <c r="AQ42" s="197"/>
      <c r="AR42" s="197"/>
      <c r="AS42" s="4"/>
    </row>
    <row r="43" spans="1:45">
      <c r="A43" s="14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197"/>
      <c r="AB43" s="197"/>
      <c r="AC43" s="197"/>
      <c r="AD43" s="197"/>
      <c r="AE43" s="197"/>
      <c r="AF43" s="197"/>
      <c r="AG43" s="197"/>
      <c r="AH43" s="197"/>
      <c r="AI43" s="197"/>
      <c r="AJ43" s="197"/>
      <c r="AK43" s="197"/>
      <c r="AL43" s="197"/>
      <c r="AM43" s="197"/>
      <c r="AN43" s="197"/>
      <c r="AO43" s="197"/>
      <c r="AP43" s="197"/>
      <c r="AQ43" s="197"/>
      <c r="AR43" s="197"/>
    </row>
    <row r="44" spans="1:45" ht="13">
      <c r="A44" s="14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197"/>
      <c r="AB44" s="197"/>
      <c r="AC44" s="197"/>
      <c r="AD44" s="197"/>
      <c r="AE44" s="197"/>
      <c r="AF44" s="197"/>
      <c r="AG44" s="197"/>
      <c r="AH44" s="197"/>
      <c r="AI44" s="197"/>
      <c r="AJ44" s="197"/>
      <c r="AK44" s="197"/>
      <c r="AL44" s="197"/>
      <c r="AM44" s="197"/>
      <c r="AN44" s="197"/>
      <c r="AO44" s="197"/>
      <c r="AP44" s="197"/>
      <c r="AQ44" s="197"/>
      <c r="AR44" s="197"/>
      <c r="AS44" s="84"/>
    </row>
    <row r="45" spans="1:45">
      <c r="A45" s="141" t="s">
        <v>114</v>
      </c>
      <c r="B45" s="101">
        <f t="shared" ref="B45" si="2">SUM(B42:B44)</f>
        <v>0</v>
      </c>
      <c r="C45" s="101">
        <f t="shared" ref="C45:M45" si="3">SUM(C42:C44)</f>
        <v>0</v>
      </c>
      <c r="D45" s="101">
        <f t="shared" si="3"/>
        <v>0</v>
      </c>
      <c r="E45" s="101">
        <f t="shared" si="3"/>
        <v>0</v>
      </c>
      <c r="F45" s="101">
        <f t="shared" si="3"/>
        <v>0</v>
      </c>
      <c r="G45" s="101">
        <f t="shared" si="3"/>
        <v>0</v>
      </c>
      <c r="H45" s="101">
        <f t="shared" si="3"/>
        <v>0</v>
      </c>
      <c r="I45" s="101">
        <f t="shared" si="3"/>
        <v>0</v>
      </c>
      <c r="J45" s="101">
        <f t="shared" si="3"/>
        <v>0</v>
      </c>
      <c r="K45" s="101">
        <f t="shared" si="3"/>
        <v>0</v>
      </c>
      <c r="L45" s="101">
        <f t="shared" si="3"/>
        <v>0</v>
      </c>
      <c r="M45" s="101">
        <f t="shared" si="3"/>
        <v>0</v>
      </c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01"/>
      <c r="AO45" s="101"/>
      <c r="AP45" s="101"/>
      <c r="AQ45" s="101"/>
      <c r="AR45" s="101"/>
    </row>
    <row r="46" spans="1:45">
      <c r="A46" s="204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97"/>
      <c r="AB46" s="197"/>
      <c r="AC46" s="197"/>
      <c r="AD46" s="197"/>
      <c r="AE46" s="197"/>
      <c r="AF46" s="197"/>
      <c r="AG46" s="197"/>
      <c r="AH46" s="197"/>
      <c r="AI46" s="197"/>
      <c r="AJ46" s="197"/>
      <c r="AK46" s="197"/>
      <c r="AL46" s="197"/>
      <c r="AM46" s="197"/>
      <c r="AN46" s="197"/>
      <c r="AO46" s="197"/>
      <c r="AP46" s="197"/>
      <c r="AQ46" s="197"/>
      <c r="AR46" s="197"/>
    </row>
    <row r="47" spans="1:45" ht="13">
      <c r="A47" s="141" t="s">
        <v>115</v>
      </c>
      <c r="B47" s="90">
        <f>'Rate Base - coal'!C16*Input!$E$18*1000</f>
        <v>79885.577122304065</v>
      </c>
      <c r="C47" s="90">
        <f>'Rate Base - coal'!D16*Input!$E$18*1000</f>
        <v>73035.913260038593</v>
      </c>
      <c r="D47" s="90">
        <f>'Rate Base - coal'!E16*Input!$E$18*1000</f>
        <v>66332.338516795862</v>
      </c>
      <c r="E47" s="90">
        <f>'Rate Base - coal'!F16*Input!$E$18*1000</f>
        <v>59763.532333537216</v>
      </c>
      <c r="F47" s="90">
        <f>'Rate Base - coal'!G16*Input!$E$18*1000</f>
        <v>53319.791373943794</v>
      </c>
      <c r="G47" s="90">
        <f>'Rate Base - coal'!H16*Input!$E$18*1000</f>
        <v>46991.412301696735</v>
      </c>
      <c r="H47" s="90">
        <f>'Rate Base - coal'!I16*Input!$E$18*1000</f>
        <v>40770.03946607704</v>
      </c>
      <c r="I47" s="90">
        <f>'Rate Base - coal'!J16*Input!$E$18*1000</f>
        <v>34647.317216365685</v>
      </c>
      <c r="J47" s="90">
        <f>'Rate Base - coal'!K16*Input!$E$18*1000</f>
        <v>28540.767193852433</v>
      </c>
      <c r="K47" s="90">
        <f>'Rate Base - coal'!L16*Input!$E$18*1000</f>
        <v>22434.486708459135</v>
      </c>
      <c r="L47" s="90">
        <f>'Rate Base - coal'!M16*Input!$E$18*1000</f>
        <v>16327.936685945879</v>
      </c>
      <c r="M47" s="90">
        <f>'Rate Base - coal'!N16*Input!$E$18*1000</f>
        <v>12913.162427623431</v>
      </c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199"/>
      <c r="AB47" s="199"/>
      <c r="AC47" s="197"/>
      <c r="AD47" s="197"/>
      <c r="AE47" s="197"/>
      <c r="AF47" s="197"/>
      <c r="AG47" s="197"/>
      <c r="AH47" s="197"/>
      <c r="AI47" s="197"/>
      <c r="AJ47" s="197"/>
      <c r="AK47" s="197"/>
      <c r="AL47" s="197"/>
      <c r="AM47" s="197"/>
      <c r="AN47" s="197"/>
      <c r="AO47" s="197"/>
      <c r="AP47" s="197"/>
      <c r="AQ47" s="197"/>
      <c r="AR47" s="197"/>
    </row>
    <row r="48" spans="1:45">
      <c r="A48" s="14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</row>
    <row r="49" spans="1:44" ht="13">
      <c r="A49" s="141" t="s">
        <v>253</v>
      </c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199"/>
      <c r="AB49" s="199"/>
      <c r="AC49" s="197"/>
      <c r="AD49" s="197"/>
      <c r="AE49" s="197"/>
      <c r="AF49" s="197"/>
      <c r="AG49" s="197"/>
      <c r="AH49" s="197"/>
      <c r="AI49" s="197"/>
      <c r="AJ49" s="197"/>
      <c r="AK49" s="197"/>
      <c r="AL49" s="197"/>
      <c r="AM49" s="197"/>
      <c r="AN49" s="197"/>
      <c r="AO49" s="197"/>
      <c r="AP49" s="197"/>
      <c r="AQ49" s="197"/>
      <c r="AR49" s="197"/>
    </row>
    <row r="50" spans="1:44">
      <c r="A50" s="14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197"/>
      <c r="AB50" s="197"/>
      <c r="AC50" s="197"/>
      <c r="AD50" s="197"/>
      <c r="AE50" s="197"/>
      <c r="AF50" s="197"/>
      <c r="AG50" s="197"/>
      <c r="AH50" s="197"/>
      <c r="AI50" s="197"/>
      <c r="AJ50" s="197"/>
      <c r="AK50" s="197"/>
      <c r="AL50" s="197"/>
      <c r="AM50" s="197"/>
      <c r="AN50" s="197"/>
      <c r="AO50" s="197"/>
      <c r="AP50" s="197"/>
      <c r="AQ50" s="197"/>
      <c r="AR50" s="197"/>
    </row>
    <row r="51" spans="1:44">
      <c r="A51" s="14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197"/>
      <c r="AB51" s="197"/>
      <c r="AC51" s="197"/>
      <c r="AD51" s="197"/>
      <c r="AE51" s="197"/>
      <c r="AF51" s="197"/>
      <c r="AG51" s="197"/>
      <c r="AH51" s="197"/>
      <c r="AI51" s="197"/>
      <c r="AJ51" s="197"/>
      <c r="AK51" s="197"/>
      <c r="AL51" s="197"/>
      <c r="AM51" s="197"/>
      <c r="AN51" s="197"/>
      <c r="AO51" s="197"/>
      <c r="AP51" s="197"/>
      <c r="AQ51" s="197"/>
      <c r="AR51" s="197"/>
    </row>
    <row r="52" spans="1:44">
      <c r="A52" s="142" t="s">
        <v>170</v>
      </c>
      <c r="B52" s="101">
        <f t="shared" ref="B52" si="4">SUM(B45:B51)</f>
        <v>79885.577122304065</v>
      </c>
      <c r="C52" s="101">
        <f t="shared" ref="C52:M52" si="5">SUM(C45:C51)</f>
        <v>73035.913260038593</v>
      </c>
      <c r="D52" s="101">
        <f t="shared" si="5"/>
        <v>66332.338516795862</v>
      </c>
      <c r="E52" s="101">
        <f t="shared" si="5"/>
        <v>59763.532333537216</v>
      </c>
      <c r="F52" s="101">
        <f t="shared" si="5"/>
        <v>53319.791373943794</v>
      </c>
      <c r="G52" s="101">
        <f t="shared" si="5"/>
        <v>46991.412301696735</v>
      </c>
      <c r="H52" s="101">
        <f t="shared" si="5"/>
        <v>40770.03946607704</v>
      </c>
      <c r="I52" s="101">
        <f t="shared" si="5"/>
        <v>34647.317216365685</v>
      </c>
      <c r="J52" s="101">
        <f t="shared" si="5"/>
        <v>28540.767193852433</v>
      </c>
      <c r="K52" s="101">
        <f t="shared" si="5"/>
        <v>22434.486708459135</v>
      </c>
      <c r="L52" s="101">
        <f t="shared" si="5"/>
        <v>16327.936685945879</v>
      </c>
      <c r="M52" s="101">
        <f t="shared" si="5"/>
        <v>12913.162427623431</v>
      </c>
      <c r="N52" s="197"/>
      <c r="O52" s="197"/>
      <c r="P52" s="197"/>
      <c r="Q52" s="197"/>
      <c r="R52" s="197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01"/>
      <c r="AO52" s="101"/>
      <c r="AP52" s="101"/>
      <c r="AQ52" s="101"/>
      <c r="AR52" s="101"/>
    </row>
    <row r="56" spans="1:44">
      <c r="A56"/>
    </row>
  </sheetData>
  <phoneticPr fontId="308" type="noConversion"/>
  <conditionalFormatting sqref="D2:E2 F3 I3:Z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Exhibit NMC-R8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zoomScaleNormal="100" workbookViewId="0">
      <selection activeCell="C10" sqref="C10"/>
    </sheetView>
  </sheetViews>
  <sheetFormatPr defaultRowHeight="12.5"/>
  <cols>
    <col min="1" max="1" width="5" bestFit="1" customWidth="1"/>
    <col min="2" max="2" width="4.7265625" customWidth="1"/>
    <col min="3" max="3" width="40.54296875" bestFit="1" customWidth="1"/>
    <col min="4" max="38" width="12.8164062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str">
        <f>SIT!Q2</f>
        <v>Year 14</v>
      </c>
      <c r="R1" s="129" t="str">
        <f>SIT!R2</f>
        <v>Year 15</v>
      </c>
      <c r="S1" s="129" t="str">
        <f>SIT!S2</f>
        <v>Year 16</v>
      </c>
      <c r="T1" s="129" t="str">
        <f>SIT!T2</f>
        <v>Year 17</v>
      </c>
      <c r="U1" s="129" t="str">
        <f>SIT!U2</f>
        <v>Year 18</v>
      </c>
      <c r="V1" s="129" t="str">
        <f>SIT!V2</f>
        <v>Year 19</v>
      </c>
      <c r="W1" s="129" t="str">
        <f>SIT!W2</f>
        <v>Year 20</v>
      </c>
      <c r="X1" s="129" t="str">
        <f>SIT!X2</f>
        <v>Year 21</v>
      </c>
      <c r="Y1" s="129" t="str">
        <f>SIT!Y2</f>
        <v>Year 22</v>
      </c>
      <c r="Z1" s="129" t="str">
        <f>SIT!Z2</f>
        <v>Year 23</v>
      </c>
      <c r="AA1" s="129" t="str">
        <f>SIT!AA2</f>
        <v>Year 24</v>
      </c>
      <c r="AB1" s="129" t="str">
        <f>SIT!AB2</f>
        <v>Year 25</v>
      </c>
      <c r="AC1" s="129" t="e">
        <f>SIT!AC2</f>
        <v>#REF!</v>
      </c>
      <c r="AD1" s="129" t="e">
        <f>SIT!AD2</f>
        <v>#REF!</v>
      </c>
      <c r="AE1" s="129" t="e">
        <f>SIT!AE2</f>
        <v>#REF!</v>
      </c>
      <c r="AF1" s="129" t="e">
        <f>SIT!AF2</f>
        <v>#REF!</v>
      </c>
      <c r="AG1" s="129" t="e">
        <f>SIT!AG2</f>
        <v>#REF!</v>
      </c>
      <c r="AH1" s="129" t="e">
        <f>SIT!AH2</f>
        <v>#REF!</v>
      </c>
      <c r="AI1" s="129" t="e">
        <f>SIT!AI2</f>
        <v>#REF!</v>
      </c>
      <c r="AJ1" s="129" t="e">
        <f>SIT!AJ2</f>
        <v>#REF!</v>
      </c>
      <c r="AK1" s="129" t="e">
        <f>SIT!AK2</f>
        <v>#REF!</v>
      </c>
      <c r="AL1" s="129" t="e">
        <f>SIT!AL2</f>
        <v>#REF!</v>
      </c>
    </row>
    <row r="2" spans="1:38" ht="13">
      <c r="A2" s="25" t="s">
        <v>41</v>
      </c>
      <c r="B2" s="25"/>
      <c r="C2" s="25"/>
      <c r="D2" s="128">
        <f>SIT!D3</f>
        <v>2029</v>
      </c>
      <c r="E2" s="128">
        <f>SIT!E3</f>
        <v>2030</v>
      </c>
      <c r="F2" s="128">
        <f>SIT!F3</f>
        <v>2031</v>
      </c>
      <c r="G2" s="128">
        <f>SIT!G3</f>
        <v>2032</v>
      </c>
      <c r="H2" s="128">
        <f>SIT!H3</f>
        <v>2033</v>
      </c>
      <c r="I2" s="128">
        <f>SIT!I3</f>
        <v>2034</v>
      </c>
      <c r="J2" s="128">
        <f>SIT!J3</f>
        <v>2035</v>
      </c>
      <c r="K2" s="128">
        <f>SIT!K3</f>
        <v>2036</v>
      </c>
      <c r="L2" s="128">
        <f>SIT!L3</f>
        <v>2037</v>
      </c>
      <c r="M2" s="128">
        <f>SIT!M3</f>
        <v>2038</v>
      </c>
      <c r="N2" s="128">
        <f>SIT!N3</f>
        <v>2039</v>
      </c>
      <c r="O2" s="128">
        <f>SIT!O3</f>
        <v>2040</v>
      </c>
      <c r="P2" s="128">
        <f>SIT!P3</f>
        <v>2041</v>
      </c>
      <c r="Q2" s="128">
        <f>SIT!Q3</f>
        <v>2042</v>
      </c>
      <c r="R2" s="128">
        <f>SIT!R3</f>
        <v>2043</v>
      </c>
      <c r="S2" s="128">
        <f>SIT!S3</f>
        <v>2044</v>
      </c>
      <c r="T2" s="128">
        <f>SIT!T3</f>
        <v>2045</v>
      </c>
      <c r="U2" s="128">
        <f>SIT!U3</f>
        <v>2046</v>
      </c>
      <c r="V2" s="128">
        <f>SIT!V3</f>
        <v>2047</v>
      </c>
      <c r="W2" s="128">
        <f>SIT!W3</f>
        <v>2048</v>
      </c>
      <c r="X2" s="128">
        <f>SIT!X3</f>
        <v>2049</v>
      </c>
      <c r="Y2" s="128">
        <f>SIT!Y3</f>
        <v>2050</v>
      </c>
      <c r="Z2" s="128">
        <f>SIT!Z3</f>
        <v>2051</v>
      </c>
      <c r="AA2" s="128">
        <f>SIT!AA3</f>
        <v>2052</v>
      </c>
      <c r="AB2" s="128">
        <f>SIT!AB3</f>
        <v>2053</v>
      </c>
      <c r="AC2" s="128" t="e">
        <f>SIT!AC3</f>
        <v>#REF!</v>
      </c>
      <c r="AD2" s="128" t="e">
        <f>SIT!AD3</f>
        <v>#REF!</v>
      </c>
      <c r="AE2" s="128" t="e">
        <f>SIT!AE3</f>
        <v>#REF!</v>
      </c>
      <c r="AF2" s="128" t="e">
        <f>SIT!AF3</f>
        <v>#REF!</v>
      </c>
      <c r="AG2" s="128" t="e">
        <f>SIT!AG3</f>
        <v>#REF!</v>
      </c>
      <c r="AH2" s="128" t="e">
        <f>SIT!AH3</f>
        <v>#REF!</v>
      </c>
      <c r="AI2" s="128" t="e">
        <f>SIT!AI3</f>
        <v>#REF!</v>
      </c>
      <c r="AJ2" s="128" t="e">
        <f>SIT!AJ3</f>
        <v>#REF!</v>
      </c>
      <c r="AK2" s="128" t="e">
        <f>SIT!AK3</f>
        <v>#REF!</v>
      </c>
      <c r="AL2" s="128" t="e">
        <f>SIT!AL3</f>
        <v>#REF!</v>
      </c>
    </row>
    <row r="3" spans="1:38" ht="13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 ht="13">
      <c r="A4" s="25">
        <v>1</v>
      </c>
      <c r="B4" s="24"/>
      <c r="C4" s="26" t="s">
        <v>105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30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'Total Rev Req'!B13</f>
        <v>79885.577122304065</v>
      </c>
      <c r="E6" s="28">
        <f>'Total Rev Req'!C13</f>
        <v>73035.913260038593</v>
      </c>
      <c r="F6" s="28">
        <f>'Total Rev Req'!D13</f>
        <v>66332.338516795862</v>
      </c>
      <c r="G6" s="28">
        <f>'Total Rev Req'!E13</f>
        <v>59763.532333537216</v>
      </c>
      <c r="H6" s="28">
        <f>'Total Rev Req'!F13</f>
        <v>53319.791373943794</v>
      </c>
      <c r="I6" s="28">
        <f>'Total Rev Req'!G13</f>
        <v>46991.412301696735</v>
      </c>
      <c r="J6" s="28">
        <f>'Total Rev Req'!H13</f>
        <v>40770.03946607704</v>
      </c>
      <c r="K6" s="28">
        <f>'Total Rev Req'!I13</f>
        <v>34647.317216365685</v>
      </c>
      <c r="L6" s="28">
        <f>'Total Rev Req'!J13</f>
        <v>28540.767193852433</v>
      </c>
      <c r="M6" s="28">
        <f>'Total Rev Req'!K13</f>
        <v>22434.486708459135</v>
      </c>
      <c r="N6" s="28">
        <f>'Total Rev Req'!L13</f>
        <v>16327.936685945879</v>
      </c>
      <c r="O6" s="28">
        <f>'Total Rev Req'!M13</f>
        <v>12913.162427623431</v>
      </c>
      <c r="P6" s="28">
        <f>'Total Rev Req'!N13</f>
        <v>0</v>
      </c>
      <c r="Q6" s="28">
        <f>'Total Rev Req'!O13</f>
        <v>0</v>
      </c>
      <c r="R6" s="28">
        <f>'Total Rev Req'!P13</f>
        <v>0</v>
      </c>
      <c r="S6" s="28">
        <f>'Total Rev Req'!Q13</f>
        <v>0</v>
      </c>
      <c r="T6" s="28">
        <f>'Total Rev Req'!R13</f>
        <v>0</v>
      </c>
      <c r="U6" s="28">
        <f>'Total Rev Req'!S13</f>
        <v>0</v>
      </c>
      <c r="V6" s="28">
        <f>'Total Rev Req'!T13</f>
        <v>0</v>
      </c>
      <c r="W6" s="28">
        <f>'Total Rev Req'!U13</f>
        <v>0</v>
      </c>
      <c r="X6" s="28">
        <f>'Total Rev Req'!V13</f>
        <v>0</v>
      </c>
      <c r="Y6" s="28">
        <f>'Total Rev Req'!W13</f>
        <v>0</v>
      </c>
      <c r="Z6" s="28">
        <f>'Total Rev Req'!X13</f>
        <v>0</v>
      </c>
      <c r="AA6" s="28">
        <f>'Total Rev Req'!Y13</f>
        <v>0</v>
      </c>
      <c r="AB6" s="28">
        <f>'Total Rev Req'!Z13</f>
        <v>0</v>
      </c>
      <c r="AC6" s="28">
        <f>'Total Rev Req'!AA13</f>
        <v>0</v>
      </c>
      <c r="AD6" s="28">
        <f>'Total Rev Req'!AB13</f>
        <v>0</v>
      </c>
      <c r="AE6" s="28">
        <f>'Total Rev Req'!AC13</f>
        <v>0</v>
      </c>
      <c r="AF6" s="28">
        <f>'Total Rev Req'!AD13</f>
        <v>0</v>
      </c>
      <c r="AG6" s="28">
        <f>'Total Rev Req'!AE13</f>
        <v>0</v>
      </c>
      <c r="AH6" s="28">
        <f>'Total Rev Req'!AF13</f>
        <v>0</v>
      </c>
      <c r="AI6" s="28">
        <f>'Total Rev Req'!AG13</f>
        <v>0</v>
      </c>
      <c r="AJ6" s="28">
        <f>'Total Rev Req'!AH13</f>
        <v>0</v>
      </c>
      <c r="AK6" s="28">
        <f>'Total Rev Req'!AI13</f>
        <v>0</v>
      </c>
      <c r="AL6" s="28">
        <f>'Total Rev Req'!AJ13</f>
        <v>0</v>
      </c>
    </row>
    <row r="7" spans="1:38">
      <c r="A7" s="27">
        <v>3</v>
      </c>
      <c r="B7" s="24"/>
      <c r="C7" s="24" t="s">
        <v>54</v>
      </c>
      <c r="D7" s="28">
        <f>'Total Rev Req'!B14</f>
        <v>11266916.666666666</v>
      </c>
      <c r="E7" s="28">
        <f>'Total Rev Req'!C14</f>
        <v>11266916.666666666</v>
      </c>
      <c r="F7" s="28">
        <f>'Total Rev Req'!D14</f>
        <v>11266916.666666666</v>
      </c>
      <c r="G7" s="28">
        <f>'Total Rev Req'!E14</f>
        <v>11266916.666666666</v>
      </c>
      <c r="H7" s="28">
        <f>'Total Rev Req'!F14</f>
        <v>11266916.666666666</v>
      </c>
      <c r="I7" s="28">
        <f>'Total Rev Req'!G14</f>
        <v>11266916.666666666</v>
      </c>
      <c r="J7" s="28">
        <f>'Total Rev Req'!H14</f>
        <v>11266916.666666666</v>
      </c>
      <c r="K7" s="28">
        <f>'Total Rev Req'!I14</f>
        <v>11266916.666666666</v>
      </c>
      <c r="L7" s="28">
        <f>'Total Rev Req'!J14</f>
        <v>11266916.666666666</v>
      </c>
      <c r="M7" s="28">
        <f>'Total Rev Req'!K14</f>
        <v>11266916.666666666</v>
      </c>
      <c r="N7" s="28">
        <f>'Total Rev Req'!L14</f>
        <v>11266916.666666666</v>
      </c>
      <c r="O7" s="28">
        <f>'Total Rev Req'!M14</f>
        <v>11683583.333333332</v>
      </c>
      <c r="P7" s="28">
        <f>'Total Rev Req'!N14</f>
        <v>0</v>
      </c>
      <c r="Q7" s="28">
        <f>'Total Rev Req'!O14</f>
        <v>0</v>
      </c>
      <c r="R7" s="28">
        <f>'Total Rev Req'!P14</f>
        <v>0</v>
      </c>
      <c r="S7" s="28">
        <f>'Total Rev Req'!Q14</f>
        <v>0</v>
      </c>
      <c r="T7" s="28">
        <f>'Total Rev Req'!R14</f>
        <v>0</v>
      </c>
      <c r="U7" s="28">
        <f>'Total Rev Req'!S14</f>
        <v>0</v>
      </c>
      <c r="V7" s="28">
        <f>'Total Rev Req'!T14</f>
        <v>0</v>
      </c>
      <c r="W7" s="28">
        <f>'Total Rev Req'!U14</f>
        <v>0</v>
      </c>
      <c r="X7" s="28">
        <f>'Total Rev Req'!V14</f>
        <v>0</v>
      </c>
      <c r="Y7" s="28">
        <f>'Total Rev Req'!W14</f>
        <v>0</v>
      </c>
      <c r="Z7" s="28">
        <f>'Total Rev Req'!X14</f>
        <v>0</v>
      </c>
      <c r="AA7" s="28">
        <f>'Total Rev Req'!Y14</f>
        <v>0</v>
      </c>
      <c r="AB7" s="28">
        <f>'Total Rev Req'!Z14</f>
        <v>0</v>
      </c>
      <c r="AC7" s="28">
        <f>'Total Rev Req'!AA14</f>
        <v>0</v>
      </c>
      <c r="AD7" s="28">
        <f>'Total Rev Req'!AB14</f>
        <v>0</v>
      </c>
      <c r="AE7" s="28">
        <f>'Total Rev Req'!AC14</f>
        <v>0</v>
      </c>
      <c r="AF7" s="28">
        <f>'Total Rev Req'!AD14</f>
        <v>0</v>
      </c>
      <c r="AG7" s="28">
        <f>'Total Rev Req'!AE14</f>
        <v>0</v>
      </c>
      <c r="AH7" s="28">
        <f>'Total Rev Req'!AF14</f>
        <v>0</v>
      </c>
      <c r="AI7" s="28">
        <f>'Total Rev Req'!AG14</f>
        <v>0</v>
      </c>
      <c r="AJ7" s="28">
        <f>'Total Rev Req'!AH14</f>
        <v>0</v>
      </c>
      <c r="AK7" s="28">
        <f>'Total Rev Req'!AI14</f>
        <v>0</v>
      </c>
      <c r="AL7" s="28">
        <f>'Total Rev Req'!AJ14</f>
        <v>0</v>
      </c>
    </row>
    <row r="8" spans="1:38">
      <c r="A8" s="27">
        <v>4</v>
      </c>
      <c r="B8" s="24"/>
      <c r="C8" s="24" t="s">
        <v>55</v>
      </c>
      <c r="D8" s="30">
        <f>SIT!D20</f>
        <v>1997078.2477280437</v>
      </c>
      <c r="E8" s="30">
        <f>SIT!E20</f>
        <v>-863624.56677382567</v>
      </c>
      <c r="F8" s="30">
        <f>SIT!F20</f>
        <v>-795606.29731735564</v>
      </c>
      <c r="G8" s="30">
        <f>SIT!G20</f>
        <v>-731856.87950880919</v>
      </c>
      <c r="H8" s="30">
        <f>SIT!H20</f>
        <v>-671791.34844961169</v>
      </c>
      <c r="I8" s="30">
        <f>SIT!I20</f>
        <v>-615384.43194264849</v>
      </c>
      <c r="J8" s="30">
        <f>SIT!J20</f>
        <v>-562147.95723363175</v>
      </c>
      <c r="K8" s="30">
        <f>SIT!K20</f>
        <v>-512060.16215282399</v>
      </c>
      <c r="L8" s="30">
        <f>SIT!L20</f>
        <v>-490558.81517500064</v>
      </c>
      <c r="M8" s="30">
        <f>SIT!M20</f>
        <v>-474561.81510034268</v>
      </c>
      <c r="N8" s="30">
        <f>SIT!N20</f>
        <v>-458750.67725402949</v>
      </c>
      <c r="O8" s="30">
        <f>SIT!O20</f>
        <v>-459156.85316896834</v>
      </c>
      <c r="P8" s="30">
        <f>SIT!P20</f>
        <v>-464086.98666238191</v>
      </c>
      <c r="Q8" s="30">
        <f>SIT!Q20</f>
        <v>-459441.22224328428</v>
      </c>
      <c r="R8" s="30">
        <f>SIT!R20</f>
        <v>-455095.78123219113</v>
      </c>
      <c r="S8" s="30">
        <f>SIT!S20</f>
        <v>-450663.2175000913</v>
      </c>
      <c r="T8" s="30">
        <f>SIT!T20</f>
        <v>-446514.61694335722</v>
      </c>
      <c r="U8" s="30">
        <f>SIT!U20</f>
        <v>-442265.13072274416</v>
      </c>
      <c r="V8" s="30">
        <f>SIT!V20</f>
        <v>-438285.93717439112</v>
      </c>
      <c r="W8" s="30">
        <f>SIT!W20</f>
        <v>-434888.46127189125</v>
      </c>
      <c r="X8" s="30">
        <f>SIT!X20</f>
        <v>-225248.31193266172</v>
      </c>
      <c r="Y8" s="30">
        <f>SIT!Y20</f>
        <v>-17055.920708749891</v>
      </c>
      <c r="Z8" s="30">
        <f>SIT!Z20</f>
        <v>-16970.941099001444</v>
      </c>
      <c r="AA8" s="30">
        <f>SIT!AA20</f>
        <v>-16890.95270129968</v>
      </c>
      <c r="AB8" s="30">
        <f>SIT!AB20</f>
        <v>-16805.97309155123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4073273.5713188397</v>
      </c>
      <c r="E10" s="29">
        <f>SIT!E9</f>
        <v>3724017.0999051309</v>
      </c>
      <c r="F10" s="29">
        <f>SIT!F9</f>
        <v>3382209.5444160257</v>
      </c>
      <c r="G10" s="29">
        <f>SIT!G9</f>
        <v>3047273.6825843062</v>
      </c>
      <c r="H10" s="29">
        <f>SIT!H9</f>
        <v>2718714.752466639</v>
      </c>
      <c r="I10" s="29">
        <f>SIT!I9</f>
        <v>2396037.9921196932</v>
      </c>
      <c r="J10" s="29">
        <f>SIT!J9</f>
        <v>2078817.3565367106</v>
      </c>
      <c r="K10" s="29">
        <f>SIT!K9</f>
        <v>1766626.8007109335</v>
      </c>
      <c r="L10" s="29">
        <f>SIT!L9</f>
        <v>1455260.8481240433</v>
      </c>
      <c r="M10" s="29">
        <f>SIT!M9</f>
        <v>1143908.6389244671</v>
      </c>
      <c r="N10" s="29">
        <f>SIT!N9</f>
        <v>832542.68633757648</v>
      </c>
      <c r="O10" s="29">
        <f>SIT!O9</f>
        <v>658427.27978365379</v>
      </c>
      <c r="P10" s="29">
        <f>SIT!P9</f>
        <v>594440.16328246868</v>
      </c>
      <c r="Q10" s="29">
        <f>SIT!Q9</f>
        <v>530666.81154109549</v>
      </c>
      <c r="R10" s="29">
        <f>SIT!R9</f>
        <v>467064.23797375127</v>
      </c>
      <c r="S10" s="29">
        <f>SIT!S9</f>
        <v>403646.64380264911</v>
      </c>
      <c r="T10" s="29">
        <f>SIT!T9</f>
        <v>340373.25670074247</v>
      </c>
      <c r="U10" s="29">
        <f>SIT!U9</f>
        <v>277260.1231058577</v>
      </c>
      <c r="V10" s="29">
        <f>SIT!V9</f>
        <v>214268.315906562</v>
      </c>
      <c r="W10" s="29">
        <f>SIT!W9</f>
        <v>151312.39468194224</v>
      </c>
      <c r="X10" s="29">
        <f>SIT!X9</f>
        <v>119004.5962123811</v>
      </c>
      <c r="Y10" s="29">
        <f>SIT!Y9</f>
        <v>117357.92579894786</v>
      </c>
      <c r="Z10" s="29">
        <f>SIT!Z9</f>
        <v>115711.62442863734</v>
      </c>
      <c r="AA10" s="29">
        <f>SIT!AA9</f>
        <v>114064.95401520412</v>
      </c>
      <c r="AB10" s="29">
        <f>SIT!AB9</f>
        <v>112418.65264489356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 ht="13">
      <c r="A12" s="25">
        <v>7</v>
      </c>
      <c r="B12" s="26"/>
      <c r="C12" s="26" t="s">
        <v>48</v>
      </c>
      <c r="D12" s="31">
        <f>D4-D6-D7-D8-D9-D10+D5</f>
        <v>-17417154.062835854</v>
      </c>
      <c r="E12" s="31">
        <f t="shared" ref="E12:N12" si="0">E4-E6-E7-E8-E9-E10</f>
        <v>-14200345.11305801</v>
      </c>
      <c r="F12" s="31">
        <f t="shared" si="0"/>
        <v>-13919852.252282131</v>
      </c>
      <c r="G12" s="31">
        <f t="shared" si="0"/>
        <v>-13642097.0020757</v>
      </c>
      <c r="H12" s="31">
        <f t="shared" si="0"/>
        <v>-13367159.862057637</v>
      </c>
      <c r="I12" s="31">
        <f t="shared" si="0"/>
        <v>-13094561.639145408</v>
      </c>
      <c r="J12" s="31">
        <f t="shared" si="0"/>
        <v>-12824356.105435822</v>
      </c>
      <c r="K12" s="31">
        <f t="shared" si="0"/>
        <v>-12556130.622441141</v>
      </c>
      <c r="L12" s="31">
        <f t="shared" si="0"/>
        <v>-12260159.466809561</v>
      </c>
      <c r="M12" s="31">
        <f t="shared" si="0"/>
        <v>-11958697.977199249</v>
      </c>
      <c r="N12" s="31">
        <f t="shared" si="0"/>
        <v>-11657036.61243616</v>
      </c>
      <c r="O12" s="31">
        <f t="shared" ref="O12:X12" si="1">O4-O6-O7-O8-O9-O10</f>
        <v>-11895766.92237564</v>
      </c>
      <c r="P12" s="31">
        <f t="shared" si="1"/>
        <v>-130353.17662008677</v>
      </c>
      <c r="Q12" s="31">
        <f t="shared" si="1"/>
        <v>-71225.58929781121</v>
      </c>
      <c r="R12" s="31">
        <f t="shared" si="1"/>
        <v>-11968.456741560134</v>
      </c>
      <c r="S12" s="31">
        <f t="shared" si="1"/>
        <v>47016.573697442189</v>
      </c>
      <c r="T12" s="31">
        <f t="shared" si="1"/>
        <v>106141.36024261476</v>
      </c>
      <c r="U12" s="31">
        <f t="shared" si="1"/>
        <v>165005.00761688646</v>
      </c>
      <c r="V12" s="31">
        <f t="shared" si="1"/>
        <v>224017.62126782912</v>
      </c>
      <c r="W12" s="31">
        <f t="shared" si="1"/>
        <v>283576.06658994901</v>
      </c>
      <c r="X12" s="31">
        <f t="shared" si="1"/>
        <v>106243.71572028061</v>
      </c>
      <c r="Y12" s="31">
        <f t="shared" ref="Y12:AL12" si="2">Y4-Y6-Y7-Y8-Y9-Y10</f>
        <v>-100302.00509019797</v>
      </c>
      <c r="Z12" s="31">
        <f t="shared" si="2"/>
        <v>-98740.683329635896</v>
      </c>
      <c r="AA12" s="31">
        <f t="shared" si="2"/>
        <v>-97174.001313904431</v>
      </c>
      <c r="AB12" s="31">
        <f t="shared" si="2"/>
        <v>-95612.679553342328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55284304.166666664</v>
      </c>
      <c r="E15" s="34">
        <f>SIT!E14</f>
        <v>-2175077.9033333347</v>
      </c>
      <c r="F15" s="34">
        <f>SIT!F14</f>
        <v>-1165857.6433333347</v>
      </c>
      <c r="G15" s="34">
        <f>SIT!G14</f>
        <v>-234842.6433333334</v>
      </c>
      <c r="H15" s="34">
        <f>SIT!H14</f>
        <v>629139.27666666673</v>
      </c>
      <c r="I15" s="34">
        <f>SIT!I14</f>
        <v>1426088.1166666658</v>
      </c>
      <c r="J15" s="34">
        <f>SIT!J14</f>
        <v>2165314.026666665</v>
      </c>
      <c r="K15" s="34">
        <f>SIT!K14</f>
        <v>2846817.0066666664</v>
      </c>
      <c r="L15" s="34">
        <f>SIT!L14</f>
        <v>2958538.8066666657</v>
      </c>
      <c r="M15" s="34">
        <f>SIT!M14</f>
        <v>2960400.836666666</v>
      </c>
      <c r="N15" s="34">
        <f>SIT!N14</f>
        <v>2958538.8066666657</v>
      </c>
      <c r="O15" s="34">
        <f>SIT!O14</f>
        <v>3189567.503333332</v>
      </c>
      <c r="P15" s="34">
        <f>SIT!P14</f>
        <v>-8669327.8600000013</v>
      </c>
      <c r="Q15" s="34">
        <f>SIT!Q14</f>
        <v>-8640365.8300000001</v>
      </c>
      <c r="R15" s="34">
        <f>SIT!R14</f>
        <v>-8617227.8600000013</v>
      </c>
      <c r="S15" s="34">
        <f>SIT!S14</f>
        <v>-8592165.8300000001</v>
      </c>
      <c r="T15" s="34">
        <f>SIT!T14</f>
        <v>-8572627.8600000013</v>
      </c>
      <c r="U15" s="34">
        <f>SIT!U14</f>
        <v>-8550915.8300000001</v>
      </c>
      <c r="V15" s="34">
        <f>SIT!V14</f>
        <v>-8534477.8600000013</v>
      </c>
      <c r="W15" s="34">
        <f>SIT!W14</f>
        <v>-8529615.8300000001</v>
      </c>
      <c r="X15" s="34">
        <f>SIT!X14</f>
        <v>-4377238.9300000006</v>
      </c>
      <c r="Y15" s="34">
        <f>SIT!Y14</f>
        <v>-223100</v>
      </c>
      <c r="Z15" s="34">
        <f>SIT!Z14</f>
        <v>-223049.99999999997</v>
      </c>
      <c r="AA15" s="34">
        <f>SIT!AA14</f>
        <v>-223100</v>
      </c>
      <c r="AB15" s="34">
        <f>SIT!AB14</f>
        <v>-223049.99999999997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37867150.103830814</v>
      </c>
      <c r="E17" s="35">
        <f t="shared" ref="E17:N17" si="3">SUM(E12:E15)</f>
        <v>-16375423.016391344</v>
      </c>
      <c r="F17" s="35">
        <f t="shared" si="3"/>
        <v>-15085709.895615466</v>
      </c>
      <c r="G17" s="35">
        <f t="shared" si="3"/>
        <v>-13876939.645409033</v>
      </c>
      <c r="H17" s="35">
        <f t="shared" si="3"/>
        <v>-12738020.58539097</v>
      </c>
      <c r="I17" s="35">
        <f t="shared" si="3"/>
        <v>-11668473.522478743</v>
      </c>
      <c r="J17" s="35">
        <f t="shared" si="3"/>
        <v>-10659042.078769157</v>
      </c>
      <c r="K17" s="35">
        <f t="shared" si="3"/>
        <v>-9709313.615774475</v>
      </c>
      <c r="L17" s="35">
        <f t="shared" si="3"/>
        <v>-9301620.6601428948</v>
      </c>
      <c r="M17" s="35">
        <f t="shared" si="3"/>
        <v>-8998297.140532583</v>
      </c>
      <c r="N17" s="35">
        <f t="shared" si="3"/>
        <v>-8698497.8057694957</v>
      </c>
      <c r="O17" s="35">
        <f t="shared" ref="O17:X17" si="4">SUM(O12:O15)</f>
        <v>-8706199.4190423079</v>
      </c>
      <c r="P17" s="35">
        <f t="shared" si="4"/>
        <v>-8799681.0366200879</v>
      </c>
      <c r="Q17" s="35">
        <f t="shared" si="4"/>
        <v>-8711591.4192978106</v>
      </c>
      <c r="R17" s="35">
        <f t="shared" si="4"/>
        <v>-8629196.3167415615</v>
      </c>
      <c r="S17" s="35">
        <f t="shared" si="4"/>
        <v>-8545149.2563025579</v>
      </c>
      <c r="T17" s="35">
        <f t="shared" si="4"/>
        <v>-8466486.4997573867</v>
      </c>
      <c r="U17" s="35">
        <f t="shared" si="4"/>
        <v>-8385910.8223831132</v>
      </c>
      <c r="V17" s="35">
        <f t="shared" si="4"/>
        <v>-8310460.2387321722</v>
      </c>
      <c r="W17" s="35">
        <f t="shared" si="4"/>
        <v>-8246039.7634100514</v>
      </c>
      <c r="X17" s="35">
        <f t="shared" si="4"/>
        <v>-4270995.2142797196</v>
      </c>
      <c r="Y17" s="35">
        <f t="shared" ref="Y17:AL17" si="5">SUM(Y12:Y15)</f>
        <v>-323402.00509019796</v>
      </c>
      <c r="Z17" s="35">
        <f t="shared" si="5"/>
        <v>-321790.68332963588</v>
      </c>
      <c r="AA17" s="35">
        <f t="shared" si="5"/>
        <v>-320274.00131390442</v>
      </c>
      <c r="AB17" s="35">
        <f t="shared" si="5"/>
        <v>-318662.67955334228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7952101.5218044706</v>
      </c>
      <c r="E21" s="35">
        <f t="shared" ref="E21:N21" si="6">E19*E17</f>
        <v>-3438838.8334421823</v>
      </c>
      <c r="F21" s="35">
        <f t="shared" si="6"/>
        <v>-3167999.0780792478</v>
      </c>
      <c r="G21" s="35">
        <f t="shared" si="6"/>
        <v>-2914157.3255358967</v>
      </c>
      <c r="H21" s="35">
        <f t="shared" si="6"/>
        <v>-2674984.3229321036</v>
      </c>
      <c r="I21" s="35">
        <f t="shared" si="6"/>
        <v>-2450379.4397205357</v>
      </c>
      <c r="J21" s="35">
        <f t="shared" si="6"/>
        <v>-2238398.8365415228</v>
      </c>
      <c r="K21" s="35">
        <f t="shared" si="6"/>
        <v>-2038955.8593126396</v>
      </c>
      <c r="L21" s="35">
        <f t="shared" si="6"/>
        <v>-1953340.3386300078</v>
      </c>
      <c r="M21" s="35">
        <f t="shared" si="6"/>
        <v>-1889642.3995118423</v>
      </c>
      <c r="N21" s="35">
        <f t="shared" si="6"/>
        <v>-1826684.539211594</v>
      </c>
      <c r="O21" s="35">
        <f t="shared" ref="O21:X21" si="7">O19*O17</f>
        <v>-1828301.8779988845</v>
      </c>
      <c r="P21" s="35">
        <f t="shared" si="7"/>
        <v>-1847933.0176902183</v>
      </c>
      <c r="Q21" s="35">
        <f t="shared" si="7"/>
        <v>-1829434.1980525402</v>
      </c>
      <c r="R21" s="35">
        <f t="shared" si="7"/>
        <v>-1812131.2265157278</v>
      </c>
      <c r="S21" s="35">
        <f t="shared" si="7"/>
        <v>-1794481.343823537</v>
      </c>
      <c r="T21" s="35">
        <f t="shared" si="7"/>
        <v>-1777962.1649490511</v>
      </c>
      <c r="U21" s="35">
        <f t="shared" si="7"/>
        <v>-1761041.2727004536</v>
      </c>
      <c r="V21" s="35">
        <f t="shared" si="7"/>
        <v>-1745196.650133756</v>
      </c>
      <c r="W21" s="35">
        <f t="shared" si="7"/>
        <v>-1731668.3503161108</v>
      </c>
      <c r="X21" s="35">
        <f t="shared" si="7"/>
        <v>-896908.99499874108</v>
      </c>
      <c r="Y21" s="35">
        <f t="shared" ref="Y21:AL21" si="8">Y19*Y17</f>
        <v>-67914.421068941563</v>
      </c>
      <c r="Z21" s="35">
        <f t="shared" si="8"/>
        <v>-67576.043499223539</v>
      </c>
      <c r="AA21" s="35">
        <f t="shared" si="8"/>
        <v>-67257.540275919921</v>
      </c>
      <c r="AB21" s="35">
        <f t="shared" si="8"/>
        <v>-66919.162706201882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 ht="13">
      <c r="A25" s="130">
        <v>14</v>
      </c>
      <c r="B25" s="131"/>
      <c r="C25" s="131" t="s">
        <v>150</v>
      </c>
      <c r="D25" s="132">
        <f>D21</f>
        <v>7952101.5218044706</v>
      </c>
      <c r="E25" s="132">
        <f t="shared" ref="E25:N25" si="9">E21</f>
        <v>-3438838.8334421823</v>
      </c>
      <c r="F25" s="132">
        <f t="shared" si="9"/>
        <v>-3167999.0780792478</v>
      </c>
      <c r="G25" s="132">
        <f t="shared" si="9"/>
        <v>-2914157.3255358967</v>
      </c>
      <c r="H25" s="132">
        <f t="shared" si="9"/>
        <v>-2674984.3229321036</v>
      </c>
      <c r="I25" s="132">
        <f t="shared" si="9"/>
        <v>-2450379.4397205357</v>
      </c>
      <c r="J25" s="132">
        <f t="shared" si="9"/>
        <v>-2238398.8365415228</v>
      </c>
      <c r="K25" s="132">
        <f t="shared" si="9"/>
        <v>-2038955.8593126396</v>
      </c>
      <c r="L25" s="132">
        <f t="shared" si="9"/>
        <v>-1953340.3386300078</v>
      </c>
      <c r="M25" s="132">
        <f t="shared" si="9"/>
        <v>-1889642.3995118423</v>
      </c>
      <c r="N25" s="132">
        <f t="shared" si="9"/>
        <v>-1826684.539211594</v>
      </c>
      <c r="O25" s="132">
        <f t="shared" ref="O25:X25" si="10">O21</f>
        <v>-1828301.8779988845</v>
      </c>
      <c r="P25" s="132">
        <f t="shared" si="10"/>
        <v>-1847933.0176902183</v>
      </c>
      <c r="Q25" s="132">
        <f t="shared" si="10"/>
        <v>-1829434.1980525402</v>
      </c>
      <c r="R25" s="132">
        <f t="shared" si="10"/>
        <v>-1812131.2265157278</v>
      </c>
      <c r="S25" s="132">
        <f t="shared" si="10"/>
        <v>-1794481.343823537</v>
      </c>
      <c r="T25" s="132">
        <f t="shared" si="10"/>
        <v>-1777962.1649490511</v>
      </c>
      <c r="U25" s="132">
        <f t="shared" si="10"/>
        <v>-1761041.2727004536</v>
      </c>
      <c r="V25" s="132">
        <f t="shared" si="10"/>
        <v>-1745196.650133756</v>
      </c>
      <c r="W25" s="132">
        <f t="shared" si="10"/>
        <v>-1731668.3503161108</v>
      </c>
      <c r="X25" s="132">
        <f t="shared" si="10"/>
        <v>-896908.99499874108</v>
      </c>
      <c r="Y25" s="132">
        <f t="shared" ref="Y25:AL25" si="11">Y21</f>
        <v>-67914.421068941563</v>
      </c>
      <c r="Z25" s="132">
        <f t="shared" si="11"/>
        <v>-67576.043499223539</v>
      </c>
      <c r="AA25" s="132">
        <f t="shared" si="11"/>
        <v>-67257.540275919921</v>
      </c>
      <c r="AB25" s="132">
        <f t="shared" si="11"/>
        <v>-66919.162706201882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'Total Rev Req'!B28</f>
        <v>23695515.47459748</v>
      </c>
      <c r="E27" s="124">
        <f>'Total Rev Req'!C28</f>
        <v>22634130.517810691</v>
      </c>
      <c r="F27" s="124">
        <f>'Total Rev Req'!D28</f>
        <v>21595382.700071733</v>
      </c>
      <c r="G27" s="124">
        <f>'Total Rev Req'!E28</f>
        <v>20577517.851934094</v>
      </c>
      <c r="H27" s="124">
        <f>'Total Rev Req'!F28</f>
        <v>19579032.399586469</v>
      </c>
      <c r="I27" s="124">
        <f>'Total Rev Req'!G28</f>
        <v>18598422.769217569</v>
      </c>
      <c r="J27" s="124">
        <f>'Total Rev Req'!H28</f>
        <v>17634394.216712117</v>
      </c>
      <c r="K27" s="124">
        <f>'Total Rev Req'!I28</f>
        <v>16685651.997954827</v>
      </c>
      <c r="L27" s="124">
        <f>'Total Rev Req'!J28</f>
        <v>15739415.735549701</v>
      </c>
      <c r="M27" s="124">
        <f>'Total Rev Req'!K28</f>
        <v>14793221.239083771</v>
      </c>
      <c r="N27" s="124">
        <f>'Total Rev Req'!L28</f>
        <v>13846984.976678638</v>
      </c>
      <c r="O27" s="124">
        <f>'Total Rev Req'!M28</f>
        <v>13736366.128165454</v>
      </c>
      <c r="P27" s="124">
        <f>'Total Rev Req'!N28</f>
        <v>1794784.4046524707</v>
      </c>
      <c r="Q27" s="124">
        <f>'Total Rev Req'!O28</f>
        <v>1602234.4657220433</v>
      </c>
      <c r="R27" s="124">
        <f>'Total Rev Req'!P28</f>
        <v>1410200.1548099327</v>
      </c>
      <c r="S27" s="124">
        <f>'Total Rev Req'!Q28</f>
        <v>1218724.3494566069</v>
      </c>
      <c r="T27" s="124">
        <f>'Total Rev Req'!R28</f>
        <v>1027683.9463772506</v>
      </c>
      <c r="U27" s="124">
        <f>'Total Rev Req'!S28</f>
        <v>837127.39434457687</v>
      </c>
      <c r="V27" s="124">
        <f>'Total Rev Req'!T28</f>
        <v>646937.16130601813</v>
      </c>
      <c r="W27" s="124">
        <f>'Total Rev Req'!U28</f>
        <v>456855.2782607362</v>
      </c>
      <c r="X27" s="124">
        <f>'Total Rev Req'!V28</f>
        <v>359308.81955304986</v>
      </c>
      <c r="Y27" s="124">
        <f>'Total Rev Req'!W28</f>
        <v>354337.05189638131</v>
      </c>
      <c r="Z27" s="124">
        <f>'Total Rev Req'!X28</f>
        <v>349366.39848616201</v>
      </c>
      <c r="AA27" s="124">
        <f>'Total Rev Req'!Y28</f>
        <v>344394.63082949346</v>
      </c>
      <c r="AB27" s="124">
        <f>'Total Rev Req'!Z28</f>
        <v>339423.97741927404</v>
      </c>
      <c r="AC27" s="124">
        <f>'Total Rev Req'!AA28</f>
        <v>0</v>
      </c>
      <c r="AD27" s="124">
        <f>'Total Rev Req'!AB28</f>
        <v>0</v>
      </c>
      <c r="AE27" s="124">
        <f>'Total Rev Req'!AC28</f>
        <v>0</v>
      </c>
      <c r="AF27" s="124">
        <f>'Total Rev Req'!AD28</f>
        <v>0</v>
      </c>
      <c r="AG27" s="124">
        <f>'Total Rev Req'!AE28</f>
        <v>0</v>
      </c>
      <c r="AH27" s="124">
        <f>'Total Rev Req'!AF28</f>
        <v>0</v>
      </c>
      <c r="AI27" s="124">
        <f>'Total Rev Req'!AG28</f>
        <v>0</v>
      </c>
      <c r="AJ27" s="124">
        <f>'Total Rev Req'!AH28</f>
        <v>0</v>
      </c>
      <c r="AK27" s="124">
        <f>'Total Rev Req'!AI28</f>
        <v>0</v>
      </c>
      <c r="AL27" s="124">
        <f>'Total Rev Req'!AJ28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61562665.578428298</v>
      </c>
      <c r="E29" s="127">
        <f t="shared" ref="E29:X29" si="12">E27+E17</f>
        <v>6258707.5014193468</v>
      </c>
      <c r="F29" s="127">
        <f t="shared" si="12"/>
        <v>6509672.8044562675</v>
      </c>
      <c r="G29" s="127">
        <f t="shared" si="12"/>
        <v>6700578.2065250613</v>
      </c>
      <c r="H29" s="127">
        <f t="shared" si="12"/>
        <v>6841011.8141954988</v>
      </c>
      <c r="I29" s="127">
        <f t="shared" si="12"/>
        <v>6929949.2467388269</v>
      </c>
      <c r="J29" s="127">
        <f t="shared" si="12"/>
        <v>6975352.1379429605</v>
      </c>
      <c r="K29" s="127">
        <f t="shared" si="12"/>
        <v>6976338.3821803518</v>
      </c>
      <c r="L29" s="127">
        <f t="shared" si="12"/>
        <v>6437795.0754068065</v>
      </c>
      <c r="M29" s="127">
        <f t="shared" si="12"/>
        <v>5794924.0985511877</v>
      </c>
      <c r="N29" s="127">
        <f t="shared" si="12"/>
        <v>5148487.1709091421</v>
      </c>
      <c r="O29" s="127">
        <f t="shared" si="12"/>
        <v>5030166.7091231458</v>
      </c>
      <c r="P29" s="127">
        <f t="shared" si="12"/>
        <v>-7004896.6319676172</v>
      </c>
      <c r="Q29" s="127">
        <f t="shared" si="12"/>
        <v>-7109356.9535757676</v>
      </c>
      <c r="R29" s="127">
        <f t="shared" si="12"/>
        <v>-7218996.1619316284</v>
      </c>
      <c r="S29" s="127">
        <f t="shared" si="12"/>
        <v>-7326424.9068459515</v>
      </c>
      <c r="T29" s="127">
        <f t="shared" si="12"/>
        <v>-7438802.5533801364</v>
      </c>
      <c r="U29" s="127">
        <f t="shared" si="12"/>
        <v>-7548783.4280385366</v>
      </c>
      <c r="V29" s="127">
        <f t="shared" si="12"/>
        <v>-7663523.0774261542</v>
      </c>
      <c r="W29" s="127">
        <f t="shared" si="12"/>
        <v>-7789184.4851493156</v>
      </c>
      <c r="X29" s="127">
        <f t="shared" si="12"/>
        <v>-3911686.3947266699</v>
      </c>
      <c r="Y29" s="127">
        <f t="shared" ref="Y29:AL29" si="13">Y27+Y17</f>
        <v>30935.046806183353</v>
      </c>
      <c r="Z29" s="127">
        <f t="shared" si="13"/>
        <v>27575.71515652613</v>
      </c>
      <c r="AA29" s="127">
        <f t="shared" si="13"/>
        <v>24120.62951558904</v>
      </c>
      <c r="AB29" s="127">
        <f t="shared" si="13"/>
        <v>20761.29786593176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 ht="13">
      <c r="A31" s="130">
        <v>17</v>
      </c>
      <c r="B31" s="131"/>
      <c r="C31" s="131" t="s">
        <v>190</v>
      </c>
      <c r="D31" s="132">
        <f>D29*D19</f>
        <v>12928159.771469941</v>
      </c>
      <c r="E31" s="132">
        <f t="shared" ref="E31:X31" si="14">E29*E19</f>
        <v>1314328.5752980628</v>
      </c>
      <c r="F31" s="132">
        <f t="shared" si="14"/>
        <v>1367031.2889358161</v>
      </c>
      <c r="G31" s="132">
        <f t="shared" si="14"/>
        <v>1407121.4233702628</v>
      </c>
      <c r="H31" s="132">
        <f t="shared" si="14"/>
        <v>1436612.4809810547</v>
      </c>
      <c r="I31" s="132">
        <f t="shared" si="14"/>
        <v>1455289.3418151536</v>
      </c>
      <c r="J31" s="132">
        <f t="shared" si="14"/>
        <v>1464823.9489680217</v>
      </c>
      <c r="K31" s="132">
        <f t="shared" si="14"/>
        <v>1465031.0602578737</v>
      </c>
      <c r="L31" s="132">
        <f t="shared" si="14"/>
        <v>1351936.9658354293</v>
      </c>
      <c r="M31" s="132">
        <f t="shared" si="14"/>
        <v>1216934.0606957495</v>
      </c>
      <c r="N31" s="132">
        <f t="shared" si="14"/>
        <v>1081182.3058909199</v>
      </c>
      <c r="O31" s="132">
        <f t="shared" si="14"/>
        <v>1056335.0089158607</v>
      </c>
      <c r="P31" s="132">
        <f t="shared" si="14"/>
        <v>-1471028.2927131995</v>
      </c>
      <c r="Q31" s="132">
        <f t="shared" si="14"/>
        <v>-1492964.9602509111</v>
      </c>
      <c r="R31" s="132">
        <f t="shared" si="14"/>
        <v>-1515989.1940056419</v>
      </c>
      <c r="S31" s="132">
        <f t="shared" si="14"/>
        <v>-1538549.2304376496</v>
      </c>
      <c r="T31" s="132">
        <f t="shared" si="14"/>
        <v>-1562148.5362098287</v>
      </c>
      <c r="U31" s="132">
        <f t="shared" si="14"/>
        <v>-1585244.5198880925</v>
      </c>
      <c r="V31" s="132">
        <f t="shared" si="14"/>
        <v>-1609339.8462594922</v>
      </c>
      <c r="W31" s="132">
        <f t="shared" si="14"/>
        <v>-1635728.7418813561</v>
      </c>
      <c r="X31" s="132">
        <f t="shared" si="14"/>
        <v>-821454.14289260062</v>
      </c>
      <c r="Y31" s="132">
        <f t="shared" ref="Y31:AL31" si="15">Y29*Y19</f>
        <v>6496.3598292985034</v>
      </c>
      <c r="Z31" s="132">
        <f t="shared" si="15"/>
        <v>5790.9001828704868</v>
      </c>
      <c r="AA31" s="132">
        <f t="shared" si="15"/>
        <v>5065.3321982736979</v>
      </c>
      <c r="AB31" s="132">
        <f t="shared" si="15"/>
        <v>4359.8725518456695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Exhibit NMC-R8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5"/>
  <cols>
    <col min="1" max="1" width="3" bestFit="1" customWidth="1"/>
    <col min="2" max="4" width="12" bestFit="1" customWidth="1"/>
    <col min="5" max="7" width="13.1796875" bestFit="1" customWidth="1"/>
  </cols>
  <sheetData>
    <row r="1" spans="1:7" ht="14.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4.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4.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4.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4.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4.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4.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4.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4.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4.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4.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4.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4.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4.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4.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4.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4.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4.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4.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4.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4.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4.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4.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5"/>
  <cols>
    <col min="1" max="1" width="15.1796875" bestFit="1" customWidth="1"/>
    <col min="3" max="3" width="10.1796875" bestFit="1" customWidth="1"/>
    <col min="4" max="4" width="10.1796875" customWidth="1"/>
  </cols>
  <sheetData>
    <row r="1" spans="1:11" ht="13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H13"/>
  <sheetViews>
    <sheetView zoomScaleNormal="100" workbookViewId="0">
      <selection activeCell="C10" sqref="C10"/>
    </sheetView>
  </sheetViews>
  <sheetFormatPr defaultRowHeight="12.5"/>
  <cols>
    <col min="2" max="2" width="23.54296875" bestFit="1" customWidth="1"/>
    <col min="3" max="5" width="14.81640625" bestFit="1" customWidth="1"/>
    <col min="6" max="6" width="14.81640625" customWidth="1"/>
    <col min="7" max="7" width="13.26953125" bestFit="1" customWidth="1"/>
  </cols>
  <sheetData>
    <row r="3" spans="2:8">
      <c r="C3">
        <v>2026</v>
      </c>
      <c r="D3">
        <v>2027</v>
      </c>
      <c r="E3">
        <v>2028</v>
      </c>
      <c r="F3">
        <v>2029</v>
      </c>
    </row>
    <row r="4" spans="2:8">
      <c r="B4" t="s">
        <v>4</v>
      </c>
      <c r="C4" s="152">
        <v>26844000</v>
      </c>
      <c r="D4" s="152">
        <v>107991000</v>
      </c>
      <c r="E4" s="152">
        <v>30005000</v>
      </c>
      <c r="F4" s="152">
        <v>0</v>
      </c>
      <c r="G4" s="152">
        <v>164840000</v>
      </c>
    </row>
    <row r="5" spans="2:8">
      <c r="B5" s="128" t="s">
        <v>269</v>
      </c>
      <c r="C5" s="208">
        <v>576000</v>
      </c>
      <c r="D5" s="208">
        <v>3626000</v>
      </c>
      <c r="E5" s="208">
        <v>3352000</v>
      </c>
      <c r="G5" s="152">
        <f>SUM(C5:E5)</f>
        <v>7554000</v>
      </c>
    </row>
    <row r="6" spans="2:8">
      <c r="B6" t="s">
        <v>270</v>
      </c>
      <c r="C6" s="127">
        <f>C4-C5</f>
        <v>26268000</v>
      </c>
      <c r="D6" s="127">
        <f t="shared" ref="D6" si="0">D4-D5</f>
        <v>104365000</v>
      </c>
      <c r="E6" s="127">
        <f>E4-E5</f>
        <v>26653000</v>
      </c>
      <c r="G6" s="152">
        <f>G4-G5</f>
        <v>157286000</v>
      </c>
    </row>
    <row r="7" spans="2:8">
      <c r="B7" s="128" t="s">
        <v>278</v>
      </c>
      <c r="C7" s="209">
        <v>0</v>
      </c>
      <c r="D7" s="209">
        <v>0</v>
      </c>
      <c r="E7" s="209">
        <v>0</v>
      </c>
      <c r="G7" s="152">
        <v>51000000</v>
      </c>
      <c r="H7" s="127">
        <f>G6-G7-G8</f>
        <v>0</v>
      </c>
    </row>
    <row r="8" spans="2:8" ht="13">
      <c r="B8" s="84" t="s">
        <v>274</v>
      </c>
      <c r="C8" s="210">
        <f>C6-C7</f>
        <v>26268000</v>
      </c>
      <c r="D8" s="210">
        <f>D6-D7</f>
        <v>104365000</v>
      </c>
      <c r="E8" s="210">
        <f>E6-E7</f>
        <v>26653000</v>
      </c>
      <c r="G8" s="152">
        <f>G6-G7</f>
        <v>106286000</v>
      </c>
    </row>
    <row r="9" spans="2:8">
      <c r="B9" t="s">
        <v>265</v>
      </c>
      <c r="C9" s="202">
        <f>'CAP Structure'!$H$18</f>
        <v>8.9290168670800002E-2</v>
      </c>
      <c r="D9" s="202">
        <f>'CAP Structure'!$H$18</f>
        <v>8.9290168670800002E-2</v>
      </c>
      <c r="E9" s="202">
        <f>'CAP Structure'!$H$18</f>
        <v>8.9290168670800002E-2</v>
      </c>
      <c r="G9" s="127"/>
    </row>
    <row r="10" spans="2:8">
      <c r="B10" t="s">
        <v>271</v>
      </c>
      <c r="C10" s="127">
        <f>C8*C9</f>
        <v>2345474.1506445743</v>
      </c>
      <c r="D10" s="127">
        <f>(D8+C8)*D9</f>
        <v>11664242.603972618</v>
      </c>
      <c r="E10" s="127">
        <f>(C8+E8+D8)*E9</f>
        <v>14044093.469555449</v>
      </c>
    </row>
    <row r="11" spans="2:8">
      <c r="B11" t="s">
        <v>266</v>
      </c>
      <c r="C11" s="127">
        <f>C4*0.0040614</f>
        <v>109024.22159999999</v>
      </c>
      <c r="D11" s="127">
        <f>D4*0.0040614</f>
        <v>438594.64739999996</v>
      </c>
      <c r="E11" s="127">
        <f>E4*0.0040614</f>
        <v>121862.30699999999</v>
      </c>
    </row>
    <row r="13" spans="2:8" ht="13">
      <c r="B13" s="84" t="s">
        <v>272</v>
      </c>
      <c r="C13" s="210">
        <f>C10*0.5</f>
        <v>1172737.0753222872</v>
      </c>
      <c r="D13" s="210">
        <f t="shared" ref="D13:E13" si="1">D10*0.5</f>
        <v>5832121.3019863088</v>
      </c>
      <c r="E13" s="210">
        <f t="shared" si="1"/>
        <v>7022046.7347777244</v>
      </c>
    </row>
  </sheetData>
  <pageMargins left="0.7" right="0.7" top="0.75" bottom="0.75" header="0.3" footer="0.3"/>
  <pageSetup orientation="portrait" r:id="rId1"/>
  <headerFooter>
    <oddHeader>&amp;RCase No. 2026-00001
Exhibit NMC-R8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D25"/>
  <sheetViews>
    <sheetView zoomScaleNormal="100" workbookViewId="0">
      <selection activeCell="C10" sqref="C10"/>
    </sheetView>
  </sheetViews>
  <sheetFormatPr defaultColWidth="29.453125" defaultRowHeight="12.5"/>
  <cols>
    <col min="1" max="1" width="29.453125" style="4"/>
    <col min="2" max="2" width="40.1796875" style="4" bestFit="1" customWidth="1"/>
    <col min="3" max="3" width="8.26953125" style="4" bestFit="1" customWidth="1"/>
    <col min="4" max="16384" width="29.453125" style="4"/>
  </cols>
  <sheetData>
    <row r="1" spans="1:4">
      <c r="A1" s="51"/>
      <c r="B1" s="211" t="s">
        <v>210</v>
      </c>
      <c r="C1" s="212"/>
      <c r="D1" s="154"/>
    </row>
    <row r="2" spans="1:4">
      <c r="A2" s="51"/>
      <c r="B2" s="211" t="s">
        <v>233</v>
      </c>
      <c r="C2" s="212"/>
      <c r="D2" s="154"/>
    </row>
    <row r="3" spans="1:4">
      <c r="A3" s="51"/>
      <c r="B3" s="211" t="s">
        <v>234</v>
      </c>
      <c r="C3" s="212"/>
      <c r="D3" s="154"/>
    </row>
    <row r="4" spans="1:4">
      <c r="A4" s="51"/>
      <c r="B4" s="211" t="s">
        <v>273</v>
      </c>
      <c r="C4" s="212"/>
    </row>
    <row r="5" spans="1:4">
      <c r="A5" s="51"/>
    </row>
    <row r="6" spans="1:4" ht="25">
      <c r="A6" s="156" t="s">
        <v>235</v>
      </c>
      <c r="B6" s="51" t="s">
        <v>43</v>
      </c>
      <c r="C6" s="156"/>
      <c r="D6" s="156" t="s">
        <v>236</v>
      </c>
    </row>
    <row r="7" spans="1:4">
      <c r="A7" s="157">
        <v>-1</v>
      </c>
      <c r="B7" s="158">
        <v>-2</v>
      </c>
      <c r="C7" s="158"/>
      <c r="D7" s="158">
        <f>+B7-1</f>
        <v>-3</v>
      </c>
    </row>
    <row r="8" spans="1:4">
      <c r="A8" s="158"/>
    </row>
    <row r="9" spans="1:4">
      <c r="A9" s="158">
        <v>1</v>
      </c>
      <c r="B9" s="4" t="s">
        <v>237</v>
      </c>
      <c r="C9" s="159"/>
      <c r="D9" s="160">
        <v>1</v>
      </c>
    </row>
    <row r="10" spans="1:4">
      <c r="A10" s="158"/>
      <c r="C10" s="159"/>
      <c r="D10" s="160"/>
    </row>
    <row r="11" spans="1:4">
      <c r="A11" s="158">
        <f>+A9+1</f>
        <v>2</v>
      </c>
      <c r="B11" s="4" t="s">
        <v>238</v>
      </c>
      <c r="C11" s="159"/>
      <c r="D11" s="178">
        <v>2.8220746511276396E-3</v>
      </c>
    </row>
    <row r="12" spans="1:4">
      <c r="A12" s="158">
        <f>+A11+1</f>
        <v>3</v>
      </c>
      <c r="B12" s="4" t="s">
        <v>239</v>
      </c>
      <c r="C12" s="159"/>
      <c r="D12" s="178">
        <v>1.5950000000000001E-3</v>
      </c>
    </row>
    <row r="13" spans="1:4">
      <c r="A13" s="158"/>
      <c r="C13" s="159"/>
      <c r="D13" s="179" t="s">
        <v>240</v>
      </c>
    </row>
    <row r="14" spans="1:4">
      <c r="A14" s="158">
        <f>+A12+1</f>
        <v>4</v>
      </c>
      <c r="B14" s="4" t="s">
        <v>241</v>
      </c>
      <c r="C14" s="159"/>
      <c r="D14" s="178">
        <f>+D9-D11-D12</f>
        <v>0.99558292534887238</v>
      </c>
    </row>
    <row r="15" spans="1:4">
      <c r="A15" s="158"/>
      <c r="C15" s="180"/>
      <c r="D15" s="179"/>
    </row>
    <row r="16" spans="1:4">
      <c r="A16" s="158">
        <f>+A14+1</f>
        <v>5</v>
      </c>
      <c r="B16" s="4" t="s">
        <v>242</v>
      </c>
      <c r="C16" s="178">
        <v>5.0097000000000003E-2</v>
      </c>
      <c r="D16" s="178">
        <f>ROUND(D14*C16,6)</f>
        <v>4.9875999999999997E-2</v>
      </c>
    </row>
    <row r="17" spans="1:4">
      <c r="A17" s="158"/>
      <c r="C17" s="180"/>
      <c r="D17" s="179" t="s">
        <v>240</v>
      </c>
    </row>
    <row r="18" spans="1:4">
      <c r="A18" s="158"/>
      <c r="C18" s="180"/>
      <c r="D18" s="179"/>
    </row>
    <row r="19" spans="1:4">
      <c r="A19" s="158">
        <f>+A16+1</f>
        <v>6</v>
      </c>
      <c r="B19" s="4" t="s">
        <v>243</v>
      </c>
      <c r="C19" s="159"/>
      <c r="D19" s="178">
        <f>+D14-D16</f>
        <v>0.94570692534887235</v>
      </c>
    </row>
    <row r="20" spans="1:4">
      <c r="A20" s="158"/>
      <c r="C20" s="180"/>
      <c r="D20" s="179"/>
    </row>
    <row r="21" spans="1:4">
      <c r="A21" s="158">
        <f>+A19+1</f>
        <v>7</v>
      </c>
      <c r="B21" s="4" t="s">
        <v>244</v>
      </c>
      <c r="C21" s="160">
        <v>0.21</v>
      </c>
      <c r="D21" s="178">
        <f>ROUND(D19*C21,6)</f>
        <v>0.198598</v>
      </c>
    </row>
    <row r="22" spans="1:4">
      <c r="A22" s="158"/>
      <c r="C22" s="159"/>
      <c r="D22" s="160"/>
    </row>
    <row r="23" spans="1:4">
      <c r="A23" s="158">
        <f>+A21+1</f>
        <v>8</v>
      </c>
      <c r="B23" s="4" t="s">
        <v>245</v>
      </c>
      <c r="C23" s="159"/>
      <c r="D23" s="178">
        <f>+D19-D21</f>
        <v>0.7471089253488723</v>
      </c>
    </row>
    <row r="24" spans="1:4">
      <c r="A24" s="158"/>
      <c r="C24" s="159"/>
      <c r="D24" s="179" t="s">
        <v>240</v>
      </c>
    </row>
    <row r="25" spans="1:4" ht="13">
      <c r="A25" s="158">
        <f>+A23+1</f>
        <v>9</v>
      </c>
      <c r="B25" s="4" t="s">
        <v>246</v>
      </c>
      <c r="C25" s="159"/>
      <c r="D25" s="181">
        <f>ROUND(1/D23,8)</f>
        <v>1.33849291</v>
      </c>
    </row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Exhibit NMC-R8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/>
  <dimension ref="A1:Q62"/>
  <sheetViews>
    <sheetView zoomScaleNormal="100" workbookViewId="0">
      <selection activeCell="C10" sqref="C10"/>
    </sheetView>
  </sheetViews>
  <sheetFormatPr defaultRowHeight="12.5"/>
  <cols>
    <col min="1" max="1" width="5.1796875" bestFit="1" customWidth="1"/>
    <col min="2" max="2" width="2.1796875" customWidth="1"/>
    <col min="3" max="3" width="25.1796875" customWidth="1"/>
    <col min="4" max="4" width="2.1796875" customWidth="1"/>
    <col min="5" max="5" width="10.453125" bestFit="1" customWidth="1"/>
    <col min="6" max="6" width="2.1796875" customWidth="1"/>
    <col min="7" max="7" width="10" customWidth="1"/>
    <col min="8" max="8" width="2.1796875" customWidth="1"/>
    <col min="9" max="9" width="19.81640625" bestFit="1" customWidth="1"/>
    <col min="10" max="10" width="2.1796875" customWidth="1"/>
    <col min="11" max="11" width="14" bestFit="1" customWidth="1"/>
    <col min="13" max="13" width="15" bestFit="1" customWidth="1"/>
    <col min="16" max="16" width="12.54296875" customWidth="1"/>
  </cols>
  <sheetData>
    <row r="1" spans="1:17" s="4" customFormat="1">
      <c r="D1" s="51"/>
      <c r="I1" s="154"/>
      <c r="Q1" s="57"/>
    </row>
    <row r="2" spans="1:17" s="4" customFormat="1">
      <c r="D2" s="51"/>
      <c r="I2" s="154"/>
      <c r="Q2" s="57"/>
    </row>
    <row r="3" spans="1:17" s="4" customFormat="1">
      <c r="D3" s="155"/>
      <c r="Q3" s="57"/>
    </row>
    <row r="5" spans="1:17" ht="13">
      <c r="A5" s="213"/>
      <c r="B5" s="214"/>
      <c r="C5" s="214"/>
      <c r="D5" s="214"/>
      <c r="E5" s="214"/>
      <c r="F5" s="214"/>
      <c r="G5" s="214"/>
      <c r="H5" s="214"/>
      <c r="I5" s="214"/>
      <c r="J5" s="161"/>
      <c r="K5" s="161"/>
      <c r="L5" s="161"/>
      <c r="M5" s="161"/>
    </row>
    <row r="6" spans="1:17">
      <c r="C6" t="s">
        <v>261</v>
      </c>
      <c r="E6">
        <v>0.5</v>
      </c>
    </row>
    <row r="7" spans="1:17" ht="13">
      <c r="A7" s="162"/>
      <c r="B7" s="161"/>
      <c r="C7" t="s">
        <v>262</v>
      </c>
      <c r="E7">
        <v>0.5</v>
      </c>
      <c r="F7" s="161"/>
      <c r="G7" s="163"/>
      <c r="H7" s="161"/>
      <c r="I7" s="163"/>
      <c r="J7" s="161"/>
      <c r="K7" s="161"/>
      <c r="L7" s="161"/>
      <c r="M7" s="161"/>
    </row>
    <row r="8" spans="1:17" ht="13">
      <c r="A8" s="164"/>
      <c r="B8" s="164"/>
      <c r="C8" s="165"/>
      <c r="D8" s="164"/>
      <c r="E8" s="165"/>
      <c r="F8" s="164"/>
      <c r="G8" s="165"/>
      <c r="H8" s="164"/>
      <c r="I8" s="165"/>
      <c r="J8" s="164"/>
      <c r="K8" s="164"/>
      <c r="L8" s="164"/>
      <c r="M8" s="164"/>
    </row>
    <row r="9" spans="1:17">
      <c r="A9" s="161"/>
      <c r="B9" s="161"/>
      <c r="C9" s="166"/>
      <c r="D9" s="161"/>
      <c r="E9" s="161"/>
      <c r="F9" s="161"/>
      <c r="G9" s="161"/>
      <c r="H9" s="161"/>
      <c r="I9" s="161"/>
      <c r="J9" s="161"/>
      <c r="K9" s="161"/>
      <c r="L9" s="161"/>
      <c r="M9" s="161"/>
    </row>
    <row r="10" spans="1:17">
      <c r="A10" s="167"/>
      <c r="B10" s="161"/>
      <c r="C10" s="166"/>
      <c r="D10" s="161"/>
      <c r="E10" s="161"/>
      <c r="F10" s="161"/>
      <c r="G10" s="168"/>
      <c r="H10" s="161"/>
      <c r="I10" s="169"/>
      <c r="J10" s="161"/>
      <c r="K10" s="161"/>
      <c r="L10" s="170"/>
      <c r="M10" s="171"/>
    </row>
    <row r="11" spans="1:17">
      <c r="A11" s="167"/>
      <c r="B11" s="161"/>
      <c r="C11" s="166"/>
      <c r="D11" s="161"/>
      <c r="E11" s="161"/>
      <c r="F11" s="161"/>
      <c r="G11" s="168"/>
      <c r="H11" s="161"/>
      <c r="I11" s="169"/>
      <c r="J11" s="161"/>
      <c r="K11" s="161"/>
      <c r="L11" s="170"/>
      <c r="M11" s="171"/>
    </row>
    <row r="12" spans="1:17">
      <c r="A12" s="167"/>
      <c r="B12" s="161"/>
      <c r="C12" s="166"/>
      <c r="D12" s="161"/>
      <c r="E12" s="161"/>
      <c r="F12" s="161"/>
      <c r="G12" s="168"/>
      <c r="H12" s="161"/>
      <c r="I12" s="169"/>
      <c r="J12" s="161"/>
      <c r="K12" s="161"/>
      <c r="L12" s="170"/>
      <c r="M12" s="171"/>
    </row>
    <row r="13" spans="1:17">
      <c r="A13" s="167"/>
      <c r="B13" s="161"/>
      <c r="C13" s="166"/>
      <c r="D13" s="161"/>
      <c r="E13" s="161"/>
      <c r="F13" s="161"/>
      <c r="G13" s="168"/>
      <c r="H13" s="161"/>
      <c r="I13" s="169"/>
      <c r="J13" s="161"/>
      <c r="K13" s="161"/>
      <c r="L13" s="170"/>
      <c r="M13" s="171"/>
    </row>
    <row r="14" spans="1:17">
      <c r="A14" s="167"/>
      <c r="B14" s="161"/>
      <c r="C14" s="166"/>
      <c r="D14" s="161"/>
      <c r="E14" s="161"/>
      <c r="F14" s="161"/>
      <c r="G14" s="168"/>
      <c r="H14" s="161"/>
      <c r="I14" s="169"/>
      <c r="J14" s="161"/>
      <c r="K14" s="161"/>
      <c r="L14" s="170"/>
      <c r="M14" s="171"/>
    </row>
    <row r="15" spans="1:17">
      <c r="A15" s="167"/>
      <c r="B15" s="161"/>
      <c r="C15" s="166"/>
      <c r="D15" s="161"/>
      <c r="E15" s="161"/>
      <c r="F15" s="161"/>
      <c r="G15" s="168"/>
      <c r="H15" s="161"/>
      <c r="I15" s="169"/>
      <c r="J15" s="161"/>
      <c r="K15" s="161"/>
      <c r="L15" s="170"/>
      <c r="M15" s="171"/>
    </row>
    <row r="16" spans="1:17">
      <c r="A16" s="167"/>
      <c r="B16" s="161"/>
      <c r="C16" s="166"/>
      <c r="D16" s="161"/>
      <c r="E16" s="161"/>
      <c r="F16" s="161"/>
      <c r="G16" s="168"/>
      <c r="H16" s="161"/>
      <c r="I16" s="169"/>
      <c r="J16" s="161"/>
      <c r="K16" s="161"/>
      <c r="L16" s="170"/>
      <c r="M16" s="171"/>
    </row>
    <row r="17" spans="1:16">
      <c r="A17" s="167"/>
      <c r="B17" s="161"/>
      <c r="C17" s="166"/>
      <c r="D17" s="161"/>
      <c r="E17" s="161"/>
      <c r="F17" s="161"/>
      <c r="G17" s="168"/>
      <c r="H17" s="161"/>
      <c r="I17" s="161"/>
      <c r="L17" s="172"/>
      <c r="M17" s="171"/>
    </row>
    <row r="18" spans="1:16">
      <c r="A18" s="167"/>
      <c r="B18" s="161"/>
      <c r="C18" s="166"/>
      <c r="D18" s="161"/>
      <c r="E18" s="161"/>
      <c r="F18" s="161"/>
      <c r="G18" s="168"/>
      <c r="H18" s="161"/>
      <c r="I18" s="169"/>
      <c r="L18" s="172"/>
      <c r="M18" s="171"/>
    </row>
    <row r="19" spans="1:16">
      <c r="A19" s="167"/>
      <c r="B19" s="161"/>
      <c r="C19" s="166"/>
      <c r="D19" s="161"/>
      <c r="E19" s="161"/>
      <c r="F19" s="161"/>
      <c r="G19" s="168"/>
      <c r="H19" s="161"/>
      <c r="I19" s="161"/>
      <c r="L19" s="172"/>
      <c r="M19" s="171"/>
    </row>
    <row r="20" spans="1:16">
      <c r="A20" s="167"/>
      <c r="B20" s="161"/>
      <c r="C20" s="166"/>
      <c r="D20" s="161"/>
      <c r="E20" s="161"/>
      <c r="F20" s="161"/>
      <c r="G20" s="168"/>
      <c r="H20" s="161"/>
      <c r="I20" s="169"/>
      <c r="L20" s="172"/>
      <c r="M20" s="171"/>
    </row>
    <row r="21" spans="1:16">
      <c r="A21" s="167"/>
      <c r="B21" s="161"/>
      <c r="C21" s="166"/>
      <c r="D21" s="161"/>
      <c r="E21" s="161"/>
      <c r="F21" s="161"/>
      <c r="G21" s="168"/>
      <c r="H21" s="161"/>
      <c r="I21" s="161"/>
      <c r="L21" s="172"/>
      <c r="M21" s="171"/>
    </row>
    <row r="22" spans="1:16">
      <c r="A22" s="167"/>
      <c r="B22" s="161"/>
      <c r="C22" s="166"/>
      <c r="D22" s="161"/>
      <c r="E22" s="161"/>
      <c r="F22" s="161"/>
      <c r="G22" s="168"/>
      <c r="H22" s="161"/>
      <c r="I22" s="169"/>
      <c r="K22" s="124"/>
      <c r="L22" s="172"/>
      <c r="M22" s="171"/>
    </row>
    <row r="23" spans="1:16">
      <c r="A23" s="167"/>
      <c r="B23" s="161"/>
      <c r="C23" s="166"/>
      <c r="D23" s="161"/>
      <c r="E23" s="161"/>
      <c r="F23" s="161"/>
      <c r="G23" s="168"/>
      <c r="H23" s="161"/>
      <c r="I23" s="161"/>
      <c r="L23" s="172"/>
      <c r="M23" s="171"/>
    </row>
    <row r="24" spans="1:16">
      <c r="A24" s="167"/>
      <c r="B24" s="161"/>
      <c r="C24" s="166"/>
      <c r="D24" s="161"/>
      <c r="E24" s="161"/>
      <c r="F24" s="161"/>
      <c r="G24" s="168"/>
      <c r="H24" s="161"/>
      <c r="I24" s="169"/>
      <c r="K24" s="173"/>
      <c r="L24" s="172"/>
      <c r="M24" s="171"/>
    </row>
    <row r="25" spans="1:16">
      <c r="A25" s="167"/>
      <c r="B25" s="161"/>
      <c r="C25" s="166"/>
      <c r="D25" s="161"/>
      <c r="E25" s="161"/>
      <c r="F25" s="161"/>
      <c r="G25" s="168"/>
      <c r="H25" s="161"/>
      <c r="I25" s="161"/>
      <c r="L25" s="172"/>
      <c r="M25" s="171"/>
    </row>
    <row r="26" spans="1:16">
      <c r="A26" s="167"/>
      <c r="B26" s="161"/>
      <c r="C26" s="166"/>
      <c r="D26" s="161"/>
      <c r="E26" s="161"/>
      <c r="F26" s="161"/>
      <c r="G26" s="168"/>
      <c r="H26" s="161"/>
      <c r="I26" s="169"/>
      <c r="K26" s="124"/>
      <c r="L26" s="172"/>
      <c r="M26" s="171"/>
      <c r="P26" s="124"/>
    </row>
    <row r="27" spans="1:16">
      <c r="A27" s="167"/>
      <c r="B27" s="161"/>
      <c r="C27" s="166"/>
      <c r="D27" s="161"/>
      <c r="E27" s="161"/>
      <c r="F27" s="161"/>
      <c r="G27" s="168"/>
      <c r="H27" s="161"/>
      <c r="I27" s="161"/>
      <c r="K27" s="124"/>
      <c r="L27" s="172"/>
      <c r="M27" s="171"/>
      <c r="P27" s="153"/>
    </row>
    <row r="28" spans="1:16">
      <c r="A28" s="167"/>
      <c r="B28" s="161"/>
      <c r="C28" s="166"/>
      <c r="D28" s="161"/>
      <c r="E28" s="161"/>
      <c r="F28" s="161"/>
      <c r="G28" s="168"/>
      <c r="H28" s="161"/>
      <c r="I28" s="169"/>
      <c r="K28" s="124"/>
      <c r="L28" s="172"/>
      <c r="M28" s="171"/>
    </row>
    <row r="29" spans="1:16">
      <c r="A29" s="167"/>
      <c r="B29" s="161"/>
      <c r="C29" s="166"/>
      <c r="D29" s="161"/>
      <c r="E29" s="161"/>
      <c r="F29" s="161"/>
      <c r="G29" s="168"/>
      <c r="H29" s="161"/>
      <c r="I29" s="161"/>
      <c r="K29" s="174"/>
      <c r="L29" s="175"/>
      <c r="M29" s="171"/>
    </row>
    <row r="30" spans="1:16">
      <c r="A30" s="167"/>
      <c r="B30" s="161"/>
      <c r="C30" s="166"/>
      <c r="D30" s="161"/>
      <c r="E30" s="161"/>
      <c r="F30" s="161"/>
      <c r="G30" s="168"/>
      <c r="H30" s="161"/>
      <c r="I30" s="169"/>
      <c r="K30" s="174"/>
      <c r="L30" s="175"/>
      <c r="M30" s="171"/>
    </row>
    <row r="31" spans="1:16">
      <c r="A31" s="167"/>
      <c r="B31" s="161"/>
      <c r="C31" s="166"/>
      <c r="D31" s="161"/>
      <c r="E31" s="161"/>
      <c r="F31" s="161"/>
      <c r="G31" s="168"/>
      <c r="H31" s="161"/>
      <c r="I31" s="161"/>
      <c r="K31" s="176"/>
      <c r="L31" s="175"/>
      <c r="M31" s="171"/>
    </row>
    <row r="32" spans="1:16">
      <c r="A32" s="167"/>
      <c r="B32" s="161"/>
      <c r="C32" s="166"/>
      <c r="D32" s="161"/>
      <c r="E32" s="161"/>
      <c r="F32" s="161"/>
      <c r="G32" s="168"/>
      <c r="H32" s="161"/>
      <c r="I32" s="169"/>
      <c r="K32" s="174"/>
      <c r="L32" s="175"/>
      <c r="M32" s="171"/>
    </row>
    <row r="33" spans="1:16">
      <c r="A33" s="167"/>
      <c r="B33" s="161"/>
      <c r="C33" s="166"/>
      <c r="D33" s="161"/>
      <c r="E33" s="161"/>
      <c r="F33" s="161"/>
      <c r="G33" s="177"/>
      <c r="H33" s="161"/>
      <c r="I33" s="161"/>
      <c r="K33" s="174"/>
      <c r="L33" s="175"/>
      <c r="M33" s="171"/>
    </row>
    <row r="34" spans="1:16" ht="12.75" customHeight="1">
      <c r="A34" s="167"/>
      <c r="B34" s="161"/>
      <c r="C34" s="166"/>
      <c r="D34" s="161"/>
      <c r="E34" s="166"/>
      <c r="F34" s="161"/>
      <c r="G34" s="177"/>
      <c r="H34" s="161"/>
      <c r="I34" s="169"/>
      <c r="K34" s="174"/>
      <c r="L34" s="175"/>
      <c r="M34" s="171"/>
    </row>
    <row r="35" spans="1:16">
      <c r="A35" s="167"/>
      <c r="B35" s="161"/>
      <c r="C35" s="166"/>
      <c r="D35" s="161"/>
      <c r="E35" s="161"/>
      <c r="F35" s="161"/>
      <c r="G35" s="168"/>
      <c r="H35" s="161"/>
      <c r="I35" s="169"/>
      <c r="K35" s="174"/>
      <c r="L35" s="175"/>
      <c r="M35" s="171"/>
      <c r="P35" s="153"/>
    </row>
    <row r="36" spans="1:16">
      <c r="A36" s="167"/>
      <c r="B36" s="161"/>
      <c r="C36" s="166"/>
      <c r="D36" s="161"/>
      <c r="E36" s="161"/>
      <c r="F36" s="161"/>
      <c r="G36" s="168"/>
      <c r="H36" s="161"/>
      <c r="I36" s="169"/>
      <c r="K36" s="174"/>
      <c r="L36" s="175"/>
      <c r="M36" s="171"/>
    </row>
    <row r="37" spans="1:16">
      <c r="A37" s="167"/>
      <c r="B37" s="161"/>
      <c r="C37" s="166"/>
      <c r="D37" s="161"/>
      <c r="E37" s="161"/>
      <c r="F37" s="161"/>
      <c r="G37" s="168"/>
      <c r="H37" s="161"/>
      <c r="I37" s="169"/>
      <c r="K37" s="174"/>
      <c r="L37" s="175"/>
      <c r="M37" s="171"/>
    </row>
    <row r="38" spans="1:16">
      <c r="A38" s="167"/>
      <c r="B38" s="161"/>
      <c r="C38" s="166"/>
      <c r="D38" s="161"/>
      <c r="E38" s="161"/>
      <c r="F38" s="161"/>
      <c r="G38" s="168"/>
      <c r="H38" s="161"/>
      <c r="I38" s="169"/>
      <c r="K38" s="174"/>
      <c r="L38" s="175"/>
      <c r="M38" s="171"/>
    </row>
    <row r="39" spans="1:16">
      <c r="A39" s="167"/>
      <c r="B39" s="161"/>
      <c r="C39" s="166"/>
      <c r="D39" s="161"/>
      <c r="E39" s="161"/>
      <c r="F39" s="161"/>
      <c r="G39" s="168"/>
      <c r="H39" s="161"/>
      <c r="I39" s="169"/>
      <c r="L39" s="174"/>
    </row>
    <row r="40" spans="1:16">
      <c r="A40" s="167"/>
      <c r="B40" s="161"/>
      <c r="C40" s="166"/>
      <c r="D40" s="161"/>
      <c r="E40" s="169"/>
      <c r="F40" s="161"/>
      <c r="G40" s="168"/>
      <c r="H40" s="161"/>
      <c r="I40" s="169"/>
      <c r="L40" s="174"/>
    </row>
    <row r="41" spans="1:16">
      <c r="A41" s="167"/>
      <c r="B41" s="161"/>
      <c r="C41" s="166"/>
      <c r="D41" s="161"/>
      <c r="E41" s="161"/>
      <c r="F41" s="161"/>
      <c r="G41" s="168"/>
      <c r="H41" s="161"/>
      <c r="I41" s="169"/>
      <c r="L41" s="174"/>
    </row>
    <row r="42" spans="1:16">
      <c r="A42" s="167"/>
      <c r="B42" s="161"/>
      <c r="C42" s="166"/>
      <c r="D42" s="161"/>
      <c r="E42" s="161"/>
      <c r="F42" s="161"/>
      <c r="G42" s="168"/>
      <c r="H42" s="161"/>
      <c r="I42" s="169"/>
      <c r="K42" s="153"/>
      <c r="M42" s="153"/>
    </row>
    <row r="43" spans="1:16">
      <c r="A43" s="167"/>
      <c r="B43" s="161"/>
      <c r="C43" s="166"/>
      <c r="D43" s="161"/>
      <c r="E43" s="161"/>
      <c r="F43" s="161"/>
      <c r="G43" s="168"/>
      <c r="H43" s="161"/>
      <c r="I43" s="169"/>
    </row>
    <row r="44" spans="1:16">
      <c r="A44" s="167"/>
      <c r="B44" s="161"/>
      <c r="C44" s="166"/>
      <c r="D44" s="161"/>
      <c r="E44" s="161"/>
      <c r="F44" s="161"/>
      <c r="G44" s="168"/>
      <c r="H44" s="161"/>
      <c r="I44" s="169"/>
      <c r="K44" s="153"/>
      <c r="M44" s="153"/>
    </row>
    <row r="45" spans="1:16">
      <c r="A45" s="167"/>
      <c r="B45" s="161"/>
      <c r="C45" s="166"/>
      <c r="D45" s="161"/>
      <c r="E45" s="161"/>
      <c r="F45" s="161"/>
      <c r="G45" s="168"/>
      <c r="H45" s="161"/>
      <c r="I45" s="169"/>
      <c r="M45" s="153"/>
    </row>
    <row r="46" spans="1:16">
      <c r="A46" s="167"/>
      <c r="B46" s="161"/>
      <c r="C46" s="166"/>
      <c r="D46" s="161"/>
      <c r="E46" s="161"/>
      <c r="F46" s="161"/>
      <c r="G46" s="168"/>
      <c r="H46" s="161"/>
      <c r="I46" s="169"/>
      <c r="M46" s="153"/>
    </row>
    <row r="47" spans="1:16">
      <c r="A47" s="167"/>
      <c r="B47" s="161"/>
      <c r="C47" s="166"/>
      <c r="D47" s="161"/>
      <c r="E47" s="161"/>
      <c r="F47" s="161"/>
      <c r="G47" s="168"/>
      <c r="H47" s="161"/>
      <c r="I47" s="169"/>
      <c r="K47" s="124"/>
      <c r="M47" s="153"/>
    </row>
    <row r="48" spans="1:16">
      <c r="A48" s="167"/>
      <c r="B48" s="161"/>
      <c r="C48" s="166"/>
      <c r="D48" s="161"/>
      <c r="E48" s="161"/>
      <c r="F48" s="161"/>
      <c r="G48" s="168"/>
      <c r="H48" s="161"/>
      <c r="I48" s="169"/>
      <c r="K48" s="124"/>
      <c r="M48" s="153"/>
    </row>
    <row r="49" spans="1:13">
      <c r="A49" s="167"/>
      <c r="B49" s="161"/>
      <c r="C49" s="166"/>
      <c r="D49" s="161"/>
      <c r="E49" s="161"/>
      <c r="F49" s="161"/>
      <c r="G49" s="168"/>
      <c r="H49" s="161"/>
      <c r="I49" s="169"/>
      <c r="K49" s="124"/>
      <c r="M49" s="153"/>
    </row>
    <row r="50" spans="1:13">
      <c r="A50" s="167"/>
      <c r="B50" s="161"/>
      <c r="C50" s="166"/>
      <c r="D50" s="161"/>
      <c r="E50" s="161"/>
      <c r="F50" s="161"/>
      <c r="G50" s="168"/>
      <c r="H50" s="161"/>
      <c r="I50" s="169"/>
      <c r="K50" s="124"/>
      <c r="M50" s="153"/>
    </row>
    <row r="51" spans="1:13">
      <c r="G51" s="168"/>
      <c r="H51" s="161"/>
      <c r="I51" s="169"/>
      <c r="K51" s="124"/>
      <c r="M51" s="153"/>
    </row>
    <row r="52" spans="1:13">
      <c r="G52" s="168"/>
      <c r="H52" s="161"/>
      <c r="I52" s="169"/>
      <c r="K52" s="174"/>
      <c r="M52" s="174"/>
    </row>
    <row r="53" spans="1:13">
      <c r="G53" s="168"/>
      <c r="H53" s="161"/>
      <c r="I53" s="169"/>
      <c r="K53" s="174"/>
      <c r="M53" s="174"/>
    </row>
    <row r="54" spans="1:13">
      <c r="G54" s="168"/>
      <c r="H54" s="161"/>
      <c r="I54" s="169"/>
      <c r="K54" s="174"/>
      <c r="M54" s="174"/>
    </row>
    <row r="55" spans="1:13">
      <c r="K55" s="153"/>
      <c r="M55" s="153"/>
    </row>
    <row r="57" spans="1:13">
      <c r="G57" s="168"/>
      <c r="K57" s="124"/>
      <c r="M57" s="124"/>
    </row>
    <row r="59" spans="1:13">
      <c r="M59" s="124"/>
    </row>
    <row r="60" spans="1:13">
      <c r="M60" s="124"/>
    </row>
    <row r="62" spans="1:13">
      <c r="K62" s="153"/>
      <c r="M62" s="153"/>
    </row>
  </sheetData>
  <mergeCells count="1">
    <mergeCell ref="A5:I5"/>
  </mergeCells>
  <pageMargins left="0.7" right="0.7" top="0.75" bottom="0.75" header="0.3" footer="0.3"/>
  <pageSetup orientation="portrait" r:id="rId1"/>
  <headerFooter>
    <oddHeader>&amp;RCase No. 2026-00001
Exhibit NMC-R8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20"/>
  <sheetViews>
    <sheetView zoomScaleNormal="100" workbookViewId="0">
      <selection activeCell="C10" sqref="C10"/>
    </sheetView>
  </sheetViews>
  <sheetFormatPr defaultRowHeight="12.5"/>
  <cols>
    <col min="1" max="1" width="4.453125" bestFit="1" customWidth="1"/>
    <col min="2" max="2" width="14.7265625" bestFit="1" customWidth="1"/>
    <col min="3" max="3" width="15" bestFit="1" customWidth="1"/>
    <col min="4" max="4" width="11.81640625" bestFit="1" customWidth="1"/>
    <col min="5" max="5" width="10.453125" bestFit="1" customWidth="1"/>
    <col min="6" max="6" width="11.81640625" bestFit="1" customWidth="1"/>
    <col min="7" max="7" width="12" bestFit="1" customWidth="1"/>
    <col min="8" max="8" width="16" bestFit="1" customWidth="1"/>
  </cols>
  <sheetData>
    <row r="2" spans="1:12">
      <c r="A2" s="215" t="s">
        <v>210</v>
      </c>
      <c r="B2" s="215"/>
      <c r="C2" s="215"/>
      <c r="D2" s="215"/>
    </row>
    <row r="3" spans="1:12">
      <c r="A3" s="215" t="s">
        <v>211</v>
      </c>
      <c r="B3" s="215"/>
      <c r="C3" s="215"/>
      <c r="D3" s="215"/>
      <c r="E3" s="216"/>
      <c r="F3" s="216"/>
      <c r="G3" s="216"/>
      <c r="H3" s="216"/>
      <c r="I3" s="216"/>
      <c r="J3" s="216"/>
      <c r="K3" s="216"/>
      <c r="L3" s="216"/>
    </row>
    <row r="4" spans="1:12">
      <c r="A4" s="215" t="s">
        <v>273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6" spans="1:12">
      <c r="C6" t="s">
        <v>212</v>
      </c>
      <c r="E6" t="s">
        <v>213</v>
      </c>
      <c r="F6" t="s">
        <v>175</v>
      </c>
      <c r="H6" t="s">
        <v>214</v>
      </c>
    </row>
    <row r="7" spans="1:12">
      <c r="C7" t="s">
        <v>215</v>
      </c>
      <c r="D7" t="s">
        <v>216</v>
      </c>
      <c r="E7" t="s">
        <v>217</v>
      </c>
      <c r="F7" t="s">
        <v>177</v>
      </c>
      <c r="H7" t="s">
        <v>177</v>
      </c>
    </row>
    <row r="8" spans="1:12">
      <c r="A8" t="s">
        <v>41</v>
      </c>
      <c r="C8" t="s">
        <v>218</v>
      </c>
      <c r="D8" t="s">
        <v>219</v>
      </c>
      <c r="E8" t="s">
        <v>216</v>
      </c>
      <c r="F8" t="s">
        <v>217</v>
      </c>
      <c r="H8" t="s">
        <v>217</v>
      </c>
    </row>
    <row r="9" spans="1:12">
      <c r="A9" t="s">
        <v>220</v>
      </c>
      <c r="B9" t="s">
        <v>43</v>
      </c>
      <c r="C9" t="s">
        <v>176</v>
      </c>
      <c r="D9" t="s">
        <v>4</v>
      </c>
      <c r="E9" t="s">
        <v>179</v>
      </c>
      <c r="F9" t="s">
        <v>221</v>
      </c>
      <c r="G9" t="s">
        <v>222</v>
      </c>
      <c r="H9" t="s">
        <v>221</v>
      </c>
    </row>
    <row r="10" spans="1:12">
      <c r="A10" s="150" t="s">
        <v>173</v>
      </c>
      <c r="B10" s="150" t="s">
        <v>231</v>
      </c>
      <c r="C10" s="150" t="s">
        <v>232</v>
      </c>
      <c r="D10" t="s">
        <v>223</v>
      </c>
      <c r="E10" t="s">
        <v>224</v>
      </c>
      <c r="F10" t="s">
        <v>225</v>
      </c>
      <c r="G10" t="s">
        <v>174</v>
      </c>
      <c r="H10" t="s">
        <v>226</v>
      </c>
    </row>
    <row r="12" spans="1:12">
      <c r="A12">
        <v>1</v>
      </c>
      <c r="B12" t="s">
        <v>227</v>
      </c>
      <c r="C12" s="152">
        <v>990515425</v>
      </c>
      <c r="D12" s="151">
        <f>ROUND(C12/$C$18,5)</f>
        <v>0.53868000000000005</v>
      </c>
      <c r="E12" s="151">
        <v>5.4899999999999997E-2</v>
      </c>
      <c r="F12" s="151">
        <f>D12*E12</f>
        <v>2.9573532E-2</v>
      </c>
      <c r="G12">
        <v>1.0044</v>
      </c>
      <c r="H12" s="151">
        <f>F12*G12</f>
        <v>2.9703655540799997E-2</v>
      </c>
    </row>
    <row r="13" spans="1:12">
      <c r="C13" s="152"/>
      <c r="D13" s="151"/>
      <c r="E13" s="151"/>
      <c r="F13" s="151"/>
      <c r="H13" s="151"/>
    </row>
    <row r="14" spans="1:12">
      <c r="A14">
        <v>2</v>
      </c>
      <c r="B14" t="s">
        <v>228</v>
      </c>
      <c r="C14" s="152">
        <v>0</v>
      </c>
      <c r="D14" s="151">
        <f>ROUND(C14/$C$18,5)</f>
        <v>0</v>
      </c>
      <c r="E14" s="151">
        <v>5.5E-2</v>
      </c>
      <c r="F14" s="151">
        <f>D14*E14</f>
        <v>0</v>
      </c>
      <c r="G14">
        <v>1.0044</v>
      </c>
      <c r="H14" s="151">
        <f>F14*G14</f>
        <v>0</v>
      </c>
    </row>
    <row r="15" spans="1:12">
      <c r="C15" s="152"/>
      <c r="D15" s="151"/>
      <c r="E15" s="151"/>
      <c r="F15" s="151"/>
      <c r="H15" s="151"/>
    </row>
    <row r="16" spans="1:12">
      <c r="A16">
        <v>4</v>
      </c>
      <c r="B16" t="s">
        <v>229</v>
      </c>
      <c r="C16" s="152">
        <v>848272359</v>
      </c>
      <c r="D16" s="151">
        <f>ROUND(C16/$C$18,5)</f>
        <v>0.46132000000000001</v>
      </c>
      <c r="E16" s="207">
        <v>9.6500000000000002E-2</v>
      </c>
      <c r="F16" s="151">
        <f>D16*E16</f>
        <v>4.4517380000000002E-2</v>
      </c>
      <c r="G16">
        <v>1.3385</v>
      </c>
      <c r="H16" s="151">
        <f>F16*G16</f>
        <v>5.9586513130000004E-2</v>
      </c>
    </row>
    <row r="17" spans="1:8">
      <c r="C17" s="152" t="s">
        <v>230</v>
      </c>
      <c r="D17" s="151" t="s">
        <v>230</v>
      </c>
      <c r="E17" s="151"/>
      <c r="F17" s="151" t="s">
        <v>230</v>
      </c>
      <c r="H17" s="151"/>
    </row>
    <row r="18" spans="1:8">
      <c r="A18">
        <v>5</v>
      </c>
      <c r="B18" t="s">
        <v>4</v>
      </c>
      <c r="C18" s="152">
        <f>SUM(C12,C14,C16)</f>
        <v>1838787784</v>
      </c>
      <c r="D18" s="151">
        <f>SUM(D12:D17)</f>
        <v>1</v>
      </c>
      <c r="F18" s="151">
        <f>SUM(F12:F17)</f>
        <v>7.4090912000000009E-2</v>
      </c>
      <c r="H18" s="151">
        <f>SUM(H12:H17)</f>
        <v>8.9290168670800002E-2</v>
      </c>
    </row>
    <row r="19" spans="1:8">
      <c r="C19" s="152"/>
      <c r="F19" s="151"/>
    </row>
    <row r="20" spans="1:8">
      <c r="C20" s="152"/>
    </row>
  </sheetData>
  <mergeCells count="7"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Exhibit NMC-R8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3"/>
  <sheetViews>
    <sheetView showGridLines="0" zoomScale="85" zoomScaleNormal="85" zoomScaleSheetLayoutView="85" workbookViewId="0">
      <selection activeCell="C10" sqref="C10"/>
    </sheetView>
  </sheetViews>
  <sheetFormatPr defaultColWidth="9.1796875" defaultRowHeight="12.5"/>
  <cols>
    <col min="1" max="1" width="63" style="58" customWidth="1"/>
    <col min="2" max="2" width="14.54296875" style="58" customWidth="1"/>
    <col min="3" max="3" width="17.179687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796875" style="58" bestFit="1" customWidth="1"/>
    <col min="38" max="16384" width="9.1796875" style="58"/>
  </cols>
  <sheetData>
    <row r="1" spans="1:37" ht="25">
      <c r="A1" s="217" t="s">
        <v>255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 ht="13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 t="s">
        <v>28</v>
      </c>
      <c r="P2" s="11" t="s">
        <v>29</v>
      </c>
      <c r="Q2" s="11" t="s">
        <v>30</v>
      </c>
      <c r="R2" s="11" t="s">
        <v>31</v>
      </c>
      <c r="S2" s="11" t="s">
        <v>32</v>
      </c>
      <c r="T2" s="11" t="s">
        <v>33</v>
      </c>
      <c r="U2" s="11" t="s">
        <v>34</v>
      </c>
      <c r="V2" s="11" t="s">
        <v>35</v>
      </c>
      <c r="W2" s="11" t="s">
        <v>36</v>
      </c>
      <c r="X2" s="11" t="s">
        <v>247</v>
      </c>
      <c r="Y2" s="11" t="s">
        <v>248</v>
      </c>
      <c r="Z2" s="11" t="s">
        <v>249</v>
      </c>
      <c r="AA2" s="11" t="s">
        <v>250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">
      <c r="A3" s="12" t="s">
        <v>134</v>
      </c>
      <c r="B3" s="12" t="s">
        <v>37</v>
      </c>
      <c r="C3" s="13">
        <f>Input!B37</f>
        <v>2029</v>
      </c>
      <c r="D3" s="13">
        <f t="shared" ref="D3:N3" si="0">+C3+1</f>
        <v>2030</v>
      </c>
      <c r="E3" s="13">
        <f t="shared" si="0"/>
        <v>2031</v>
      </c>
      <c r="F3" s="13">
        <f t="shared" si="0"/>
        <v>2032</v>
      </c>
      <c r="G3" s="13">
        <f t="shared" si="0"/>
        <v>2033</v>
      </c>
      <c r="H3" s="13">
        <f t="shared" si="0"/>
        <v>2034</v>
      </c>
      <c r="I3" s="13">
        <f t="shared" si="0"/>
        <v>2035</v>
      </c>
      <c r="J3" s="13">
        <f t="shared" si="0"/>
        <v>2036</v>
      </c>
      <c r="K3" s="13">
        <f t="shared" si="0"/>
        <v>2037</v>
      </c>
      <c r="L3" s="13">
        <f t="shared" si="0"/>
        <v>2038</v>
      </c>
      <c r="M3" s="13">
        <f t="shared" si="0"/>
        <v>2039</v>
      </c>
      <c r="N3" s="13">
        <f t="shared" si="0"/>
        <v>2040</v>
      </c>
      <c r="O3" s="13">
        <f t="shared" ref="O3" si="1">+N3+1</f>
        <v>2041</v>
      </c>
      <c r="P3" s="13">
        <f t="shared" ref="P3" si="2">+O3+1</f>
        <v>2042</v>
      </c>
      <c r="Q3" s="13">
        <f t="shared" ref="Q3" si="3">+P3+1</f>
        <v>2043</v>
      </c>
      <c r="R3" s="13">
        <f t="shared" ref="R3" si="4">+Q3+1</f>
        <v>2044</v>
      </c>
      <c r="S3" s="13">
        <f t="shared" ref="S3" si="5">+R3+1</f>
        <v>2045</v>
      </c>
      <c r="T3" s="13">
        <f t="shared" ref="T3" si="6">+S3+1</f>
        <v>2046</v>
      </c>
      <c r="U3" s="13">
        <f t="shared" ref="U3" si="7">+T3+1</f>
        <v>2047</v>
      </c>
      <c r="V3" s="13">
        <f t="shared" ref="V3" si="8">+U3+1</f>
        <v>2048</v>
      </c>
      <c r="W3" s="13">
        <f t="shared" ref="W3" si="9">+V3+1</f>
        <v>2049</v>
      </c>
      <c r="X3" s="13">
        <f t="shared" ref="X3" si="10">+W3+1</f>
        <v>2050</v>
      </c>
      <c r="Y3" s="13">
        <f t="shared" ref="Y3" si="11">+X3+1</f>
        <v>2051</v>
      </c>
      <c r="Z3" s="13">
        <f t="shared" ref="Z3" si="12">+Y3+1</f>
        <v>2052</v>
      </c>
      <c r="AA3" s="13">
        <f t="shared" ref="AA3" si="13">+Z3+1</f>
        <v>2053</v>
      </c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 ht="13">
      <c r="A4" s="60" t="s">
        <v>3</v>
      </c>
      <c r="B4" s="60"/>
      <c r="C4" s="92">
        <f>Input!B40/1000</f>
        <v>28917</v>
      </c>
      <c r="D4" s="92">
        <f>Input!C40/1000</f>
        <v>0</v>
      </c>
      <c r="E4" s="92">
        <f>Input!D40/1000</f>
        <v>0</v>
      </c>
      <c r="F4" s="92">
        <f>Input!E40/1000</f>
        <v>0</v>
      </c>
      <c r="G4" s="92">
        <f>Input!F40/1000</f>
        <v>0</v>
      </c>
      <c r="H4" s="92">
        <f>Input!G40/1000</f>
        <v>0</v>
      </c>
      <c r="I4" s="92">
        <f>Input!H40/1000</f>
        <v>0</v>
      </c>
      <c r="J4" s="92">
        <f>Input!I40/1000</f>
        <v>0</v>
      </c>
      <c r="K4" s="92">
        <f>Input!J40/1000</f>
        <v>0</v>
      </c>
      <c r="L4" s="92">
        <f>Input!K40/1000</f>
        <v>0</v>
      </c>
      <c r="M4" s="92">
        <f>Input!L40/1000</f>
        <v>0</v>
      </c>
      <c r="N4" s="92">
        <f>Input!M40/1000</f>
        <v>5000</v>
      </c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 ht="13">
      <c r="A5" s="62" t="s">
        <v>133</v>
      </c>
      <c r="B5" s="41">
        <f>Input!E9/1000</f>
        <v>106286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 ht="13">
      <c r="A6" s="15" t="s">
        <v>14</v>
      </c>
      <c r="B6" s="91">
        <f>B5</f>
        <v>106286</v>
      </c>
      <c r="C6" s="91">
        <f t="shared" ref="C6:N6" si="14">B6+C4</f>
        <v>135203</v>
      </c>
      <c r="D6" s="91">
        <f t="shared" si="14"/>
        <v>135203</v>
      </c>
      <c r="E6" s="91">
        <f t="shared" si="14"/>
        <v>135203</v>
      </c>
      <c r="F6" s="91">
        <f t="shared" si="14"/>
        <v>135203</v>
      </c>
      <c r="G6" s="91">
        <f t="shared" si="14"/>
        <v>135203</v>
      </c>
      <c r="H6" s="91">
        <f t="shared" si="14"/>
        <v>135203</v>
      </c>
      <c r="I6" s="91">
        <f t="shared" si="14"/>
        <v>135203</v>
      </c>
      <c r="J6" s="91">
        <f t="shared" si="14"/>
        <v>135203</v>
      </c>
      <c r="K6" s="91">
        <f t="shared" si="14"/>
        <v>135203</v>
      </c>
      <c r="L6" s="91">
        <f t="shared" si="14"/>
        <v>135203</v>
      </c>
      <c r="M6" s="91">
        <f t="shared" si="14"/>
        <v>135203</v>
      </c>
      <c r="N6" s="91">
        <f t="shared" si="14"/>
        <v>140203</v>
      </c>
      <c r="O6" s="91">
        <f t="shared" ref="O6" si="15">N6+O4</f>
        <v>140203</v>
      </c>
      <c r="P6" s="91">
        <f t="shared" ref="P6" si="16">O6+P4</f>
        <v>140203</v>
      </c>
      <c r="Q6" s="91">
        <f t="shared" ref="Q6" si="17">P6+Q4</f>
        <v>140203</v>
      </c>
      <c r="R6" s="91">
        <f t="shared" ref="R6" si="18">Q6+R4</f>
        <v>140203</v>
      </c>
      <c r="S6" s="91">
        <f t="shared" ref="S6" si="19">R6+S4</f>
        <v>140203</v>
      </c>
      <c r="T6" s="91">
        <f t="shared" ref="T6" si="20">S6+T4</f>
        <v>140203</v>
      </c>
      <c r="U6" s="91">
        <f t="shared" ref="U6" si="21">T6+U4</f>
        <v>140203</v>
      </c>
      <c r="V6" s="91">
        <f t="shared" ref="V6" si="22">U6+V4</f>
        <v>140203</v>
      </c>
      <c r="W6" s="91">
        <f t="shared" ref="W6" si="23">V6+W4</f>
        <v>140203</v>
      </c>
      <c r="X6" s="91">
        <f t="shared" ref="X6" si="24">W6+X4</f>
        <v>140203</v>
      </c>
      <c r="Y6" s="91">
        <f t="shared" ref="Y6" si="25">X6+Y4</f>
        <v>140203</v>
      </c>
      <c r="Z6" s="91">
        <f t="shared" ref="Z6" si="26">Y6+Z4</f>
        <v>140203</v>
      </c>
      <c r="AA6" s="91">
        <f t="shared" ref="AA6" si="27">Z6+AA4</f>
        <v>140203</v>
      </c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 ht="13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 ht="13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 ht="13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135203</v>
      </c>
      <c r="D10" s="66">
        <f t="shared" ref="D10:I10" si="28">D6</f>
        <v>135203</v>
      </c>
      <c r="E10" s="66">
        <f t="shared" si="28"/>
        <v>135203</v>
      </c>
      <c r="F10" s="66">
        <f t="shared" si="28"/>
        <v>135203</v>
      </c>
      <c r="G10" s="66">
        <f t="shared" si="28"/>
        <v>135203</v>
      </c>
      <c r="H10" s="66">
        <f t="shared" si="28"/>
        <v>135203</v>
      </c>
      <c r="I10" s="66">
        <f t="shared" si="28"/>
        <v>135203</v>
      </c>
      <c r="J10" s="66">
        <f t="shared" ref="J10:N10" si="29">J6</f>
        <v>135203</v>
      </c>
      <c r="K10" s="66">
        <f t="shared" si="29"/>
        <v>135203</v>
      </c>
      <c r="L10" s="66">
        <f t="shared" si="29"/>
        <v>135203</v>
      </c>
      <c r="M10" s="66">
        <f t="shared" si="29"/>
        <v>135203</v>
      </c>
      <c r="N10" s="66">
        <f t="shared" si="29"/>
        <v>140203</v>
      </c>
      <c r="O10" s="66">
        <f t="shared" ref="O10:AA10" si="30">O6</f>
        <v>140203</v>
      </c>
      <c r="P10" s="66">
        <f t="shared" si="30"/>
        <v>140203</v>
      </c>
      <c r="Q10" s="66">
        <f t="shared" si="30"/>
        <v>140203</v>
      </c>
      <c r="R10" s="66">
        <f t="shared" si="30"/>
        <v>140203</v>
      </c>
      <c r="S10" s="66">
        <f t="shared" si="30"/>
        <v>140203</v>
      </c>
      <c r="T10" s="66">
        <f t="shared" si="30"/>
        <v>140203</v>
      </c>
      <c r="U10" s="66">
        <f t="shared" si="30"/>
        <v>140203</v>
      </c>
      <c r="V10" s="66">
        <f t="shared" si="30"/>
        <v>140203</v>
      </c>
      <c r="W10" s="66">
        <f t="shared" si="30"/>
        <v>140203</v>
      </c>
      <c r="X10" s="66">
        <f t="shared" si="30"/>
        <v>140203</v>
      </c>
      <c r="Y10" s="66">
        <f t="shared" si="30"/>
        <v>140203</v>
      </c>
      <c r="Z10" s="66">
        <f t="shared" si="30"/>
        <v>140203</v>
      </c>
      <c r="AA10" s="66">
        <f t="shared" si="30"/>
        <v>140203</v>
      </c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11266.916666666666</v>
      </c>
      <c r="D11" s="66">
        <f t="shared" ref="D11:I11" si="31">D20</f>
        <v>22533.833333333332</v>
      </c>
      <c r="E11" s="66">
        <f t="shared" si="31"/>
        <v>33800.75</v>
      </c>
      <c r="F11" s="66">
        <f t="shared" si="31"/>
        <v>45067.666666666664</v>
      </c>
      <c r="G11" s="66">
        <f t="shared" si="31"/>
        <v>56334.583333333328</v>
      </c>
      <c r="H11" s="66">
        <f t="shared" si="31"/>
        <v>67601.5</v>
      </c>
      <c r="I11" s="66">
        <f t="shared" si="31"/>
        <v>78868.416666666672</v>
      </c>
      <c r="J11" s="66">
        <f t="shared" ref="J11:N11" si="32">J20</f>
        <v>90135.333333333343</v>
      </c>
      <c r="K11" s="66">
        <f t="shared" si="32"/>
        <v>101402.25000000001</v>
      </c>
      <c r="L11" s="66">
        <f t="shared" si="32"/>
        <v>112669.16666666669</v>
      </c>
      <c r="M11" s="66">
        <f t="shared" si="32"/>
        <v>123936.08333333336</v>
      </c>
      <c r="N11" s="66">
        <f t="shared" si="32"/>
        <v>135619.66666666669</v>
      </c>
      <c r="O11" s="66">
        <f t="shared" ref="O11:AA11" si="33">O20</f>
        <v>135619.66666666669</v>
      </c>
      <c r="P11" s="66">
        <f t="shared" si="33"/>
        <v>135619.66666666669</v>
      </c>
      <c r="Q11" s="66">
        <f t="shared" si="33"/>
        <v>135619.66666666669</v>
      </c>
      <c r="R11" s="66">
        <f t="shared" si="33"/>
        <v>135619.66666666669</v>
      </c>
      <c r="S11" s="66">
        <f t="shared" si="33"/>
        <v>135619.66666666669</v>
      </c>
      <c r="T11" s="66">
        <f t="shared" si="33"/>
        <v>135619.66666666669</v>
      </c>
      <c r="U11" s="66">
        <f t="shared" si="33"/>
        <v>135619.66666666669</v>
      </c>
      <c r="V11" s="66">
        <f t="shared" si="33"/>
        <v>135619.66666666669</v>
      </c>
      <c r="W11" s="66">
        <f t="shared" si="33"/>
        <v>135619.66666666669</v>
      </c>
      <c r="X11" s="66">
        <f t="shared" si="33"/>
        <v>135619.66666666669</v>
      </c>
      <c r="Y11" s="66">
        <f t="shared" si="33"/>
        <v>135619.66666666669</v>
      </c>
      <c r="Z11" s="66">
        <f t="shared" si="33"/>
        <v>135619.66666666669</v>
      </c>
      <c r="AA11" s="66">
        <f t="shared" si="33"/>
        <v>135619.66666666669</v>
      </c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34">C67+C71</f>
        <v>-11028.092539974125</v>
      </c>
      <c r="D12" s="66">
        <f t="shared" si="34"/>
        <v>-10594.208804596014</v>
      </c>
      <c r="E12" s="66">
        <f t="shared" si="34"/>
        <v>-10361.643953271208</v>
      </c>
      <c r="F12" s="66">
        <f t="shared" si="34"/>
        <v>-10314.797629670855</v>
      </c>
      <c r="G12" s="66">
        <f t="shared" si="34"/>
        <v>-10440.298099798789</v>
      </c>
      <c r="H12" s="66">
        <f t="shared" si="34"/>
        <v>-10724.773629658852</v>
      </c>
      <c r="I12" s="66">
        <f t="shared" si="34"/>
        <v>-11156.709670532127</v>
      </c>
      <c r="J12" s="66">
        <f t="shared" ref="J12:N12" si="35">J67+J71</f>
        <v>-11724.591673699701</v>
      </c>
      <c r="K12" s="66">
        <f t="shared" si="35"/>
        <v>-12314.759900194211</v>
      </c>
      <c r="L12" s="66">
        <f t="shared" si="35"/>
        <v>-12905.299563744167</v>
      </c>
      <c r="M12" s="66">
        <f t="shared" si="35"/>
        <v>-13495.467790238676</v>
      </c>
      <c r="N12" s="66">
        <f t="shared" si="35"/>
        <v>-14131.721535663633</v>
      </c>
      <c r="O12" s="66">
        <f t="shared" ref="O12:AA12" si="36">O67+O71</f>
        <v>-12402.36722180214</v>
      </c>
      <c r="P12" s="66">
        <f t="shared" si="36"/>
        <v>-10678.790242969098</v>
      </c>
      <c r="Q12" s="66">
        <f t="shared" si="36"/>
        <v>-8959.8288178306066</v>
      </c>
      <c r="R12" s="66">
        <f t="shared" si="36"/>
        <v>-7245.8667571635633</v>
      </c>
      <c r="S12" s="66">
        <f t="shared" si="36"/>
        <v>-5535.8021235230717</v>
      </c>
      <c r="T12" s="66">
        <f t="shared" si="36"/>
        <v>-3830.0685975935289</v>
      </c>
      <c r="U12" s="66">
        <f t="shared" si="36"/>
        <v>-2127.6141118375372</v>
      </c>
      <c r="V12" s="66">
        <f t="shared" si="36"/>
        <v>-426.12950202699403</v>
      </c>
      <c r="W12" s="66">
        <f t="shared" si="36"/>
        <v>447.04050015100194</v>
      </c>
      <c r="X12" s="66">
        <f t="shared" si="36"/>
        <v>491.54440560400195</v>
      </c>
      <c r="Y12" s="66">
        <f t="shared" si="36"/>
        <v>536.038337075502</v>
      </c>
      <c r="Z12" s="66">
        <f t="shared" si="36"/>
        <v>580.5422425285019</v>
      </c>
      <c r="AA12" s="66">
        <f t="shared" si="36"/>
        <v>625.03617400000201</v>
      </c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C69</f>
        <v>-2769.5777858375</v>
      </c>
      <c r="D13" s="66">
        <f t="shared" ref="D13:I13" si="37">D69</f>
        <v>-2660.6129081142099</v>
      </c>
      <c r="E13" s="66">
        <f t="shared" si="37"/>
        <v>-2602.2069377561397</v>
      </c>
      <c r="F13" s="66">
        <f t="shared" si="37"/>
        <v>-2590.4420258530699</v>
      </c>
      <c r="G13" s="66">
        <f t="shared" si="37"/>
        <v>-2621.9600161962398</v>
      </c>
      <c r="H13" s="66">
        <f t="shared" si="37"/>
        <v>-2693.4027525768897</v>
      </c>
      <c r="I13" s="66">
        <f t="shared" si="37"/>
        <v>-2801.8784893708098</v>
      </c>
      <c r="J13" s="66">
        <f t="shared" ref="J13:N13" si="38">J69</f>
        <v>-2944.4954809537899</v>
      </c>
      <c r="K13" s="66">
        <f t="shared" si="38"/>
        <v>-3092.7093995513696</v>
      </c>
      <c r="L13" s="66">
        <f t="shared" si="38"/>
        <v>-3241.0166002658598</v>
      </c>
      <c r="M13" s="66">
        <f t="shared" si="38"/>
        <v>-3389.2305188634396</v>
      </c>
      <c r="N13" s="66">
        <f t="shared" si="38"/>
        <v>-3549.0182820779296</v>
      </c>
      <c r="O13" s="66">
        <f t="shared" ref="O13:AA13" si="39">O69</f>
        <v>-3114.7109642755095</v>
      </c>
      <c r="P13" s="66">
        <f t="shared" si="39"/>
        <v>-2681.8545572899993</v>
      </c>
      <c r="Q13" s="66">
        <f t="shared" si="39"/>
        <v>-2250.1572931875794</v>
      </c>
      <c r="R13" s="66">
        <f t="shared" si="39"/>
        <v>-1819.7155616020693</v>
      </c>
      <c r="S13" s="66">
        <f t="shared" si="39"/>
        <v>-1390.2526236996493</v>
      </c>
      <c r="T13" s="66">
        <f t="shared" si="39"/>
        <v>-961.87739336413938</v>
      </c>
      <c r="U13" s="66">
        <f t="shared" si="39"/>
        <v>-534.32565601171927</v>
      </c>
      <c r="V13" s="66">
        <f t="shared" si="39"/>
        <v>-107.01749177620923</v>
      </c>
      <c r="W13" s="66">
        <f t="shared" si="39"/>
        <v>112.2690469000008</v>
      </c>
      <c r="X13" s="66">
        <f t="shared" si="39"/>
        <v>123.44568760000081</v>
      </c>
      <c r="Y13" s="66">
        <f t="shared" si="39"/>
        <v>134.61982345000081</v>
      </c>
      <c r="Z13" s="66">
        <f t="shared" si="39"/>
        <v>145.79646415000082</v>
      </c>
      <c r="AA13" s="66">
        <f t="shared" si="39"/>
        <v>156.97060000000081</v>
      </c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137733.75365914495</v>
      </c>
      <c r="D16" s="134">
        <f t="shared" ref="D16:I16" si="40">D10-D11-D12-D13+D14</f>
        <v>125923.9883793769</v>
      </c>
      <c r="E16" s="134">
        <f t="shared" si="40"/>
        <v>114366.10089102735</v>
      </c>
      <c r="F16" s="134">
        <f t="shared" si="40"/>
        <v>103040.57298885727</v>
      </c>
      <c r="G16" s="134">
        <f t="shared" si="40"/>
        <v>91930.674782661707</v>
      </c>
      <c r="H16" s="134">
        <f>H10-H11-H12-H13+H14</f>
        <v>81019.676382235746</v>
      </c>
      <c r="I16" s="134">
        <f t="shared" si="40"/>
        <v>70293.171493236267</v>
      </c>
      <c r="J16" s="134">
        <f t="shared" ref="J16:N16" si="41">J10-J11-J12-J13+J14</f>
        <v>59736.753821320148</v>
      </c>
      <c r="K16" s="134">
        <f t="shared" si="41"/>
        <v>49208.219299745571</v>
      </c>
      <c r="L16" s="134">
        <f t="shared" si="41"/>
        <v>38680.149497343336</v>
      </c>
      <c r="M16" s="134">
        <f>M10-M11-M12-M13+M14</f>
        <v>28151.614975768756</v>
      </c>
      <c r="N16" s="134">
        <f t="shared" si="41"/>
        <v>22264.073151074877</v>
      </c>
      <c r="O16" s="134">
        <f t="shared" ref="O16:AA16" si="42">O10-O11-O12-O13+O14</f>
        <v>20100.411519410962</v>
      </c>
      <c r="P16" s="134">
        <f t="shared" si="42"/>
        <v>17943.978133592413</v>
      </c>
      <c r="Q16" s="134">
        <f t="shared" si="42"/>
        <v>15793.3194443515</v>
      </c>
      <c r="R16" s="134">
        <f t="shared" si="42"/>
        <v>13648.915652098947</v>
      </c>
      <c r="S16" s="134">
        <f t="shared" si="42"/>
        <v>11509.388080556035</v>
      </c>
      <c r="T16" s="134">
        <f t="shared" si="42"/>
        <v>9375.2793242909811</v>
      </c>
      <c r="U16" s="134">
        <f t="shared" si="42"/>
        <v>7245.2731011825708</v>
      </c>
      <c r="V16" s="134">
        <f t="shared" si="42"/>
        <v>5116.4803271365163</v>
      </c>
      <c r="W16" s="134">
        <f t="shared" si="42"/>
        <v>4024.0237862823114</v>
      </c>
      <c r="X16" s="134">
        <f t="shared" si="42"/>
        <v>3968.3432401293112</v>
      </c>
      <c r="Y16" s="134">
        <f t="shared" si="42"/>
        <v>3912.6751728078111</v>
      </c>
      <c r="Z16" s="134">
        <f t="shared" si="42"/>
        <v>3856.9946266548113</v>
      </c>
      <c r="AA16" s="134">
        <f t="shared" si="42"/>
        <v>3801.3265593333108</v>
      </c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 ht="13">
      <c r="A18" s="17" t="s">
        <v>109</v>
      </c>
      <c r="C18" s="71"/>
      <c r="D18" s="71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8.3333333333333329E-2</v>
      </c>
      <c r="C19" s="72">
        <f>IF(C3-$C$3&lt;Input!$B$21,C6*$B$19,0)</f>
        <v>11266.916666666666</v>
      </c>
      <c r="D19" s="72">
        <f>IF(D3-$C$3&lt;Input!$B$21,D6*$B$19,0)</f>
        <v>11266.916666666666</v>
      </c>
      <c r="E19" s="72">
        <f>IF(E3-$C$3&lt;Input!$B$21,E6*$B$19,0)</f>
        <v>11266.916666666666</v>
      </c>
      <c r="F19" s="72">
        <f>IF(F3-$C$3&lt;Input!$B$21,F6*$B$19,0)</f>
        <v>11266.916666666666</v>
      </c>
      <c r="G19" s="72">
        <f>IF(G3-$C$3&lt;Input!$B$21,G6*$B$19,0)</f>
        <v>11266.916666666666</v>
      </c>
      <c r="H19" s="72">
        <f>IF(H3-$C$3&lt;Input!$B$21,H6*$B$19,0)</f>
        <v>11266.916666666666</v>
      </c>
      <c r="I19" s="72">
        <f>IF(I3-$C$3&lt;Input!$B$21,I6*$B$19,0)</f>
        <v>11266.916666666666</v>
      </c>
      <c r="J19" s="72">
        <f>IF(J3-$C$3&lt;Input!$B$21,J6*$B$19,0)</f>
        <v>11266.916666666666</v>
      </c>
      <c r="K19" s="72">
        <f>IF(K3-$C$3&lt;Input!$B$21,K6*$B$19,0)</f>
        <v>11266.916666666666</v>
      </c>
      <c r="L19" s="72">
        <f>IF(L3-$C$3&lt;Input!$B$21,L6*$B$19,0)</f>
        <v>11266.916666666666</v>
      </c>
      <c r="M19" s="72">
        <f>IF(M3-$C$3&lt;Input!$B$21,M6*$B$19,0)</f>
        <v>11266.916666666666</v>
      </c>
      <c r="N19" s="72">
        <f>IF(N3-$C$3&lt;Input!$B$21,N6*$B$19,0)</f>
        <v>11683.583333333332</v>
      </c>
      <c r="O19" s="72">
        <f>IF(O3-$C$3&lt;Input!$B$21,O6*$B$19,0)</f>
        <v>0</v>
      </c>
      <c r="P19" s="72">
        <f>IF(P3-$C$3&lt;Input!$B$21,P6*$B$19,0)</f>
        <v>0</v>
      </c>
      <c r="Q19" s="72">
        <f>IF(Q3-$C$3&lt;Input!$B$21,Q6*$B$19,0)</f>
        <v>0</v>
      </c>
      <c r="R19" s="72">
        <f>IF(R3-$C$3&lt;Input!$B$21,R6*$B$19,0)</f>
        <v>0</v>
      </c>
      <c r="S19" s="72">
        <f>IF(S3-$C$3&lt;Input!$B$21,S6*$B$19,0)</f>
        <v>0</v>
      </c>
      <c r="T19" s="72">
        <f>IF(T3-$C$3&lt;Input!$B$21,T6*$B$19,0)</f>
        <v>0</v>
      </c>
      <c r="U19" s="72">
        <f>IF(U3-$C$3&lt;Input!$B$21,U6*$B$19,0)</f>
        <v>0</v>
      </c>
      <c r="V19" s="72">
        <f>IF(V3-$C$3&lt;Input!$B$21,V6*$B$19,0)</f>
        <v>0</v>
      </c>
      <c r="W19" s="72">
        <f>IF(W3-$C$3&lt;Input!$B$21,W6*$B$19,0)</f>
        <v>0</v>
      </c>
      <c r="X19" s="72">
        <f>IF(X3-$C$3&lt;Input!$B$21,X6*$B$19,0)</f>
        <v>0</v>
      </c>
      <c r="Y19" s="72">
        <f>IF(Y3-$C$3&lt;Input!$B$21,Y6*$B$19,0)</f>
        <v>0</v>
      </c>
      <c r="Z19" s="72">
        <f>IF(Z3-$C$3&lt;Input!$B$21,Z6*$B$19,0)</f>
        <v>0</v>
      </c>
      <c r="AA19" s="72">
        <f>IF(AA3-$C$3&lt;Input!$B$21,AA6*$B$19,0)</f>
        <v>0</v>
      </c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11266.916666666666</v>
      </c>
      <c r="D20" s="69">
        <f t="shared" ref="D20:N20" si="43">C20+D19</f>
        <v>22533.833333333332</v>
      </c>
      <c r="E20" s="69">
        <f t="shared" si="43"/>
        <v>33800.75</v>
      </c>
      <c r="F20" s="69">
        <f t="shared" si="43"/>
        <v>45067.666666666664</v>
      </c>
      <c r="G20" s="69">
        <f t="shared" si="43"/>
        <v>56334.583333333328</v>
      </c>
      <c r="H20" s="69">
        <f t="shared" si="43"/>
        <v>67601.5</v>
      </c>
      <c r="I20" s="69">
        <f t="shared" si="43"/>
        <v>78868.416666666672</v>
      </c>
      <c r="J20" s="69">
        <f t="shared" si="43"/>
        <v>90135.333333333343</v>
      </c>
      <c r="K20" s="69">
        <f t="shared" si="43"/>
        <v>101402.25000000001</v>
      </c>
      <c r="L20" s="69">
        <f t="shared" si="43"/>
        <v>112669.16666666669</v>
      </c>
      <c r="M20" s="69">
        <f t="shared" si="43"/>
        <v>123936.08333333336</v>
      </c>
      <c r="N20" s="69">
        <f t="shared" si="43"/>
        <v>135619.66666666669</v>
      </c>
      <c r="O20" s="69">
        <f t="shared" ref="O20" si="44">N20+O19</f>
        <v>135619.66666666669</v>
      </c>
      <c r="P20" s="69">
        <f t="shared" ref="P20" si="45">O20+P19</f>
        <v>135619.66666666669</v>
      </c>
      <c r="Q20" s="69">
        <f t="shared" ref="Q20" si="46">P20+Q19</f>
        <v>135619.66666666669</v>
      </c>
      <c r="R20" s="69">
        <f t="shared" ref="R20" si="47">Q20+R19</f>
        <v>135619.66666666669</v>
      </c>
      <c r="S20" s="69">
        <f t="shared" ref="S20" si="48">R20+S19</f>
        <v>135619.66666666669</v>
      </c>
      <c r="T20" s="69">
        <f t="shared" ref="T20" si="49">S20+T19</f>
        <v>135619.66666666669</v>
      </c>
      <c r="U20" s="69">
        <f t="shared" ref="U20" si="50">T20+U19</f>
        <v>135619.66666666669</v>
      </c>
      <c r="V20" s="69">
        <f t="shared" ref="V20" si="51">U20+V19</f>
        <v>135619.66666666669</v>
      </c>
      <c r="W20" s="69">
        <f t="shared" ref="W20" si="52">V20+W19</f>
        <v>135619.66666666669</v>
      </c>
      <c r="X20" s="69">
        <f t="shared" ref="X20" si="53">W20+X19</f>
        <v>135619.66666666669</v>
      </c>
      <c r="Y20" s="69">
        <f t="shared" ref="Y20" si="54">X20+Y19</f>
        <v>135619.66666666669</v>
      </c>
      <c r="Z20" s="69">
        <f t="shared" ref="Z20" si="55">Y20+Z19</f>
        <v>135619.66666666669</v>
      </c>
      <c r="AA20" s="69">
        <f t="shared" ref="AA20" si="56">Z20+AA19</f>
        <v>135619.66666666669</v>
      </c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 ht="13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 ht="13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57">C4</f>
        <v>28917</v>
      </c>
      <c r="D24" s="49">
        <f>D4</f>
        <v>0</v>
      </c>
      <c r="E24" s="49">
        <f t="shared" si="57"/>
        <v>0</v>
      </c>
      <c r="F24" s="49">
        <f t="shared" si="57"/>
        <v>0</v>
      </c>
      <c r="G24" s="49">
        <f t="shared" si="57"/>
        <v>0</v>
      </c>
      <c r="H24" s="49">
        <f t="shared" si="57"/>
        <v>0</v>
      </c>
      <c r="I24" s="49">
        <f t="shared" si="57"/>
        <v>0</v>
      </c>
      <c r="J24" s="49">
        <f t="shared" ref="J24:N24" si="58">J4</f>
        <v>0</v>
      </c>
      <c r="K24" s="49">
        <f t="shared" si="58"/>
        <v>0</v>
      </c>
      <c r="L24" s="49">
        <f t="shared" si="58"/>
        <v>0</v>
      </c>
      <c r="M24" s="49">
        <f t="shared" si="58"/>
        <v>0</v>
      </c>
      <c r="N24" s="49">
        <f t="shared" si="58"/>
        <v>5000</v>
      </c>
      <c r="O24" s="49">
        <f t="shared" ref="O24:AA24" si="59">O4</f>
        <v>0</v>
      </c>
      <c r="P24" s="49">
        <f t="shared" si="59"/>
        <v>0</v>
      </c>
      <c r="Q24" s="49">
        <f t="shared" si="59"/>
        <v>0</v>
      </c>
      <c r="R24" s="49">
        <f t="shared" si="59"/>
        <v>0</v>
      </c>
      <c r="S24" s="49">
        <f t="shared" si="59"/>
        <v>0</v>
      </c>
      <c r="T24" s="49">
        <f t="shared" si="59"/>
        <v>0</v>
      </c>
      <c r="U24" s="49">
        <f t="shared" si="59"/>
        <v>0</v>
      </c>
      <c r="V24" s="49">
        <f t="shared" si="59"/>
        <v>0</v>
      </c>
      <c r="W24" s="49">
        <f t="shared" si="59"/>
        <v>0</v>
      </c>
      <c r="X24" s="49">
        <f t="shared" si="59"/>
        <v>0</v>
      </c>
      <c r="Y24" s="49">
        <f t="shared" si="59"/>
        <v>0</v>
      </c>
      <c r="Z24" s="49">
        <f t="shared" si="59"/>
        <v>0</v>
      </c>
      <c r="AA24" s="49">
        <f t="shared" si="59"/>
        <v>0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49">
        <f>B6</f>
        <v>106286</v>
      </c>
      <c r="D25" s="49">
        <f>IF(D27=1,$B$5,0)</f>
        <v>0</v>
      </c>
      <c r="E25" s="49">
        <f>IF(E27=1,$B$5,0)</f>
        <v>0</v>
      </c>
      <c r="F25" s="49">
        <f>IF(F27=1,$B$5,0)</f>
        <v>0</v>
      </c>
      <c r="G25" s="49">
        <f>IF(G27=1,$B$5,0)</f>
        <v>0</v>
      </c>
      <c r="H25" s="49">
        <f t="shared" ref="H25:AA25" si="60">IF(H27=1,$B$5,0)</f>
        <v>0</v>
      </c>
      <c r="I25" s="49">
        <f t="shared" si="60"/>
        <v>0</v>
      </c>
      <c r="J25" s="49">
        <f t="shared" si="60"/>
        <v>0</v>
      </c>
      <c r="K25" s="49">
        <f t="shared" si="60"/>
        <v>0</v>
      </c>
      <c r="L25" s="49">
        <f t="shared" si="60"/>
        <v>0</v>
      </c>
      <c r="M25" s="49">
        <f t="shared" si="60"/>
        <v>0</v>
      </c>
      <c r="N25" s="49">
        <f t="shared" si="60"/>
        <v>0</v>
      </c>
      <c r="O25" s="49">
        <f t="shared" si="60"/>
        <v>0</v>
      </c>
      <c r="P25" s="49">
        <f t="shared" si="60"/>
        <v>0</v>
      </c>
      <c r="Q25" s="49">
        <f t="shared" si="60"/>
        <v>0</v>
      </c>
      <c r="R25" s="49">
        <f t="shared" si="60"/>
        <v>0</v>
      </c>
      <c r="S25" s="49">
        <f t="shared" si="60"/>
        <v>0</v>
      </c>
      <c r="T25" s="49">
        <f t="shared" si="60"/>
        <v>0</v>
      </c>
      <c r="U25" s="49">
        <f t="shared" si="60"/>
        <v>0</v>
      </c>
      <c r="V25" s="49">
        <f t="shared" si="60"/>
        <v>0</v>
      </c>
      <c r="W25" s="49">
        <f t="shared" si="60"/>
        <v>0</v>
      </c>
      <c r="X25" s="49">
        <f t="shared" si="60"/>
        <v>0</v>
      </c>
      <c r="Y25" s="49">
        <f t="shared" si="60"/>
        <v>0</v>
      </c>
      <c r="Z25" s="49">
        <f t="shared" si="60"/>
        <v>0</v>
      </c>
      <c r="AA25" s="49">
        <f t="shared" si="60"/>
        <v>0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50" customFormat="1">
      <c r="A26" s="67" t="s">
        <v>275</v>
      </c>
      <c r="B26" s="49"/>
      <c r="C26" s="49">
        <f>'Cash Flow of U2'!G7/1000</f>
        <v>51000</v>
      </c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</row>
    <row r="27" spans="1:37" s="50" customFormat="1">
      <c r="A27" s="74" t="s">
        <v>11</v>
      </c>
      <c r="B27" s="74"/>
      <c r="C27" s="74">
        <v>1</v>
      </c>
      <c r="D27" s="74">
        <v>2</v>
      </c>
      <c r="E27" s="74">
        <v>3</v>
      </c>
      <c r="F27" s="74">
        <v>4</v>
      </c>
      <c r="G27" s="74">
        <v>5</v>
      </c>
      <c r="H27" s="74">
        <v>6</v>
      </c>
      <c r="I27" s="74">
        <v>7</v>
      </c>
      <c r="J27" s="74">
        <v>8</v>
      </c>
      <c r="K27" s="74">
        <v>9</v>
      </c>
      <c r="L27" s="74">
        <v>10</v>
      </c>
      <c r="M27" s="74">
        <v>11</v>
      </c>
      <c r="N27" s="74">
        <v>12</v>
      </c>
      <c r="O27" s="74">
        <v>13</v>
      </c>
      <c r="P27" s="74">
        <v>14</v>
      </c>
      <c r="Q27" s="74">
        <v>15</v>
      </c>
      <c r="R27" s="74">
        <v>16</v>
      </c>
      <c r="S27" s="74">
        <v>17</v>
      </c>
      <c r="T27" s="74">
        <v>18</v>
      </c>
      <c r="U27" s="74">
        <v>19</v>
      </c>
      <c r="V27" s="74">
        <v>20</v>
      </c>
      <c r="W27" s="74">
        <v>21</v>
      </c>
      <c r="X27" s="74">
        <v>22</v>
      </c>
      <c r="Y27" s="74">
        <v>23</v>
      </c>
      <c r="Z27" s="74">
        <v>24</v>
      </c>
      <c r="AA27" s="74">
        <v>25</v>
      </c>
      <c r="AB27" s="74"/>
      <c r="AC27" s="74"/>
      <c r="AD27" s="74"/>
      <c r="AE27" s="74"/>
      <c r="AF27" s="74"/>
      <c r="AG27" s="74"/>
      <c r="AH27" s="74"/>
      <c r="AI27" s="74"/>
      <c r="AJ27" s="74"/>
      <c r="AK27" s="74"/>
    </row>
    <row r="28" spans="1:37" s="50" customFormat="1">
      <c r="A28" s="74" t="s">
        <v>1</v>
      </c>
      <c r="B28" s="113" t="str">
        <f>Input!B33</f>
        <v>20  YR MACRS</v>
      </c>
      <c r="C28" s="114" cm="1">
        <f t="array" ref="C28">_xlfn.XLOOKUP($B$28,MACRS!$B$1:$G$1,_xlfn.XLOOKUP('Rate Base - coal'!C27,MACRS!$A$2:$A$22,MACRS!$B$2:$G$22))</f>
        <v>3.7499999999999999E-2</v>
      </c>
      <c r="D28" s="114" cm="1">
        <f t="array" ref="D28">_xlfn.XLOOKUP($B$28,MACRS!$B$1:$G$1,_xlfn.XLOOKUP('Rate Base - coal'!D27,MACRS!$A$2:$A$22,MACRS!$B$2:$G$22))</f>
        <v>7.2190000000000004E-2</v>
      </c>
      <c r="E28" s="114" cm="1">
        <f t="array" ref="E28">_xlfn.XLOOKUP($B$28,MACRS!$B$1:$G$1,_xlfn.XLOOKUP('Rate Base - coal'!E27,MACRS!$A$2:$A$22,MACRS!$B$2:$G$22))</f>
        <v>6.6769999999999996E-2</v>
      </c>
      <c r="F28" s="114" cm="1">
        <f t="array" ref="F28">_xlfn.XLOOKUP($B$28,MACRS!$B$1:$G$1,_xlfn.XLOOKUP('Rate Base - coal'!F27,MACRS!$A$2:$A$22,MACRS!$B$2:$G$22))</f>
        <v>6.1769999999999999E-2</v>
      </c>
      <c r="G28" s="114" cm="1">
        <f t="array" ref="G28">_xlfn.XLOOKUP($B$28,MACRS!$B$1:$G$1,_xlfn.XLOOKUP('Rate Base - coal'!G27,MACRS!$A$2:$A$22,MACRS!$B$2:$G$22))</f>
        <v>5.713E-2</v>
      </c>
      <c r="H28" s="114" cm="1">
        <f t="array" ref="H28">_xlfn.XLOOKUP($B$28,MACRS!$B$1:$G$1,_xlfn.XLOOKUP('Rate Base - coal'!H27,MACRS!$A$2:$A$22,MACRS!$B$2:$G$22))</f>
        <v>5.2850000000000001E-2</v>
      </c>
      <c r="I28" s="114" cm="1">
        <f t="array" ref="I28">_xlfn.XLOOKUP($B$28,MACRS!$B$1:$G$1,_xlfn.XLOOKUP('Rate Base - coal'!I27,MACRS!$A$2:$A$22,MACRS!$B$2:$G$22))</f>
        <v>4.888E-2</v>
      </c>
      <c r="J28" s="114" cm="1">
        <f t="array" ref="J28">_xlfn.XLOOKUP($B$28,MACRS!$B$1:$G$1,_xlfn.XLOOKUP('Rate Base - coal'!J27,MACRS!$A$2:$A$22,MACRS!$B$2:$G$22))</f>
        <v>4.5220000000000003E-2</v>
      </c>
      <c r="K28" s="114" cm="1">
        <f t="array" ref="K28">_xlfn.XLOOKUP($B$28,MACRS!$B$1:$G$1,_xlfn.XLOOKUP('Rate Base - coal'!K27,MACRS!$A$2:$A$22,MACRS!$B$2:$G$22))</f>
        <v>4.462E-2</v>
      </c>
      <c r="L28" s="114" cm="1">
        <f t="array" ref="L28">_xlfn.XLOOKUP($B$28,MACRS!$B$1:$G$1,_xlfn.XLOOKUP('Rate Base - coal'!L27,MACRS!$A$2:$A$22,MACRS!$B$2:$G$22))</f>
        <v>4.4609999999999997E-2</v>
      </c>
      <c r="M28" s="114" cm="1">
        <f t="array" ref="M28">_xlfn.XLOOKUP($B$28,MACRS!$B$1:$G$1,_xlfn.XLOOKUP('Rate Base - coal'!M27,MACRS!$A$2:$A$22,MACRS!$B$2:$G$22))</f>
        <v>4.462E-2</v>
      </c>
      <c r="N28" s="195" cm="1">
        <f t="array" ref="N28">_xlfn.XLOOKUP($B$28,MACRS!$B$1:$G$1,_xlfn.XLOOKUP('Rate Base - coal'!N27,MACRS!$A$2:$A$22,MACRS!$B$2:$G$22))</f>
        <v>4.4609999999999997E-2</v>
      </c>
      <c r="O28" s="195" cm="1">
        <f t="array" ref="O28">_xlfn.XLOOKUP($B$28,MACRS!$B$1:$G$1,_xlfn.XLOOKUP('Rate Base - coal'!O27,MACRS!$A$2:$A$22,MACRS!$B$2:$G$22))</f>
        <v>4.462E-2</v>
      </c>
      <c r="P28" s="195" cm="1">
        <f t="array" ref="P28">_xlfn.XLOOKUP($B$28,MACRS!$B$1:$G$1,_xlfn.XLOOKUP('Rate Base - coal'!P27,MACRS!$A$2:$A$22,MACRS!$B$2:$G$22))</f>
        <v>4.4609999999999997E-2</v>
      </c>
      <c r="Q28" s="195" cm="1">
        <f t="array" ref="Q28">_xlfn.XLOOKUP($B$28,MACRS!$B$1:$G$1,_xlfn.XLOOKUP('Rate Base - coal'!Q27,MACRS!$A$2:$A$22,MACRS!$B$2:$G$22))</f>
        <v>4.462E-2</v>
      </c>
      <c r="R28" s="195" cm="1">
        <f t="array" ref="R28">_xlfn.XLOOKUP($B$28,MACRS!$B$1:$G$1,_xlfn.XLOOKUP('Rate Base - coal'!R27,MACRS!$A$2:$A$22,MACRS!$B$2:$G$22))</f>
        <v>4.4609999999999997E-2</v>
      </c>
      <c r="S28" s="195" cm="1">
        <f t="array" ref="S28">_xlfn.XLOOKUP($B$28,MACRS!$B$1:$G$1,_xlfn.XLOOKUP('Rate Base - coal'!S27,MACRS!$A$2:$A$22,MACRS!$B$2:$G$22))</f>
        <v>4.462E-2</v>
      </c>
      <c r="T28" s="195" cm="1">
        <f t="array" ref="T28">_xlfn.XLOOKUP($B$28,MACRS!$B$1:$G$1,_xlfn.XLOOKUP('Rate Base - coal'!T27,MACRS!$A$2:$A$22,MACRS!$B$2:$G$22))</f>
        <v>4.4609999999999997E-2</v>
      </c>
      <c r="U28" s="195" cm="1">
        <f t="array" ref="U28">_xlfn.XLOOKUP($B$28,MACRS!$B$1:$G$1,_xlfn.XLOOKUP('Rate Base - coal'!U27,MACRS!$A$2:$A$22,MACRS!$B$2:$G$22))</f>
        <v>4.462E-2</v>
      </c>
      <c r="V28" s="195" cm="1">
        <f t="array" ref="V28">_xlfn.XLOOKUP($B$28,MACRS!$B$1:$G$1,_xlfn.XLOOKUP('Rate Base - coal'!V27,MACRS!$A$2:$A$22,MACRS!$B$2:$G$22))</f>
        <v>4.4609999999999997E-2</v>
      </c>
      <c r="W28" s="195" cm="1">
        <f t="array" ref="W28">_xlfn.XLOOKUP($B$28,MACRS!$B$1:$G$1,_xlfn.XLOOKUP('Rate Base - coal'!W27,MACRS!$A$2:$A$22,MACRS!$B$2:$G$22))</f>
        <v>2.231E-2</v>
      </c>
      <c r="X28" s="195">
        <v>0</v>
      </c>
      <c r="Y28" s="195">
        <v>0</v>
      </c>
      <c r="Z28" s="195">
        <v>0</v>
      </c>
      <c r="AA28" s="195">
        <v>0</v>
      </c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</row>
    <row r="29" spans="1:37" s="50" customFormat="1">
      <c r="A29" s="74" t="s">
        <v>276</v>
      </c>
      <c r="B29" s="74"/>
      <c r="C29" s="153">
        <f>-C26</f>
        <v>-51000</v>
      </c>
      <c r="D29" s="153">
        <f t="shared" ref="D29:AA29" si="61">-D26</f>
        <v>0</v>
      </c>
      <c r="E29" s="153">
        <f t="shared" si="61"/>
        <v>0</v>
      </c>
      <c r="F29" s="153">
        <f t="shared" si="61"/>
        <v>0</v>
      </c>
      <c r="G29" s="153">
        <f t="shared" si="61"/>
        <v>0</v>
      </c>
      <c r="H29" s="153">
        <f t="shared" si="61"/>
        <v>0</v>
      </c>
      <c r="I29" s="153">
        <f t="shared" si="61"/>
        <v>0</v>
      </c>
      <c r="J29" s="153">
        <f t="shared" si="61"/>
        <v>0</v>
      </c>
      <c r="K29" s="153">
        <f t="shared" si="61"/>
        <v>0</v>
      </c>
      <c r="L29" s="153">
        <f t="shared" si="61"/>
        <v>0</v>
      </c>
      <c r="M29" s="153">
        <f t="shared" si="61"/>
        <v>0</v>
      </c>
      <c r="N29" s="153">
        <f t="shared" si="61"/>
        <v>0</v>
      </c>
      <c r="O29" s="153">
        <f t="shared" si="61"/>
        <v>0</v>
      </c>
      <c r="P29" s="153">
        <f t="shared" si="61"/>
        <v>0</v>
      </c>
      <c r="Q29" s="153">
        <f t="shared" si="61"/>
        <v>0</v>
      </c>
      <c r="R29" s="153">
        <f t="shared" si="61"/>
        <v>0</v>
      </c>
      <c r="S29" s="153">
        <f t="shared" si="61"/>
        <v>0</v>
      </c>
      <c r="T29" s="153">
        <f t="shared" si="61"/>
        <v>0</v>
      </c>
      <c r="U29" s="153">
        <f t="shared" si="61"/>
        <v>0</v>
      </c>
      <c r="V29" s="153">
        <f t="shared" si="61"/>
        <v>0</v>
      </c>
      <c r="W29" s="153">
        <f t="shared" si="61"/>
        <v>0</v>
      </c>
      <c r="X29" s="153">
        <f t="shared" si="61"/>
        <v>0</v>
      </c>
      <c r="Y29" s="153">
        <f t="shared" si="61"/>
        <v>0</v>
      </c>
      <c r="Z29" s="153">
        <f t="shared" si="61"/>
        <v>0</v>
      </c>
      <c r="AA29" s="153">
        <f t="shared" si="61"/>
        <v>0</v>
      </c>
      <c r="AB29" s="202"/>
      <c r="AC29" s="202"/>
      <c r="AD29" s="202"/>
      <c r="AE29" s="202"/>
      <c r="AF29" s="202"/>
      <c r="AG29" s="202"/>
      <c r="AH29" s="202"/>
      <c r="AI29" s="202"/>
      <c r="AJ29" s="202"/>
      <c r="AK29" s="202"/>
    </row>
    <row r="30" spans="1:37" s="50" customFormat="1">
      <c r="A30" s="74" t="s">
        <v>277</v>
      </c>
      <c r="B30" s="74"/>
      <c r="C30" s="153">
        <f>$C$26*C$28</f>
        <v>1912.5</v>
      </c>
      <c r="D30" s="153">
        <f t="shared" ref="D30:AA30" si="62">$C$26*D$28</f>
        <v>3681.69</v>
      </c>
      <c r="E30" s="153">
        <f t="shared" si="62"/>
        <v>3405.27</v>
      </c>
      <c r="F30" s="153">
        <f t="shared" si="62"/>
        <v>3150.27</v>
      </c>
      <c r="G30" s="153">
        <f t="shared" si="62"/>
        <v>2913.63</v>
      </c>
      <c r="H30" s="153">
        <f t="shared" si="62"/>
        <v>2695.35</v>
      </c>
      <c r="I30" s="153">
        <f t="shared" si="62"/>
        <v>2492.88</v>
      </c>
      <c r="J30" s="153">
        <f t="shared" si="62"/>
        <v>2306.2200000000003</v>
      </c>
      <c r="K30" s="153">
        <f t="shared" si="62"/>
        <v>2275.62</v>
      </c>
      <c r="L30" s="153">
        <f t="shared" si="62"/>
        <v>2275.1099999999997</v>
      </c>
      <c r="M30" s="153">
        <f t="shared" si="62"/>
        <v>2275.62</v>
      </c>
      <c r="N30" s="153">
        <f t="shared" si="62"/>
        <v>2275.1099999999997</v>
      </c>
      <c r="O30" s="153">
        <f t="shared" si="62"/>
        <v>2275.62</v>
      </c>
      <c r="P30" s="153">
        <f t="shared" si="62"/>
        <v>2275.1099999999997</v>
      </c>
      <c r="Q30" s="153">
        <f t="shared" si="62"/>
        <v>2275.62</v>
      </c>
      <c r="R30" s="153">
        <f t="shared" si="62"/>
        <v>2275.1099999999997</v>
      </c>
      <c r="S30" s="153">
        <f t="shared" si="62"/>
        <v>2275.62</v>
      </c>
      <c r="T30" s="153">
        <f t="shared" si="62"/>
        <v>2275.1099999999997</v>
      </c>
      <c r="U30" s="153">
        <f t="shared" si="62"/>
        <v>2275.62</v>
      </c>
      <c r="V30" s="153">
        <f t="shared" si="62"/>
        <v>2275.1099999999997</v>
      </c>
      <c r="W30" s="153">
        <f t="shared" si="62"/>
        <v>1137.81</v>
      </c>
      <c r="X30" s="153">
        <f t="shared" si="62"/>
        <v>0</v>
      </c>
      <c r="Y30" s="153">
        <f t="shared" si="62"/>
        <v>0</v>
      </c>
      <c r="Z30" s="153">
        <f t="shared" si="62"/>
        <v>0</v>
      </c>
      <c r="AA30" s="153">
        <f t="shared" si="62"/>
        <v>0</v>
      </c>
      <c r="AB30" s="202"/>
      <c r="AC30" s="202"/>
      <c r="AD30" s="202"/>
      <c r="AE30" s="202"/>
      <c r="AF30" s="202"/>
      <c r="AG30" s="202"/>
      <c r="AH30" s="202"/>
      <c r="AI30" s="202"/>
      <c r="AJ30" s="202"/>
      <c r="AK30" s="202"/>
    </row>
    <row r="31" spans="1:37" s="50" customFormat="1">
      <c r="A31" s="74" t="s">
        <v>71</v>
      </c>
      <c r="B31" s="74"/>
      <c r="C31" s="69">
        <f>($C$25+$C$24)*C$28</f>
        <v>5070.1125000000002</v>
      </c>
      <c r="D31" s="69">
        <f t="shared" ref="D31:AA31" si="63">($C$25+$C$24)*D$28</f>
        <v>9760.3045700000002</v>
      </c>
      <c r="E31" s="69">
        <f t="shared" si="63"/>
        <v>9027.5043100000003</v>
      </c>
      <c r="F31" s="69">
        <f t="shared" si="63"/>
        <v>8351.489309999999</v>
      </c>
      <c r="G31" s="69">
        <f t="shared" si="63"/>
        <v>7724.1473900000001</v>
      </c>
      <c r="H31" s="69">
        <f t="shared" si="63"/>
        <v>7145.4785499999998</v>
      </c>
      <c r="I31" s="69">
        <f t="shared" si="63"/>
        <v>6608.72264</v>
      </c>
      <c r="J31" s="69">
        <f t="shared" si="63"/>
        <v>6113.8796600000005</v>
      </c>
      <c r="K31" s="69">
        <f t="shared" si="63"/>
        <v>6032.7578599999997</v>
      </c>
      <c r="L31" s="69">
        <f t="shared" si="63"/>
        <v>6031.4058299999997</v>
      </c>
      <c r="M31" s="69">
        <f t="shared" si="63"/>
        <v>6032.7578599999997</v>
      </c>
      <c r="N31" s="69">
        <f t="shared" si="63"/>
        <v>6031.4058299999997</v>
      </c>
      <c r="O31" s="69">
        <f t="shared" si="63"/>
        <v>6032.7578599999997</v>
      </c>
      <c r="P31" s="69">
        <f t="shared" si="63"/>
        <v>6031.4058299999997</v>
      </c>
      <c r="Q31" s="69">
        <f t="shared" si="63"/>
        <v>6032.7578599999997</v>
      </c>
      <c r="R31" s="69">
        <f t="shared" si="63"/>
        <v>6031.4058299999997</v>
      </c>
      <c r="S31" s="69">
        <f t="shared" si="63"/>
        <v>6032.7578599999997</v>
      </c>
      <c r="T31" s="69">
        <f t="shared" si="63"/>
        <v>6031.4058299999997</v>
      </c>
      <c r="U31" s="69">
        <f t="shared" si="63"/>
        <v>6032.7578599999997</v>
      </c>
      <c r="V31" s="69">
        <f t="shared" si="63"/>
        <v>6031.4058299999997</v>
      </c>
      <c r="W31" s="69">
        <f t="shared" si="63"/>
        <v>3016.3789299999999</v>
      </c>
      <c r="X31" s="69">
        <f t="shared" si="63"/>
        <v>0</v>
      </c>
      <c r="Y31" s="69">
        <f t="shared" si="63"/>
        <v>0</v>
      </c>
      <c r="Z31" s="69">
        <f t="shared" si="63"/>
        <v>0</v>
      </c>
      <c r="AA31" s="69">
        <f t="shared" si="63"/>
        <v>0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72</v>
      </c>
      <c r="B32" s="74"/>
      <c r="C32" s="67"/>
      <c r="D32" s="69">
        <f>($D$24*C$28)</f>
        <v>0</v>
      </c>
      <c r="E32" s="69">
        <f t="shared" ref="E32:N32" si="64">($D$24*D$28)</f>
        <v>0</v>
      </c>
      <c r="F32" s="69">
        <f t="shared" si="64"/>
        <v>0</v>
      </c>
      <c r="G32" s="69">
        <f t="shared" si="64"/>
        <v>0</v>
      </c>
      <c r="H32" s="69">
        <f t="shared" si="64"/>
        <v>0</v>
      </c>
      <c r="I32" s="69">
        <f t="shared" si="64"/>
        <v>0</v>
      </c>
      <c r="J32" s="69">
        <f t="shared" si="64"/>
        <v>0</v>
      </c>
      <c r="K32" s="69">
        <f t="shared" si="64"/>
        <v>0</v>
      </c>
      <c r="L32" s="69">
        <f t="shared" si="64"/>
        <v>0</v>
      </c>
      <c r="M32" s="69">
        <f t="shared" si="64"/>
        <v>0</v>
      </c>
      <c r="N32" s="69">
        <f t="shared" si="64"/>
        <v>0</v>
      </c>
      <c r="O32" s="69">
        <f t="shared" ref="O32" si="65">($D$24*N$28)</f>
        <v>0</v>
      </c>
      <c r="P32" s="69">
        <f t="shared" ref="P32" si="66">($D$24*O$28)</f>
        <v>0</v>
      </c>
      <c r="Q32" s="69">
        <f t="shared" ref="Q32" si="67">($D$24*P$28)</f>
        <v>0</v>
      </c>
      <c r="R32" s="69">
        <f t="shared" ref="R32" si="68">($D$24*Q$28)</f>
        <v>0</v>
      </c>
      <c r="S32" s="69">
        <f t="shared" ref="S32" si="69">($D$24*R$28)</f>
        <v>0</v>
      </c>
      <c r="T32" s="69">
        <f t="shared" ref="T32" si="70">($D$24*S$28)</f>
        <v>0</v>
      </c>
      <c r="U32" s="69">
        <f t="shared" ref="U32" si="71">($D$24*T$28)</f>
        <v>0</v>
      </c>
      <c r="V32" s="69">
        <f t="shared" ref="V32" si="72">($D$24*U$28)</f>
        <v>0</v>
      </c>
      <c r="W32" s="69">
        <f t="shared" ref="W32" si="73">($D$24*V$28)</f>
        <v>0</v>
      </c>
      <c r="X32" s="69">
        <f t="shared" ref="X32" si="74">($D$24*W$28)</f>
        <v>0</v>
      </c>
      <c r="Y32" s="69">
        <f t="shared" ref="Y32" si="75">($D$24*X$28)</f>
        <v>0</v>
      </c>
      <c r="Z32" s="69">
        <f t="shared" ref="Z32" si="76">($D$24*Y$28)</f>
        <v>0</v>
      </c>
      <c r="AA32" s="69">
        <f t="shared" ref="AA32" si="77">($D$24*Z$28)</f>
        <v>0</v>
      </c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73</v>
      </c>
      <c r="B33" s="74"/>
      <c r="C33" s="67"/>
      <c r="D33" s="75"/>
      <c r="E33" s="69">
        <f t="shared" ref="E33:N33" si="78">$E$24*C28</f>
        <v>0</v>
      </c>
      <c r="F33" s="69">
        <f t="shared" si="78"/>
        <v>0</v>
      </c>
      <c r="G33" s="69">
        <f t="shared" si="78"/>
        <v>0</v>
      </c>
      <c r="H33" s="69">
        <f t="shared" si="78"/>
        <v>0</v>
      </c>
      <c r="I33" s="69">
        <f t="shared" si="78"/>
        <v>0</v>
      </c>
      <c r="J33" s="69">
        <f t="shared" si="78"/>
        <v>0</v>
      </c>
      <c r="K33" s="69">
        <f t="shared" si="78"/>
        <v>0</v>
      </c>
      <c r="L33" s="69">
        <f t="shared" si="78"/>
        <v>0</v>
      </c>
      <c r="M33" s="69">
        <f t="shared" si="78"/>
        <v>0</v>
      </c>
      <c r="N33" s="69">
        <f t="shared" si="78"/>
        <v>0</v>
      </c>
      <c r="O33" s="69">
        <f t="shared" ref="O33" si="79">$E$24*M28</f>
        <v>0</v>
      </c>
      <c r="P33" s="69">
        <f t="shared" ref="P33" si="80">$E$24*N28</f>
        <v>0</v>
      </c>
      <c r="Q33" s="69">
        <f t="shared" ref="Q33" si="81">$E$24*O28</f>
        <v>0</v>
      </c>
      <c r="R33" s="69">
        <f t="shared" ref="R33" si="82">$E$24*P28</f>
        <v>0</v>
      </c>
      <c r="S33" s="69">
        <f t="shared" ref="S33" si="83">$E$24*Q28</f>
        <v>0</v>
      </c>
      <c r="T33" s="69">
        <f t="shared" ref="T33" si="84">$E$24*R28</f>
        <v>0</v>
      </c>
      <c r="U33" s="69">
        <f t="shared" ref="U33" si="85">$E$24*S28</f>
        <v>0</v>
      </c>
      <c r="V33" s="69">
        <f t="shared" ref="V33" si="86">$E$24*T28</f>
        <v>0</v>
      </c>
      <c r="W33" s="69">
        <f t="shared" ref="W33" si="87">$E$24*U28</f>
        <v>0</v>
      </c>
      <c r="X33" s="69">
        <f t="shared" ref="X33" si="88">$E$24*V28</f>
        <v>0</v>
      </c>
      <c r="Y33" s="69">
        <f t="shared" ref="Y33" si="89">$E$24*W28</f>
        <v>0</v>
      </c>
      <c r="Z33" s="69">
        <f t="shared" ref="Z33" si="90">$E$24*X28</f>
        <v>0</v>
      </c>
      <c r="AA33" s="69">
        <f t="shared" ref="AA33" si="91">$E$24*Y28</f>
        <v>0</v>
      </c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74</v>
      </c>
      <c r="B34" s="74"/>
      <c r="C34" s="76"/>
      <c r="D34" s="77"/>
      <c r="E34" s="75"/>
      <c r="F34" s="69">
        <f t="shared" ref="F34:N34" si="92">$F$24*C28</f>
        <v>0</v>
      </c>
      <c r="G34" s="69">
        <f t="shared" si="92"/>
        <v>0</v>
      </c>
      <c r="H34" s="69">
        <f t="shared" si="92"/>
        <v>0</v>
      </c>
      <c r="I34" s="69">
        <f t="shared" si="92"/>
        <v>0</v>
      </c>
      <c r="J34" s="69">
        <f t="shared" si="92"/>
        <v>0</v>
      </c>
      <c r="K34" s="69">
        <f t="shared" si="92"/>
        <v>0</v>
      </c>
      <c r="L34" s="69">
        <f t="shared" si="92"/>
        <v>0</v>
      </c>
      <c r="M34" s="69">
        <f t="shared" si="92"/>
        <v>0</v>
      </c>
      <c r="N34" s="69">
        <f t="shared" si="92"/>
        <v>0</v>
      </c>
      <c r="O34" s="69">
        <f t="shared" ref="O34" si="93">$F$24*L28</f>
        <v>0</v>
      </c>
      <c r="P34" s="69">
        <f t="shared" ref="P34" si="94">$F$24*M28</f>
        <v>0</v>
      </c>
      <c r="Q34" s="69">
        <f t="shared" ref="Q34" si="95">$F$24*N28</f>
        <v>0</v>
      </c>
      <c r="R34" s="69">
        <f t="shared" ref="R34" si="96">$F$24*O28</f>
        <v>0</v>
      </c>
      <c r="S34" s="69">
        <f t="shared" ref="S34" si="97">$F$24*P28</f>
        <v>0</v>
      </c>
      <c r="T34" s="69">
        <f t="shared" ref="T34" si="98">$F$24*Q28</f>
        <v>0</v>
      </c>
      <c r="U34" s="69">
        <f t="shared" ref="U34" si="99">$F$24*R28</f>
        <v>0</v>
      </c>
      <c r="V34" s="69">
        <f t="shared" ref="V34" si="100">$F$24*S28</f>
        <v>0</v>
      </c>
      <c r="W34" s="69">
        <f t="shared" ref="W34" si="101">$F$24*T28</f>
        <v>0</v>
      </c>
      <c r="X34" s="69">
        <f t="shared" ref="X34" si="102">$F$24*U28</f>
        <v>0</v>
      </c>
      <c r="Y34" s="69">
        <f t="shared" ref="Y34" si="103">$F$24*V28</f>
        <v>0</v>
      </c>
      <c r="Z34" s="69">
        <f t="shared" ref="Z34" si="104">$F$24*W28</f>
        <v>0</v>
      </c>
      <c r="AA34" s="69">
        <f t="shared" ref="AA34" si="105">$F$24*X28</f>
        <v>0</v>
      </c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75</v>
      </c>
      <c r="B35" s="74"/>
      <c r="C35" s="76"/>
      <c r="D35" s="75"/>
      <c r="E35" s="75"/>
      <c r="F35" s="75"/>
      <c r="G35" s="69">
        <f t="shared" ref="G35:N35" si="106">$G$24*C28</f>
        <v>0</v>
      </c>
      <c r="H35" s="69">
        <f t="shared" si="106"/>
        <v>0</v>
      </c>
      <c r="I35" s="69">
        <f t="shared" si="106"/>
        <v>0</v>
      </c>
      <c r="J35" s="69">
        <f t="shared" si="106"/>
        <v>0</v>
      </c>
      <c r="K35" s="69">
        <f t="shared" si="106"/>
        <v>0</v>
      </c>
      <c r="L35" s="69">
        <f t="shared" si="106"/>
        <v>0</v>
      </c>
      <c r="M35" s="69">
        <f t="shared" si="106"/>
        <v>0</v>
      </c>
      <c r="N35" s="69">
        <f t="shared" si="106"/>
        <v>0</v>
      </c>
      <c r="O35" s="69">
        <f t="shared" ref="O35" si="107">$G$24*K28</f>
        <v>0</v>
      </c>
      <c r="P35" s="69">
        <f t="shared" ref="P35" si="108">$G$24*L28</f>
        <v>0</v>
      </c>
      <c r="Q35" s="69">
        <f t="shared" ref="Q35" si="109">$G$24*M28</f>
        <v>0</v>
      </c>
      <c r="R35" s="69">
        <f t="shared" ref="R35" si="110">$G$24*N28</f>
        <v>0</v>
      </c>
      <c r="S35" s="69">
        <f t="shared" ref="S35" si="111">$G$24*O28</f>
        <v>0</v>
      </c>
      <c r="T35" s="69">
        <f t="shared" ref="T35" si="112">$G$24*P28</f>
        <v>0</v>
      </c>
      <c r="U35" s="69">
        <f t="shared" ref="U35" si="113">$G$24*Q28</f>
        <v>0</v>
      </c>
      <c r="V35" s="69">
        <f t="shared" ref="V35" si="114">$G$24*R28</f>
        <v>0</v>
      </c>
      <c r="W35" s="69">
        <f t="shared" ref="W35" si="115">$G$24*S28</f>
        <v>0</v>
      </c>
      <c r="X35" s="69">
        <f t="shared" ref="X35" si="116">$G$24*T28</f>
        <v>0</v>
      </c>
      <c r="Y35" s="69">
        <f t="shared" ref="Y35" si="117">$G$24*U28</f>
        <v>0</v>
      </c>
      <c r="Z35" s="69">
        <f t="shared" ref="Z35" si="118">$G$24*V28</f>
        <v>0</v>
      </c>
      <c r="AA35" s="69">
        <f t="shared" ref="AA35" si="119">$G$24*W28</f>
        <v>0</v>
      </c>
      <c r="AB35" s="69"/>
      <c r="AC35" s="69"/>
      <c r="AD35" s="69"/>
      <c r="AE35" s="69"/>
      <c r="AF35" s="69"/>
      <c r="AG35" s="69"/>
      <c r="AH35" s="69"/>
      <c r="AI35" s="69"/>
      <c r="AJ35" s="69"/>
      <c r="AK35" s="69"/>
    </row>
    <row r="36" spans="1:37" s="50" customFormat="1">
      <c r="A36" s="74" t="s">
        <v>76</v>
      </c>
      <c r="B36" s="74"/>
      <c r="C36" s="76"/>
      <c r="D36" s="75"/>
      <c r="E36" s="75"/>
      <c r="F36" s="75"/>
      <c r="G36" s="75"/>
      <c r="H36" s="69">
        <f t="shared" ref="H36:N36" si="120">$H$24*C$28</f>
        <v>0</v>
      </c>
      <c r="I36" s="69">
        <f t="shared" si="120"/>
        <v>0</v>
      </c>
      <c r="J36" s="69">
        <f t="shared" si="120"/>
        <v>0</v>
      </c>
      <c r="K36" s="69">
        <f t="shared" si="120"/>
        <v>0</v>
      </c>
      <c r="L36" s="69">
        <f t="shared" si="120"/>
        <v>0</v>
      </c>
      <c r="M36" s="69">
        <f t="shared" si="120"/>
        <v>0</v>
      </c>
      <c r="N36" s="69">
        <f t="shared" si="120"/>
        <v>0</v>
      </c>
      <c r="O36" s="69">
        <f t="shared" ref="O36" si="121">$H$24*J$28</f>
        <v>0</v>
      </c>
      <c r="P36" s="69">
        <f t="shared" ref="P36" si="122">$H$24*K$28</f>
        <v>0</v>
      </c>
      <c r="Q36" s="69">
        <f t="shared" ref="Q36" si="123">$H$24*L$28</f>
        <v>0</v>
      </c>
      <c r="R36" s="69">
        <f t="shared" ref="R36" si="124">$H$24*M$28</f>
        <v>0</v>
      </c>
      <c r="S36" s="69">
        <f t="shared" ref="S36" si="125">$H$24*N$28</f>
        <v>0</v>
      </c>
      <c r="T36" s="69">
        <f t="shared" ref="T36" si="126">$H$24*O$28</f>
        <v>0</v>
      </c>
      <c r="U36" s="69">
        <f t="shared" ref="U36" si="127">$H$24*P$28</f>
        <v>0</v>
      </c>
      <c r="V36" s="69">
        <f t="shared" ref="V36" si="128">$H$24*Q$28</f>
        <v>0</v>
      </c>
      <c r="W36" s="69">
        <f t="shared" ref="W36" si="129">$H$24*R$28</f>
        <v>0</v>
      </c>
      <c r="X36" s="69">
        <f t="shared" ref="X36" si="130">$H$24*S$28</f>
        <v>0</v>
      </c>
      <c r="Y36" s="69">
        <f t="shared" ref="Y36" si="131">$H$24*T$28</f>
        <v>0</v>
      </c>
      <c r="Z36" s="69">
        <f t="shared" ref="Z36" si="132">$H$24*U$28</f>
        <v>0</v>
      </c>
      <c r="AA36" s="69">
        <f t="shared" ref="AA36" si="133">$H$24*V$28</f>
        <v>0</v>
      </c>
      <c r="AB36" s="69"/>
      <c r="AC36" s="69"/>
      <c r="AD36" s="69"/>
      <c r="AE36" s="69"/>
      <c r="AF36" s="69"/>
      <c r="AG36" s="69"/>
      <c r="AH36" s="69"/>
      <c r="AI36" s="69"/>
      <c r="AJ36" s="69"/>
      <c r="AK36" s="69"/>
    </row>
    <row r="37" spans="1:37" s="50" customFormat="1">
      <c r="A37" s="74" t="s">
        <v>77</v>
      </c>
      <c r="B37" s="74"/>
      <c r="C37" s="76"/>
      <c r="D37" s="75"/>
      <c r="E37" s="75"/>
      <c r="F37" s="75"/>
      <c r="G37" s="75"/>
      <c r="H37" s="75"/>
      <c r="I37" s="69">
        <f>$I$24*C$28</f>
        <v>0</v>
      </c>
      <c r="J37" s="69">
        <f>$I$24*D$28</f>
        <v>0</v>
      </c>
      <c r="K37" s="69">
        <f t="shared" ref="K37:N37" si="134">$I$24*E$28</f>
        <v>0</v>
      </c>
      <c r="L37" s="69">
        <f t="shared" si="134"/>
        <v>0</v>
      </c>
      <c r="M37" s="69">
        <f t="shared" si="134"/>
        <v>0</v>
      </c>
      <c r="N37" s="69">
        <f t="shared" si="134"/>
        <v>0</v>
      </c>
      <c r="O37" s="69">
        <f t="shared" ref="O37" si="135">$I$24*I$28</f>
        <v>0</v>
      </c>
      <c r="P37" s="69">
        <f t="shared" ref="P37" si="136">$I$24*J$28</f>
        <v>0</v>
      </c>
      <c r="Q37" s="69">
        <f t="shared" ref="Q37" si="137">$I$24*K$28</f>
        <v>0</v>
      </c>
      <c r="R37" s="69">
        <f t="shared" ref="R37" si="138">$I$24*L$28</f>
        <v>0</v>
      </c>
      <c r="S37" s="69">
        <f t="shared" ref="S37" si="139">$I$24*M$28</f>
        <v>0</v>
      </c>
      <c r="T37" s="69">
        <f t="shared" ref="T37" si="140">$I$24*N$28</f>
        <v>0</v>
      </c>
      <c r="U37" s="69">
        <f t="shared" ref="U37" si="141">$I$24*O$28</f>
        <v>0</v>
      </c>
      <c r="V37" s="69">
        <f t="shared" ref="V37" si="142">$I$24*P$28</f>
        <v>0</v>
      </c>
      <c r="W37" s="69">
        <f t="shared" ref="W37" si="143">$I$24*Q$28</f>
        <v>0</v>
      </c>
      <c r="X37" s="69">
        <f t="shared" ref="X37" si="144">$I$24*R$28</f>
        <v>0</v>
      </c>
      <c r="Y37" s="69">
        <f t="shared" ref="Y37" si="145">$I$24*S$28</f>
        <v>0</v>
      </c>
      <c r="Z37" s="69">
        <f t="shared" ref="Z37" si="146">$I$24*T$28</f>
        <v>0</v>
      </c>
      <c r="AA37" s="69">
        <f t="shared" ref="AA37" si="147">$I$24*U$28</f>
        <v>0</v>
      </c>
      <c r="AB37" s="69"/>
      <c r="AC37" s="69"/>
      <c r="AD37" s="69"/>
      <c r="AE37" s="69"/>
      <c r="AF37" s="69"/>
      <c r="AG37" s="69"/>
      <c r="AH37" s="69"/>
      <c r="AI37" s="69"/>
      <c r="AJ37" s="69"/>
      <c r="AK37" s="69"/>
    </row>
    <row r="38" spans="1:37" s="50" customFormat="1">
      <c r="A38" s="74" t="s">
        <v>78</v>
      </c>
      <c r="B38" s="74"/>
      <c r="C38" s="76"/>
      <c r="D38" s="75"/>
      <c r="E38" s="75"/>
      <c r="F38" s="75"/>
      <c r="G38" s="75"/>
      <c r="H38" s="75"/>
      <c r="I38" s="75"/>
      <c r="J38" s="69">
        <f>$J$24*C$28</f>
        <v>0</v>
      </c>
      <c r="K38" s="69">
        <f t="shared" ref="K38:N38" si="148">$J$24*D$28</f>
        <v>0</v>
      </c>
      <c r="L38" s="69">
        <f t="shared" si="148"/>
        <v>0</v>
      </c>
      <c r="M38" s="69">
        <f t="shared" si="148"/>
        <v>0</v>
      </c>
      <c r="N38" s="69">
        <f t="shared" si="148"/>
        <v>0</v>
      </c>
      <c r="O38" s="69">
        <f t="shared" ref="O38" si="149">$J$24*H$28</f>
        <v>0</v>
      </c>
      <c r="P38" s="69">
        <f t="shared" ref="P38" si="150">$J$24*I$28</f>
        <v>0</v>
      </c>
      <c r="Q38" s="69">
        <f t="shared" ref="Q38" si="151">$J$24*J$28</f>
        <v>0</v>
      </c>
      <c r="R38" s="69">
        <f t="shared" ref="R38" si="152">$J$24*K$28</f>
        <v>0</v>
      </c>
      <c r="S38" s="69">
        <f t="shared" ref="S38" si="153">$J$24*L$28</f>
        <v>0</v>
      </c>
      <c r="T38" s="69">
        <f t="shared" ref="T38" si="154">$J$24*M$28</f>
        <v>0</v>
      </c>
      <c r="U38" s="69">
        <f t="shared" ref="U38" si="155">$J$24*N$28</f>
        <v>0</v>
      </c>
      <c r="V38" s="69">
        <f t="shared" ref="V38" si="156">$J$24*O$28</f>
        <v>0</v>
      </c>
      <c r="W38" s="69">
        <f t="shared" ref="W38" si="157">$J$24*P$28</f>
        <v>0</v>
      </c>
      <c r="X38" s="69">
        <f t="shared" ref="X38" si="158">$J$24*Q$28</f>
        <v>0</v>
      </c>
      <c r="Y38" s="69">
        <f t="shared" ref="Y38" si="159">$J$24*R$28</f>
        <v>0</v>
      </c>
      <c r="Z38" s="69">
        <f t="shared" ref="Z38" si="160">$J$24*S$28</f>
        <v>0</v>
      </c>
      <c r="AA38" s="69">
        <f t="shared" ref="AA38" si="161">$J$24*T$28</f>
        <v>0</v>
      </c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79</v>
      </c>
      <c r="B39" s="74"/>
      <c r="C39" s="67"/>
      <c r="D39" s="75"/>
      <c r="E39" s="75"/>
      <c r="F39" s="75"/>
      <c r="G39" s="75"/>
      <c r="H39" s="75"/>
      <c r="I39" s="75"/>
      <c r="J39" s="75"/>
      <c r="K39" s="69">
        <f>$K$24*C$28</f>
        <v>0</v>
      </c>
      <c r="L39" s="69">
        <f t="shared" ref="L39:N39" si="162">$K$24*D$28</f>
        <v>0</v>
      </c>
      <c r="M39" s="69">
        <f t="shared" si="162"/>
        <v>0</v>
      </c>
      <c r="N39" s="69">
        <f t="shared" si="162"/>
        <v>0</v>
      </c>
      <c r="O39" s="69">
        <f t="shared" ref="O39" si="163">$K$24*G$28</f>
        <v>0</v>
      </c>
      <c r="P39" s="69">
        <f t="shared" ref="P39" si="164">$K$24*H$28</f>
        <v>0</v>
      </c>
      <c r="Q39" s="69">
        <f t="shared" ref="Q39" si="165">$K$24*I$28</f>
        <v>0</v>
      </c>
      <c r="R39" s="69">
        <f t="shared" ref="R39" si="166">$K$24*J$28</f>
        <v>0</v>
      </c>
      <c r="S39" s="69">
        <f t="shared" ref="S39" si="167">$K$24*K$28</f>
        <v>0</v>
      </c>
      <c r="T39" s="69">
        <f t="shared" ref="T39" si="168">$K$24*L$28</f>
        <v>0</v>
      </c>
      <c r="U39" s="69">
        <f t="shared" ref="U39" si="169">$K$24*M$28</f>
        <v>0</v>
      </c>
      <c r="V39" s="69">
        <f t="shared" ref="V39" si="170">$K$24*N$28</f>
        <v>0</v>
      </c>
      <c r="W39" s="69">
        <f t="shared" ref="W39" si="171">$K$24*O$28</f>
        <v>0</v>
      </c>
      <c r="X39" s="69">
        <f t="shared" ref="X39" si="172">$K$24*P$28</f>
        <v>0</v>
      </c>
      <c r="Y39" s="69">
        <f t="shared" ref="Y39" si="173">$K$24*Q$28</f>
        <v>0</v>
      </c>
      <c r="Z39" s="69">
        <f t="shared" ref="Z39" si="174">$K$24*R$28</f>
        <v>0</v>
      </c>
      <c r="AA39" s="69">
        <f t="shared" ref="AA39" si="175">$K$24*S$28</f>
        <v>0</v>
      </c>
      <c r="AB39" s="75"/>
      <c r="AC39" s="75"/>
      <c r="AD39" s="75"/>
      <c r="AE39" s="75"/>
      <c r="AF39" s="75"/>
      <c r="AG39" s="75"/>
      <c r="AH39" s="75"/>
      <c r="AI39" s="75"/>
      <c r="AJ39" s="75"/>
      <c r="AK39" s="69"/>
    </row>
    <row r="40" spans="1:37" s="50" customFormat="1">
      <c r="A40" s="74" t="s">
        <v>80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69">
        <f>$L$24*C$28</f>
        <v>0</v>
      </c>
      <c r="M40" s="69">
        <f t="shared" ref="M40:N40" si="176">$L$24*D$28</f>
        <v>0</v>
      </c>
      <c r="N40" s="69">
        <f t="shared" si="176"/>
        <v>0</v>
      </c>
      <c r="O40" s="69">
        <f t="shared" ref="O40" si="177">$L$24*F$28</f>
        <v>0</v>
      </c>
      <c r="P40" s="69">
        <f t="shared" ref="P40" si="178">$L$24*G$28</f>
        <v>0</v>
      </c>
      <c r="Q40" s="69">
        <f t="shared" ref="Q40" si="179">$L$24*H$28</f>
        <v>0</v>
      </c>
      <c r="R40" s="69">
        <f t="shared" ref="R40" si="180">$L$24*I$28</f>
        <v>0</v>
      </c>
      <c r="S40" s="69">
        <f t="shared" ref="S40" si="181">$L$24*J$28</f>
        <v>0</v>
      </c>
      <c r="T40" s="69">
        <f t="shared" ref="T40" si="182">$L$24*K$28</f>
        <v>0</v>
      </c>
      <c r="U40" s="69">
        <f t="shared" ref="U40" si="183">$L$24*L$28</f>
        <v>0</v>
      </c>
      <c r="V40" s="69">
        <f t="shared" ref="V40" si="184">$L$24*M$28</f>
        <v>0</v>
      </c>
      <c r="W40" s="69">
        <f t="shared" ref="W40" si="185">$L$24*N$28</f>
        <v>0</v>
      </c>
      <c r="X40" s="69">
        <f t="shared" ref="X40" si="186">$L$24*O$28</f>
        <v>0</v>
      </c>
      <c r="Y40" s="69">
        <f t="shared" ref="Y40" si="187">$L$24*P$28</f>
        <v>0</v>
      </c>
      <c r="Z40" s="69">
        <f t="shared" ref="Z40" si="188">$L$24*Q$28</f>
        <v>0</v>
      </c>
      <c r="AA40" s="69">
        <f t="shared" ref="AA40" si="189">$L$24*R$28</f>
        <v>0</v>
      </c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81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69">
        <f>$M$24*C$28</f>
        <v>0</v>
      </c>
      <c r="N41" s="69">
        <f>$M$24*D$28</f>
        <v>0</v>
      </c>
      <c r="O41" s="69">
        <f t="shared" ref="O41:AA41" si="190">$M$24*E$28</f>
        <v>0</v>
      </c>
      <c r="P41" s="69">
        <f t="shared" si="190"/>
        <v>0</v>
      </c>
      <c r="Q41" s="69">
        <f t="shared" si="190"/>
        <v>0</v>
      </c>
      <c r="R41" s="69">
        <f t="shared" si="190"/>
        <v>0</v>
      </c>
      <c r="S41" s="69">
        <f t="shared" si="190"/>
        <v>0</v>
      </c>
      <c r="T41" s="69">
        <f t="shared" si="190"/>
        <v>0</v>
      </c>
      <c r="U41" s="69">
        <f t="shared" si="190"/>
        <v>0</v>
      </c>
      <c r="V41" s="69">
        <f t="shared" si="190"/>
        <v>0</v>
      </c>
      <c r="W41" s="69">
        <f t="shared" si="190"/>
        <v>0</v>
      </c>
      <c r="X41" s="69">
        <f t="shared" si="190"/>
        <v>0</v>
      </c>
      <c r="Y41" s="69">
        <f t="shared" si="190"/>
        <v>0</v>
      </c>
      <c r="Z41" s="69">
        <f t="shared" si="190"/>
        <v>0</v>
      </c>
      <c r="AA41" s="69">
        <f t="shared" si="190"/>
        <v>0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82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69">
        <f>$N$24*C$28</f>
        <v>187.5</v>
      </c>
      <c r="O42" s="69">
        <f t="shared" ref="O42:Z42" si="191">$N$24*D$28</f>
        <v>360.95000000000005</v>
      </c>
      <c r="P42" s="69">
        <f t="shared" si="191"/>
        <v>333.84999999999997</v>
      </c>
      <c r="Q42" s="69">
        <f t="shared" si="191"/>
        <v>308.84999999999997</v>
      </c>
      <c r="R42" s="69">
        <f t="shared" si="191"/>
        <v>285.64999999999998</v>
      </c>
      <c r="S42" s="69">
        <f t="shared" si="191"/>
        <v>264.25</v>
      </c>
      <c r="T42" s="69">
        <f t="shared" si="191"/>
        <v>244.4</v>
      </c>
      <c r="U42" s="69">
        <f t="shared" si="191"/>
        <v>226.10000000000002</v>
      </c>
      <c r="V42" s="69">
        <f t="shared" si="191"/>
        <v>223.1</v>
      </c>
      <c r="W42" s="69">
        <f t="shared" si="191"/>
        <v>223.04999999999998</v>
      </c>
      <c r="X42" s="69">
        <f t="shared" si="191"/>
        <v>223.1</v>
      </c>
      <c r="Y42" s="69">
        <f t="shared" si="191"/>
        <v>223.04999999999998</v>
      </c>
      <c r="Z42" s="69">
        <f t="shared" si="191"/>
        <v>223.1</v>
      </c>
      <c r="AA42" s="69">
        <f>$N$24*P$28</f>
        <v>223.04999999999998</v>
      </c>
      <c r="AB42" s="74"/>
      <c r="AC42" s="74"/>
      <c r="AD42" s="74"/>
      <c r="AE42" s="74"/>
      <c r="AF42" s="74"/>
      <c r="AG42" s="74"/>
      <c r="AH42" s="74"/>
      <c r="AI42" s="74"/>
      <c r="AJ42" s="74"/>
      <c r="AK42" s="69"/>
    </row>
    <row r="43" spans="1:37" s="50" customFormat="1">
      <c r="A43" s="74" t="s">
        <v>83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69">
        <f>$O$24*C$28</f>
        <v>0</v>
      </c>
      <c r="P43" s="69">
        <f t="shared" ref="P43:AA43" si="192">$O$24*D$28</f>
        <v>0</v>
      </c>
      <c r="Q43" s="69">
        <f t="shared" si="192"/>
        <v>0</v>
      </c>
      <c r="R43" s="69">
        <f t="shared" si="192"/>
        <v>0</v>
      </c>
      <c r="S43" s="69">
        <f t="shared" si="192"/>
        <v>0</v>
      </c>
      <c r="T43" s="69">
        <f t="shared" si="192"/>
        <v>0</v>
      </c>
      <c r="U43" s="69">
        <f t="shared" si="192"/>
        <v>0</v>
      </c>
      <c r="V43" s="69">
        <f t="shared" si="192"/>
        <v>0</v>
      </c>
      <c r="W43" s="69">
        <f t="shared" si="192"/>
        <v>0</v>
      </c>
      <c r="X43" s="69">
        <f t="shared" si="192"/>
        <v>0</v>
      </c>
      <c r="Y43" s="69">
        <f t="shared" si="192"/>
        <v>0</v>
      </c>
      <c r="Z43" s="69">
        <f t="shared" si="192"/>
        <v>0</v>
      </c>
      <c r="AA43" s="69">
        <f t="shared" si="192"/>
        <v>0</v>
      </c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84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69">
        <f>$P$24*C$28</f>
        <v>0</v>
      </c>
      <c r="Q44" s="69">
        <f t="shared" ref="Q44:AA44" si="193">$P$24*D$28</f>
        <v>0</v>
      </c>
      <c r="R44" s="69">
        <f t="shared" si="193"/>
        <v>0</v>
      </c>
      <c r="S44" s="69">
        <f t="shared" si="193"/>
        <v>0</v>
      </c>
      <c r="T44" s="69">
        <f t="shared" si="193"/>
        <v>0</v>
      </c>
      <c r="U44" s="69">
        <f t="shared" si="193"/>
        <v>0</v>
      </c>
      <c r="V44" s="69">
        <f t="shared" si="193"/>
        <v>0</v>
      </c>
      <c r="W44" s="69">
        <f t="shared" si="193"/>
        <v>0</v>
      </c>
      <c r="X44" s="69">
        <f t="shared" si="193"/>
        <v>0</v>
      </c>
      <c r="Y44" s="69">
        <f t="shared" si="193"/>
        <v>0</v>
      </c>
      <c r="Z44" s="69">
        <f t="shared" si="193"/>
        <v>0</v>
      </c>
      <c r="AA44" s="69">
        <f t="shared" si="193"/>
        <v>0</v>
      </c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85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69">
        <f>$Q$24*C$28</f>
        <v>0</v>
      </c>
      <c r="R45" s="69">
        <f t="shared" ref="R45:AA45" si="194">$Q$24*D$28</f>
        <v>0</v>
      </c>
      <c r="S45" s="69">
        <f t="shared" si="194"/>
        <v>0</v>
      </c>
      <c r="T45" s="69">
        <f t="shared" si="194"/>
        <v>0</v>
      </c>
      <c r="U45" s="69">
        <f t="shared" si="194"/>
        <v>0</v>
      </c>
      <c r="V45" s="69">
        <f t="shared" si="194"/>
        <v>0</v>
      </c>
      <c r="W45" s="69">
        <f t="shared" si="194"/>
        <v>0</v>
      </c>
      <c r="X45" s="69">
        <f t="shared" si="194"/>
        <v>0</v>
      </c>
      <c r="Y45" s="69">
        <f t="shared" si="194"/>
        <v>0</v>
      </c>
      <c r="Z45" s="69">
        <f t="shared" si="194"/>
        <v>0</v>
      </c>
      <c r="AA45" s="69">
        <f t="shared" si="194"/>
        <v>0</v>
      </c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86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69">
        <f>$R$24*C$28</f>
        <v>0</v>
      </c>
      <c r="S46" s="69">
        <f t="shared" ref="S46:AA46" si="195">$R$24*D$28</f>
        <v>0</v>
      </c>
      <c r="T46" s="69">
        <f t="shared" si="195"/>
        <v>0</v>
      </c>
      <c r="U46" s="69">
        <f t="shared" si="195"/>
        <v>0</v>
      </c>
      <c r="V46" s="69">
        <f t="shared" si="195"/>
        <v>0</v>
      </c>
      <c r="W46" s="69">
        <f t="shared" si="195"/>
        <v>0</v>
      </c>
      <c r="X46" s="69">
        <f t="shared" si="195"/>
        <v>0</v>
      </c>
      <c r="Y46" s="69">
        <f t="shared" si="195"/>
        <v>0</v>
      </c>
      <c r="Z46" s="69">
        <f t="shared" si="195"/>
        <v>0</v>
      </c>
      <c r="AA46" s="69">
        <f t="shared" si="195"/>
        <v>0</v>
      </c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87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69">
        <f>$S$24*C$28</f>
        <v>0</v>
      </c>
      <c r="T47" s="69">
        <f t="shared" ref="T47:AA47" si="196">$S$24*D$28</f>
        <v>0</v>
      </c>
      <c r="U47" s="69">
        <f t="shared" si="196"/>
        <v>0</v>
      </c>
      <c r="V47" s="69">
        <f t="shared" si="196"/>
        <v>0</v>
      </c>
      <c r="W47" s="69">
        <f t="shared" si="196"/>
        <v>0</v>
      </c>
      <c r="X47" s="69">
        <f t="shared" si="196"/>
        <v>0</v>
      </c>
      <c r="Y47" s="69">
        <f t="shared" si="196"/>
        <v>0</v>
      </c>
      <c r="Z47" s="69">
        <f t="shared" si="196"/>
        <v>0</v>
      </c>
      <c r="AA47" s="69">
        <f t="shared" si="196"/>
        <v>0</v>
      </c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88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69">
        <f>$T$24*C$28</f>
        <v>0</v>
      </c>
      <c r="U48" s="69">
        <f t="shared" ref="U48:AA48" si="197">$T$24*D$28</f>
        <v>0</v>
      </c>
      <c r="V48" s="69">
        <f t="shared" si="197"/>
        <v>0</v>
      </c>
      <c r="W48" s="69">
        <f t="shared" si="197"/>
        <v>0</v>
      </c>
      <c r="X48" s="69">
        <f t="shared" si="197"/>
        <v>0</v>
      </c>
      <c r="Y48" s="69">
        <f t="shared" si="197"/>
        <v>0</v>
      </c>
      <c r="Z48" s="69">
        <f t="shared" si="197"/>
        <v>0</v>
      </c>
      <c r="AA48" s="69">
        <f t="shared" si="197"/>
        <v>0</v>
      </c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89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69">
        <f>$U$24*C$28</f>
        <v>0</v>
      </c>
      <c r="V49" s="69">
        <f t="shared" ref="V49:AA49" si="198">$U$24*D$28</f>
        <v>0</v>
      </c>
      <c r="W49" s="69">
        <f t="shared" si="198"/>
        <v>0</v>
      </c>
      <c r="X49" s="69">
        <f t="shared" si="198"/>
        <v>0</v>
      </c>
      <c r="Y49" s="69">
        <f t="shared" si="198"/>
        <v>0</v>
      </c>
      <c r="Z49" s="69">
        <f t="shared" si="198"/>
        <v>0</v>
      </c>
      <c r="AA49" s="69">
        <f t="shared" si="198"/>
        <v>0</v>
      </c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90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69">
        <f>$V$24*C$28</f>
        <v>0</v>
      </c>
      <c r="W50" s="69">
        <f t="shared" ref="W50:AA50" si="199">$V$24*D$28</f>
        <v>0</v>
      </c>
      <c r="X50" s="69">
        <f t="shared" si="199"/>
        <v>0</v>
      </c>
      <c r="Y50" s="69">
        <f t="shared" si="199"/>
        <v>0</v>
      </c>
      <c r="Z50" s="69">
        <f t="shared" si="199"/>
        <v>0</v>
      </c>
      <c r="AA50" s="69">
        <f t="shared" si="199"/>
        <v>0</v>
      </c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91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69">
        <f>$W$24*C$28</f>
        <v>0</v>
      </c>
      <c r="X51" s="69">
        <f t="shared" ref="X51:AA51" si="200">$W$24*D$28</f>
        <v>0</v>
      </c>
      <c r="Y51" s="69">
        <f t="shared" si="200"/>
        <v>0</v>
      </c>
      <c r="Z51" s="69">
        <f t="shared" si="200"/>
        <v>0</v>
      </c>
      <c r="AA51" s="69">
        <f t="shared" si="200"/>
        <v>0</v>
      </c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92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69">
        <f>$X$24*C$28</f>
        <v>0</v>
      </c>
      <c r="Y52" s="69">
        <f t="shared" ref="Y52:AA52" si="201">$X$24*D$28</f>
        <v>0</v>
      </c>
      <c r="Z52" s="69">
        <f t="shared" si="201"/>
        <v>0</v>
      </c>
      <c r="AA52" s="69">
        <f t="shared" si="201"/>
        <v>0</v>
      </c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93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69">
        <f>$Y$24*C$28</f>
        <v>0</v>
      </c>
      <c r="Z53" s="69">
        <f>$Y$24*D$28</f>
        <v>0</v>
      </c>
      <c r="AA53" s="69">
        <f t="shared" ref="AA53" si="202">$Y$24*E$28</f>
        <v>0</v>
      </c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94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69">
        <f>$Z$24*C$28</f>
        <v>0</v>
      </c>
      <c r="AA54" s="69">
        <f>$Z$24*D$28</f>
        <v>0</v>
      </c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95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69">
        <f>$AA$24*C$28</f>
        <v>0</v>
      </c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96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97</v>
      </c>
      <c r="B57" s="74"/>
      <c r="C57" s="67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 t="s">
        <v>98</v>
      </c>
      <c r="B58" s="74"/>
      <c r="C58" s="67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74" t="s">
        <v>99</v>
      </c>
      <c r="B59" s="74"/>
      <c r="C59" s="67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69"/>
    </row>
    <row r="60" spans="1:37" s="50" customFormat="1">
      <c r="A60" s="74" t="s">
        <v>100</v>
      </c>
      <c r="B60" s="67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69"/>
    </row>
    <row r="61" spans="1:37" s="50" customFormat="1">
      <c r="A61" s="74"/>
      <c r="B61" s="67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69"/>
    </row>
    <row r="62" spans="1:37" s="50" customFormat="1">
      <c r="A62" s="67" t="s">
        <v>9</v>
      </c>
      <c r="B62" s="69"/>
      <c r="C62" s="69">
        <f>SUM(C29:C60)</f>
        <v>-44017.387499999997</v>
      </c>
      <c r="D62" s="69">
        <f t="shared" ref="D62:AA62" si="203">SUM(D29:D60)</f>
        <v>13441.994570000001</v>
      </c>
      <c r="E62" s="69">
        <f t="shared" si="203"/>
        <v>12432.774310000001</v>
      </c>
      <c r="F62" s="69">
        <f t="shared" si="203"/>
        <v>11501.759309999999</v>
      </c>
      <c r="G62" s="69">
        <f t="shared" si="203"/>
        <v>10637.777389999999</v>
      </c>
      <c r="H62" s="69">
        <f t="shared" si="203"/>
        <v>9840.8285500000002</v>
      </c>
      <c r="I62" s="69">
        <f t="shared" si="203"/>
        <v>9101.602640000001</v>
      </c>
      <c r="J62" s="69">
        <f t="shared" si="203"/>
        <v>8420.0996599999999</v>
      </c>
      <c r="K62" s="69">
        <f t="shared" si="203"/>
        <v>8308.3778600000005</v>
      </c>
      <c r="L62" s="69">
        <f t="shared" si="203"/>
        <v>8306.5158300000003</v>
      </c>
      <c r="M62" s="69">
        <f t="shared" si="203"/>
        <v>8308.3778600000005</v>
      </c>
      <c r="N62" s="69">
        <f t="shared" si="203"/>
        <v>8494.0158300000003</v>
      </c>
      <c r="O62" s="69">
        <f t="shared" si="203"/>
        <v>8669.3278600000012</v>
      </c>
      <c r="P62" s="69">
        <f t="shared" si="203"/>
        <v>8640.3658300000006</v>
      </c>
      <c r="Q62" s="69">
        <f t="shared" si="203"/>
        <v>8617.2278600000009</v>
      </c>
      <c r="R62" s="69">
        <f t="shared" si="203"/>
        <v>8592.1658299999999</v>
      </c>
      <c r="S62" s="69">
        <f t="shared" si="203"/>
        <v>8572.6278600000005</v>
      </c>
      <c r="T62" s="69">
        <f t="shared" si="203"/>
        <v>8550.9158299999999</v>
      </c>
      <c r="U62" s="69">
        <f t="shared" si="203"/>
        <v>8534.4778600000009</v>
      </c>
      <c r="V62" s="69">
        <f t="shared" si="203"/>
        <v>8529.6158300000006</v>
      </c>
      <c r="W62" s="69">
        <f t="shared" si="203"/>
        <v>4377.2389300000004</v>
      </c>
      <c r="X62" s="69">
        <f t="shared" si="203"/>
        <v>223.1</v>
      </c>
      <c r="Y62" s="69">
        <f t="shared" si="203"/>
        <v>223.04999999999998</v>
      </c>
      <c r="Z62" s="69">
        <f t="shared" si="203"/>
        <v>223.1</v>
      </c>
      <c r="AA62" s="69">
        <f t="shared" si="203"/>
        <v>223.04999999999998</v>
      </c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>
      <c r="A63" s="67" t="s">
        <v>12</v>
      </c>
      <c r="B63" s="78"/>
      <c r="C63" s="78">
        <f>C62</f>
        <v>-44017.387499999997</v>
      </c>
      <c r="D63" s="69">
        <f t="shared" ref="D63:N63" si="204">D62+C63</f>
        <v>-30575.392929999995</v>
      </c>
      <c r="E63" s="69">
        <f t="shared" si="204"/>
        <v>-18142.618619999994</v>
      </c>
      <c r="F63" s="69">
        <f t="shared" si="204"/>
        <v>-6640.8593099999944</v>
      </c>
      <c r="G63" s="69">
        <f t="shared" si="204"/>
        <v>3996.9180800000049</v>
      </c>
      <c r="H63" s="69">
        <f t="shared" si="204"/>
        <v>13837.746630000005</v>
      </c>
      <c r="I63" s="69">
        <f t="shared" si="204"/>
        <v>22939.349270000006</v>
      </c>
      <c r="J63" s="69">
        <f t="shared" si="204"/>
        <v>31359.448930000006</v>
      </c>
      <c r="K63" s="69">
        <f t="shared" si="204"/>
        <v>39667.826790000006</v>
      </c>
      <c r="L63" s="69">
        <f t="shared" si="204"/>
        <v>47974.34262000001</v>
      </c>
      <c r="M63" s="69">
        <f t="shared" si="204"/>
        <v>56282.720480000011</v>
      </c>
      <c r="N63" s="69">
        <f t="shared" si="204"/>
        <v>64776.736310000008</v>
      </c>
      <c r="O63" s="69">
        <f t="shared" ref="O63" si="205">O62+N63</f>
        <v>73446.064170000012</v>
      </c>
      <c r="P63" s="69">
        <f t="shared" ref="P63" si="206">P62+O63</f>
        <v>82086.430000000008</v>
      </c>
      <c r="Q63" s="69">
        <f t="shared" ref="Q63" si="207">Q62+P63</f>
        <v>90703.657860000007</v>
      </c>
      <c r="R63" s="69">
        <f t="shared" ref="R63" si="208">R62+Q63</f>
        <v>99295.823690000005</v>
      </c>
      <c r="S63" s="69">
        <f t="shared" ref="S63" si="209">S62+R63</f>
        <v>107868.45155</v>
      </c>
      <c r="T63" s="69">
        <f t="shared" ref="T63" si="210">T62+S63</f>
        <v>116419.36738</v>
      </c>
      <c r="U63" s="69">
        <f t="shared" ref="U63" si="211">U62+T63</f>
        <v>124953.84524</v>
      </c>
      <c r="V63" s="69">
        <f t="shared" ref="V63" si="212">V62+U63</f>
        <v>133483.46106999999</v>
      </c>
      <c r="W63" s="69">
        <f t="shared" ref="W63" si="213">W62+V63</f>
        <v>137860.69999999998</v>
      </c>
      <c r="X63" s="69">
        <f t="shared" ref="X63" si="214">X62+W63</f>
        <v>138083.79999999999</v>
      </c>
      <c r="Y63" s="69">
        <f t="shared" ref="Y63" si="215">Y62+X63</f>
        <v>138306.84999999998</v>
      </c>
      <c r="Z63" s="69">
        <f t="shared" ref="Z63" si="216">Z62+Y63</f>
        <v>138529.94999999998</v>
      </c>
      <c r="AA63" s="69">
        <f t="shared" ref="AA63" si="217">AA62+Z63</f>
        <v>138752.99999999997</v>
      </c>
      <c r="AB63" s="69"/>
      <c r="AC63" s="69"/>
      <c r="AD63" s="69"/>
      <c r="AE63" s="69"/>
      <c r="AF63" s="69"/>
      <c r="AG63" s="69"/>
      <c r="AH63" s="69"/>
      <c r="AI63" s="69"/>
      <c r="AJ63" s="69"/>
      <c r="AK63" s="69"/>
    </row>
    <row r="64" spans="1:37" s="50" customFormat="1">
      <c r="A64" s="67"/>
      <c r="B64" s="67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</row>
    <row r="65" spans="1:37" s="50" customFormat="1" ht="13">
      <c r="A65" s="18" t="s">
        <v>8</v>
      </c>
      <c r="B65" s="67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 ht="12" customHeight="1">
      <c r="A66" s="67" t="s">
        <v>151</v>
      </c>
      <c r="B66" s="79"/>
      <c r="C66" s="79">
        <f>+(C62-C19)*Input!$B$35</f>
        <v>-11609.703874999999</v>
      </c>
      <c r="D66" s="79">
        <f>+(D62-D19)*Input!$B$35</f>
        <v>456.76635970000029</v>
      </c>
      <c r="E66" s="79">
        <f>+(E62-E19)*Input!$B$35</f>
        <v>244.83010510000025</v>
      </c>
      <c r="F66" s="79">
        <f>+(F62-F19)*Input!$B$35</f>
        <v>49.316955100000015</v>
      </c>
      <c r="G66" s="79">
        <f>+(G62-G19)*Input!$B$35</f>
        <v>-132.11924810000002</v>
      </c>
      <c r="H66" s="79">
        <f>+(H62-H19)*Input!$B$35</f>
        <v>-299.47850449999981</v>
      </c>
      <c r="I66" s="79">
        <f>+(I62-I19)*Input!$B$35</f>
        <v>-454.71594559999966</v>
      </c>
      <c r="J66" s="79">
        <f>+(J62-J19)*Input!$B$35</f>
        <v>-597.83157139999992</v>
      </c>
      <c r="K66" s="79">
        <f>+(K62-K19)*Input!$B$35</f>
        <v>-621.29314939999972</v>
      </c>
      <c r="L66" s="79">
        <f>+(L62-L19)*Input!$B$35</f>
        <v>-621.68417569999974</v>
      </c>
      <c r="M66" s="79">
        <f>+(M62-M19)*Input!$B$35</f>
        <v>-621.29314939999972</v>
      </c>
      <c r="N66" s="79">
        <f>+(N62-N19)*Input!$B$35</f>
        <v>-669.80917569999963</v>
      </c>
      <c r="O66" s="79">
        <f>+(O62-O19)*Input!$B$35</f>
        <v>1820.5588506000001</v>
      </c>
      <c r="P66" s="79">
        <f>+(P62-P19)*Input!$B$35</f>
        <v>1814.4768243000001</v>
      </c>
      <c r="Q66" s="79">
        <f>+(Q62-Q19)*Input!$B$35</f>
        <v>1809.6178506000001</v>
      </c>
      <c r="R66" s="79">
        <f>+(R62-R19)*Input!$B$35</f>
        <v>1804.3548243</v>
      </c>
      <c r="S66" s="79">
        <f>+(S62-S19)*Input!$B$35</f>
        <v>1800.2518506000001</v>
      </c>
      <c r="T66" s="79">
        <f>+(T62-T19)*Input!$B$35</f>
        <v>1795.6923242999999</v>
      </c>
      <c r="U66" s="79">
        <f>+(U62-U19)*Input!$B$35</f>
        <v>1792.2403506000001</v>
      </c>
      <c r="V66" s="79">
        <f>+(V62-V19)*Input!$B$35</f>
        <v>1791.2193243000002</v>
      </c>
      <c r="W66" s="79">
        <f>+(W62-W19)*Input!$B$35</f>
        <v>919.22017530000005</v>
      </c>
      <c r="X66" s="79">
        <f>+(X62-X19)*Input!$B$35</f>
        <v>46.850999999999999</v>
      </c>
      <c r="Y66" s="79">
        <f>+(Y62-Y19)*Input!$B$35</f>
        <v>46.840499999999992</v>
      </c>
      <c r="Z66" s="79">
        <f>+(Z62-Z19)*Input!$B$35</f>
        <v>46.850999999999999</v>
      </c>
      <c r="AA66" s="79">
        <f>+(AA62-AA19)*Input!$B$35</f>
        <v>46.840499999999992</v>
      </c>
      <c r="AB66" s="79"/>
      <c r="AC66" s="79"/>
      <c r="AD66" s="79"/>
      <c r="AE66" s="79"/>
      <c r="AF66" s="79"/>
      <c r="AG66" s="79"/>
      <c r="AH66" s="79"/>
      <c r="AI66" s="79"/>
      <c r="AJ66" s="79"/>
      <c r="AK66" s="79"/>
    </row>
    <row r="67" spans="1:37" s="50" customFormat="1">
      <c r="A67" s="67" t="s">
        <v>5</v>
      </c>
      <c r="B67" s="69"/>
      <c r="C67" s="69">
        <f>C66</f>
        <v>-11609.703874999999</v>
      </c>
      <c r="D67" s="94">
        <f t="shared" ref="D67:N67" si="218">C67+D66</f>
        <v>-11152.937515299998</v>
      </c>
      <c r="E67" s="94">
        <f t="shared" si="218"/>
        <v>-10908.107410199998</v>
      </c>
      <c r="F67" s="94">
        <f t="shared" si="218"/>
        <v>-10858.790455099999</v>
      </c>
      <c r="G67" s="94">
        <f t="shared" si="218"/>
        <v>-10990.909703199999</v>
      </c>
      <c r="H67" s="94">
        <f>G67+H66</f>
        <v>-11290.388207699998</v>
      </c>
      <c r="I67" s="94">
        <f t="shared" si="218"/>
        <v>-11745.104153299997</v>
      </c>
      <c r="J67" s="94">
        <f t="shared" si="218"/>
        <v>-12342.935724699997</v>
      </c>
      <c r="K67" s="94">
        <f t="shared" si="218"/>
        <v>-12964.228874099997</v>
      </c>
      <c r="L67" s="94">
        <f t="shared" si="218"/>
        <v>-13585.913049799998</v>
      </c>
      <c r="M67" s="94">
        <f t="shared" si="218"/>
        <v>-14207.206199199998</v>
      </c>
      <c r="N67" s="69">
        <f t="shared" si="218"/>
        <v>-14877.015374899998</v>
      </c>
      <c r="O67" s="69">
        <f t="shared" ref="O67" si="219">N67+O66</f>
        <v>-13056.456524299998</v>
      </c>
      <c r="P67" s="69">
        <f t="shared" ref="P67" si="220">O67+P66</f>
        <v>-11241.979699999998</v>
      </c>
      <c r="Q67" s="69">
        <f t="shared" ref="Q67" si="221">P67+Q66</f>
        <v>-9432.3618493999984</v>
      </c>
      <c r="R67" s="69">
        <f t="shared" ref="R67" si="222">Q67+R66</f>
        <v>-7628.0070250999979</v>
      </c>
      <c r="S67" s="69">
        <f t="shared" ref="S67" si="223">R67+S66</f>
        <v>-5827.7551744999982</v>
      </c>
      <c r="T67" s="69">
        <f t="shared" ref="T67" si="224">S67+T66</f>
        <v>-4032.0628501999981</v>
      </c>
      <c r="U67" s="69">
        <f t="shared" ref="U67" si="225">T67+U66</f>
        <v>-2239.8224995999981</v>
      </c>
      <c r="V67" s="69">
        <f t="shared" ref="V67" si="226">U67+V66</f>
        <v>-448.60317529999793</v>
      </c>
      <c r="W67" s="69">
        <f t="shared" ref="W67" si="227">V67+W66</f>
        <v>470.61700000000212</v>
      </c>
      <c r="X67" s="69">
        <f t="shared" ref="X67" si="228">W67+X66</f>
        <v>517.46800000000212</v>
      </c>
      <c r="Y67" s="69">
        <f t="shared" ref="Y67" si="229">X67+Y66</f>
        <v>564.30850000000214</v>
      </c>
      <c r="Z67" s="69">
        <f t="shared" ref="Z67" si="230">Y67+Z66</f>
        <v>611.15950000000214</v>
      </c>
      <c r="AA67" s="69">
        <f t="shared" ref="AA67" si="231">Z67+AA66</f>
        <v>658.00000000000216</v>
      </c>
      <c r="AB67" s="94"/>
      <c r="AC67" s="94"/>
      <c r="AD67" s="94"/>
      <c r="AE67" s="94"/>
      <c r="AF67" s="94"/>
      <c r="AG67" s="94"/>
      <c r="AH67" s="94"/>
      <c r="AI67" s="94"/>
      <c r="AJ67" s="94"/>
      <c r="AK67" s="94"/>
    </row>
    <row r="68" spans="1:37" s="50" customFormat="1">
      <c r="A68" s="67" t="s">
        <v>152</v>
      </c>
      <c r="B68" s="69"/>
      <c r="C68" s="69">
        <f>+(C62-C19)*Input!$B$34</f>
        <v>-2769.5777858375</v>
      </c>
      <c r="D68" s="69">
        <f>+(D62-D19)*Input!$B$34</f>
        <v>108.96487772329007</v>
      </c>
      <c r="E68" s="69">
        <f>+(E62-E19)*Input!$B$34</f>
        <v>58.405970358070071</v>
      </c>
      <c r="F68" s="69">
        <f>+(F62-F19)*Input!$B$34</f>
        <v>11.764911903070004</v>
      </c>
      <c r="G68" s="69">
        <f>+(G62-G19)*Input!$B$34</f>
        <v>-31.517990343170005</v>
      </c>
      <c r="H68" s="69">
        <f>+(H62-H19)*Input!$B$34</f>
        <v>-71.442736380649961</v>
      </c>
      <c r="I68" s="69">
        <f>+(I62-I19)*Input!$B$34</f>
        <v>-108.47573679391992</v>
      </c>
      <c r="J68" s="69">
        <f>+(J62-J19)*Input!$B$34</f>
        <v>-142.61699158297998</v>
      </c>
      <c r="K68" s="69">
        <f>+(K62-K19)*Input!$B$34</f>
        <v>-148.21391859757995</v>
      </c>
      <c r="L68" s="69">
        <f>+(L62-L19)*Input!$B$34</f>
        <v>-148.30720071448997</v>
      </c>
      <c r="M68" s="69">
        <f>+(M62-M19)*Input!$B$34</f>
        <v>-148.21391859757995</v>
      </c>
      <c r="N68" s="69">
        <f>+(N62-N19)*Input!$B$34</f>
        <v>-159.78776321448993</v>
      </c>
      <c r="O68" s="69">
        <f>+(O62-O19)*Input!$B$34</f>
        <v>434.30731780242007</v>
      </c>
      <c r="P68" s="69">
        <f>+(P62-P19)*Input!$B$34</f>
        <v>432.85640698551003</v>
      </c>
      <c r="Q68" s="69">
        <f>+(Q62-Q19)*Input!$B$34</f>
        <v>431.69726410242009</v>
      </c>
      <c r="R68" s="69">
        <f>+(R62-R19)*Input!$B$34</f>
        <v>430.44173158551001</v>
      </c>
      <c r="S68" s="69">
        <f>+(S62-S19)*Input!$B$34</f>
        <v>429.46293790242004</v>
      </c>
      <c r="T68" s="69">
        <f>+(T62-T19)*Input!$B$34</f>
        <v>428.37523033551003</v>
      </c>
      <c r="U68" s="69">
        <f>+(U62-U19)*Input!$B$34</f>
        <v>427.55173735242005</v>
      </c>
      <c r="V68" s="69">
        <f>+(V62-V19)*Input!$B$34</f>
        <v>427.30816423551005</v>
      </c>
      <c r="W68" s="69">
        <f>+(W62-W19)*Input!$B$34</f>
        <v>219.28653867621003</v>
      </c>
      <c r="X68" s="69">
        <f>+(X62-X19)*Input!$B$34</f>
        <v>11.1766407</v>
      </c>
      <c r="Y68" s="69">
        <f>+(Y62-Y19)*Input!$B$34</f>
        <v>11.174135849999999</v>
      </c>
      <c r="Z68" s="69">
        <f>+(Z62-Z19)*Input!$B$34</f>
        <v>11.1766407</v>
      </c>
      <c r="AA68" s="69">
        <f>+(AA62-AA19)*Input!$B$34</f>
        <v>11.174135849999999</v>
      </c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 s="50" customFormat="1">
      <c r="A69" s="67" t="s">
        <v>153</v>
      </c>
      <c r="B69" s="69"/>
      <c r="C69" s="69">
        <f>C68</f>
        <v>-2769.5777858375</v>
      </c>
      <c r="D69" s="69">
        <f>+C69+D68</f>
        <v>-2660.6129081142099</v>
      </c>
      <c r="E69" s="69">
        <f t="shared" ref="E69:N69" si="232">D69+E68</f>
        <v>-2602.2069377561397</v>
      </c>
      <c r="F69" s="69">
        <f t="shared" si="232"/>
        <v>-2590.4420258530699</v>
      </c>
      <c r="G69" s="69">
        <f t="shared" si="232"/>
        <v>-2621.9600161962398</v>
      </c>
      <c r="H69" s="69">
        <f t="shared" si="232"/>
        <v>-2693.4027525768897</v>
      </c>
      <c r="I69" s="69">
        <f t="shared" si="232"/>
        <v>-2801.8784893708098</v>
      </c>
      <c r="J69" s="69">
        <f t="shared" si="232"/>
        <v>-2944.4954809537899</v>
      </c>
      <c r="K69" s="69">
        <f t="shared" si="232"/>
        <v>-3092.7093995513696</v>
      </c>
      <c r="L69" s="69">
        <f t="shared" si="232"/>
        <v>-3241.0166002658598</v>
      </c>
      <c r="M69" s="69">
        <f t="shared" si="232"/>
        <v>-3389.2305188634396</v>
      </c>
      <c r="N69" s="69">
        <f t="shared" si="232"/>
        <v>-3549.0182820779296</v>
      </c>
      <c r="O69" s="69">
        <f t="shared" ref="O69" si="233">N69+O68</f>
        <v>-3114.7109642755095</v>
      </c>
      <c r="P69" s="69">
        <f t="shared" ref="P69" si="234">O69+P68</f>
        <v>-2681.8545572899993</v>
      </c>
      <c r="Q69" s="69">
        <f t="shared" ref="Q69" si="235">P69+Q68</f>
        <v>-2250.1572931875794</v>
      </c>
      <c r="R69" s="69">
        <f t="shared" ref="R69" si="236">Q69+R68</f>
        <v>-1819.7155616020693</v>
      </c>
      <c r="S69" s="69">
        <f t="shared" ref="S69" si="237">R69+S68</f>
        <v>-1390.2526236996493</v>
      </c>
      <c r="T69" s="69">
        <f t="shared" ref="T69" si="238">S69+T68</f>
        <v>-961.87739336413938</v>
      </c>
      <c r="U69" s="69">
        <f t="shared" ref="U69" si="239">T69+U68</f>
        <v>-534.32565601171927</v>
      </c>
      <c r="V69" s="69">
        <f t="shared" ref="V69" si="240">U69+V68</f>
        <v>-107.01749177620923</v>
      </c>
      <c r="W69" s="69">
        <f t="shared" ref="W69" si="241">V69+W68</f>
        <v>112.2690469000008</v>
      </c>
      <c r="X69" s="69">
        <f t="shared" ref="X69" si="242">W69+X68</f>
        <v>123.44568760000081</v>
      </c>
      <c r="Y69" s="69">
        <f t="shared" ref="Y69" si="243">X69+Y68</f>
        <v>134.61982345000081</v>
      </c>
      <c r="Z69" s="69">
        <f t="shared" ref="Z69" si="244">Y69+Z68</f>
        <v>145.79646415000082</v>
      </c>
      <c r="AA69" s="69">
        <f t="shared" ref="AA69" si="245">Z69+AA68</f>
        <v>156.97060000000081</v>
      </c>
      <c r="AB69" s="69"/>
      <c r="AC69" s="69"/>
      <c r="AD69" s="69"/>
      <c r="AE69" s="69"/>
      <c r="AF69" s="69"/>
      <c r="AG69" s="69"/>
      <c r="AH69" s="69"/>
      <c r="AI69" s="69"/>
      <c r="AJ69" s="69"/>
      <c r="AK69" s="69"/>
    </row>
    <row r="70" spans="1:37" s="50" customFormat="1">
      <c r="A70" s="67" t="s">
        <v>154</v>
      </c>
      <c r="B70" s="69"/>
      <c r="C70" s="69">
        <f>-C68*Input!$B$35</f>
        <v>581.61133502587495</v>
      </c>
      <c r="D70" s="94">
        <f>-D68*Input!$B$35</f>
        <v>-22.882624321890916</v>
      </c>
      <c r="E70" s="69">
        <f>-E68*Input!$B$35</f>
        <v>-12.265253775194715</v>
      </c>
      <c r="F70" s="69">
        <f>-F68*Input!$B$35</f>
        <v>-2.4706314996447007</v>
      </c>
      <c r="G70" s="69">
        <f>-G68*Input!$B$35</f>
        <v>6.6187779720657005</v>
      </c>
      <c r="H70" s="69">
        <f>-H68*Input!$B$35</f>
        <v>15.002974639936491</v>
      </c>
      <c r="I70" s="69">
        <f>-I68*Input!$B$35</f>
        <v>22.779904726723181</v>
      </c>
      <c r="J70" s="69">
        <f>-J68*Input!$B$35</f>
        <v>29.949568232425793</v>
      </c>
      <c r="K70" s="69">
        <f>-K68*Input!$B$35</f>
        <v>31.124922905491786</v>
      </c>
      <c r="L70" s="69">
        <f>-L68*Input!$B$35</f>
        <v>31.144512150042893</v>
      </c>
      <c r="M70" s="69">
        <f>-M68*Input!$B$35</f>
        <v>31.124922905491786</v>
      </c>
      <c r="N70" s="69">
        <f>-N68*Input!$B$35</f>
        <v>33.55543027504288</v>
      </c>
      <c r="O70" s="69">
        <f>-O68*Input!$B$35</f>
        <v>-91.20453673850821</v>
      </c>
      <c r="P70" s="69">
        <f>-P68*Input!$B$35</f>
        <v>-90.899845466957103</v>
      </c>
      <c r="Q70" s="69">
        <f>-Q68*Input!$B$35</f>
        <v>-90.656425461508221</v>
      </c>
      <c r="R70" s="69">
        <f>-R68*Input!$B$35</f>
        <v>-90.392763632957099</v>
      </c>
      <c r="S70" s="69">
        <f>-S68*Input!$B$35</f>
        <v>-90.187216959508206</v>
      </c>
      <c r="T70" s="69">
        <f>-T68*Input!$B$35</f>
        <v>-89.958798370457103</v>
      </c>
      <c r="U70" s="69">
        <f>-U68*Input!$B$35</f>
        <v>-89.785864844008202</v>
      </c>
      <c r="V70" s="69">
        <f>-V68*Input!$B$35</f>
        <v>-89.734714489457104</v>
      </c>
      <c r="W70" s="69">
        <f>-W68*Input!$B$35</f>
        <v>-46.050173122004104</v>
      </c>
      <c r="X70" s="69">
        <f>-X68*Input!$B$35</f>
        <v>-2.3470945469999998</v>
      </c>
      <c r="Y70" s="69">
        <f>-Y68*Input!$B$35</f>
        <v>-2.3465685284999998</v>
      </c>
      <c r="Z70" s="69">
        <f>-Z68*Input!$B$35</f>
        <v>-2.3470945469999998</v>
      </c>
      <c r="AA70" s="69">
        <f>-AA68*Input!$B$35</f>
        <v>-2.3465685284999998</v>
      </c>
      <c r="AB70" s="69"/>
      <c r="AC70" s="69"/>
      <c r="AD70" s="69"/>
      <c r="AE70" s="69"/>
      <c r="AF70" s="69"/>
      <c r="AG70" s="69"/>
      <c r="AH70" s="69"/>
      <c r="AI70" s="69"/>
      <c r="AJ70" s="69"/>
      <c r="AK70" s="69"/>
    </row>
    <row r="71" spans="1:37" s="50" customFormat="1">
      <c r="A71" s="67" t="s">
        <v>155</v>
      </c>
      <c r="B71" s="69"/>
      <c r="C71" s="69">
        <f>C70</f>
        <v>581.61133502587495</v>
      </c>
      <c r="D71" s="69">
        <f>+C71+D70</f>
        <v>558.72871070398401</v>
      </c>
      <c r="E71" s="69">
        <f t="shared" ref="E71:N71" si="246">D71+E70</f>
        <v>546.46345692878924</v>
      </c>
      <c r="F71" s="69">
        <f t="shared" si="246"/>
        <v>543.99282542914455</v>
      </c>
      <c r="G71" s="69">
        <f t="shared" si="246"/>
        <v>550.61160340121023</v>
      </c>
      <c r="H71" s="69">
        <f t="shared" si="246"/>
        <v>565.61457804114673</v>
      </c>
      <c r="I71" s="69">
        <f t="shared" si="246"/>
        <v>588.39448276786993</v>
      </c>
      <c r="J71" s="69">
        <f t="shared" si="246"/>
        <v>618.34405100029574</v>
      </c>
      <c r="K71" s="69">
        <f t="shared" si="246"/>
        <v>649.46897390578749</v>
      </c>
      <c r="L71" s="69">
        <f t="shared" si="246"/>
        <v>680.61348605583044</v>
      </c>
      <c r="M71" s="69">
        <f t="shared" si="246"/>
        <v>711.73840896132219</v>
      </c>
      <c r="N71" s="69">
        <f t="shared" si="246"/>
        <v>745.2938392363651</v>
      </c>
      <c r="O71" s="69">
        <f t="shared" ref="O71" si="247">N71+O70</f>
        <v>654.08930249785692</v>
      </c>
      <c r="P71" s="69">
        <f t="shared" ref="P71" si="248">O71+P70</f>
        <v>563.1894570308998</v>
      </c>
      <c r="Q71" s="69">
        <f t="shared" ref="Q71" si="249">P71+Q70</f>
        <v>472.5330315693916</v>
      </c>
      <c r="R71" s="69">
        <f t="shared" ref="R71" si="250">Q71+R70</f>
        <v>382.1402679364345</v>
      </c>
      <c r="S71" s="69">
        <f t="shared" ref="S71" si="251">R71+S70</f>
        <v>291.95305097692631</v>
      </c>
      <c r="T71" s="69">
        <f t="shared" ref="T71" si="252">S71+T70</f>
        <v>201.99425260646922</v>
      </c>
      <c r="U71" s="69">
        <f t="shared" ref="U71" si="253">T71+U70</f>
        <v>112.20838776246102</v>
      </c>
      <c r="V71" s="69">
        <f t="shared" ref="V71" si="254">U71+V70</f>
        <v>22.473673273003911</v>
      </c>
      <c r="W71" s="69">
        <f t="shared" ref="W71" si="255">V71+W70</f>
        <v>-23.576499849000193</v>
      </c>
      <c r="X71" s="69">
        <f t="shared" ref="X71" si="256">W71+X70</f>
        <v>-25.923594396000194</v>
      </c>
      <c r="Y71" s="69">
        <f t="shared" ref="Y71" si="257">X71+Y70</f>
        <v>-28.270162924500195</v>
      </c>
      <c r="Z71" s="69">
        <f t="shared" ref="Z71" si="258">Y71+Z70</f>
        <v>-30.617257471500196</v>
      </c>
      <c r="AA71" s="69">
        <f t="shared" ref="AA71" si="259">Z71+AA70</f>
        <v>-32.963826000000196</v>
      </c>
      <c r="AB71" s="69"/>
      <c r="AC71" s="69"/>
      <c r="AD71" s="69"/>
      <c r="AE71" s="69"/>
      <c r="AF71" s="69"/>
      <c r="AG71" s="69"/>
      <c r="AH71" s="69"/>
      <c r="AI71" s="69"/>
      <c r="AJ71" s="69"/>
      <c r="AK71" s="69"/>
    </row>
    <row r="72" spans="1:37">
      <c r="A72" s="60"/>
      <c r="B72" s="60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</row>
    <row r="73" spans="1:37">
      <c r="C73" s="80"/>
    </row>
  </sheetData>
  <mergeCells count="1">
    <mergeCell ref="A1:M1"/>
  </mergeCells>
  <phoneticPr fontId="19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Exhibit NMC-R8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AK64"/>
  <sheetViews>
    <sheetView zoomScaleNormal="100" zoomScaleSheetLayoutView="50" workbookViewId="0">
      <selection activeCell="C10" sqref="C10"/>
    </sheetView>
  </sheetViews>
  <sheetFormatPr defaultColWidth="9.1796875" defaultRowHeight="12.5"/>
  <cols>
    <col min="1" max="1" width="42.54296875" style="1" bestFit="1" customWidth="1"/>
    <col min="2" max="2" width="18.453125" style="1" bestFit="1" customWidth="1"/>
    <col min="3" max="3" width="15.81640625" style="1" bestFit="1" customWidth="1"/>
    <col min="4" max="4" width="16.81640625" style="1" bestFit="1" customWidth="1"/>
    <col min="5" max="15" width="14.54296875" style="1" customWidth="1"/>
    <col min="16" max="37" width="13.26953125" style="1" customWidth="1"/>
    <col min="38" max="16384" width="9.1796875" style="1"/>
  </cols>
  <sheetData>
    <row r="1" spans="1:37" ht="14">
      <c r="A1" s="218" t="s">
        <v>264</v>
      </c>
      <c r="B1" s="218"/>
      <c r="C1" s="218"/>
      <c r="D1" s="218"/>
      <c r="E1" s="218"/>
      <c r="F1" s="218"/>
      <c r="G1" s="218"/>
      <c r="H1" s="218"/>
      <c r="I1" s="218"/>
      <c r="J1" s="218"/>
    </row>
    <row r="2" spans="1:37" ht="14">
      <c r="A2" s="218" t="s">
        <v>13</v>
      </c>
      <c r="B2" s="218"/>
      <c r="C2" s="218"/>
      <c r="D2" s="218"/>
      <c r="E2" s="218"/>
      <c r="F2" s="218"/>
      <c r="G2" s="218"/>
      <c r="H2" s="218"/>
      <c r="I2" s="218"/>
      <c r="J2" s="218"/>
    </row>
    <row r="3" spans="1:37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ht="13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 t="s">
        <v>28</v>
      </c>
      <c r="O4" s="96" t="s">
        <v>29</v>
      </c>
      <c r="P4" s="96" t="s">
        <v>30</v>
      </c>
      <c r="Q4" s="96" t="s">
        <v>31</v>
      </c>
      <c r="R4" s="96" t="s">
        <v>32</v>
      </c>
      <c r="S4" s="96" t="s">
        <v>33</v>
      </c>
      <c r="T4" s="96" t="s">
        <v>34</v>
      </c>
      <c r="U4" s="96" t="s">
        <v>35</v>
      </c>
      <c r="V4" s="96" t="s">
        <v>36</v>
      </c>
      <c r="W4" s="96" t="s">
        <v>247</v>
      </c>
      <c r="X4" s="96" t="s">
        <v>248</v>
      </c>
      <c r="Y4" s="96" t="s">
        <v>249</v>
      </c>
      <c r="Z4" s="96" t="s">
        <v>250</v>
      </c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</row>
    <row r="5" spans="1:37" ht="13">
      <c r="A5" s="7"/>
      <c r="B5" s="95">
        <f>Input!B7</f>
        <v>2029</v>
      </c>
      <c r="C5" s="95">
        <f>B5+1</f>
        <v>2030</v>
      </c>
      <c r="D5" s="95">
        <f t="shared" ref="D5:L5" si="0">C5+1</f>
        <v>2031</v>
      </c>
      <c r="E5" s="95">
        <f t="shared" si="0"/>
        <v>2032</v>
      </c>
      <c r="F5" s="95">
        <f t="shared" si="0"/>
        <v>2033</v>
      </c>
      <c r="G5" s="95">
        <f t="shared" si="0"/>
        <v>2034</v>
      </c>
      <c r="H5" s="95">
        <f t="shared" si="0"/>
        <v>2035</v>
      </c>
      <c r="I5" s="95">
        <f t="shared" si="0"/>
        <v>2036</v>
      </c>
      <c r="J5" s="95">
        <f t="shared" si="0"/>
        <v>2037</v>
      </c>
      <c r="K5" s="95">
        <f t="shared" si="0"/>
        <v>2038</v>
      </c>
      <c r="L5" s="95">
        <f t="shared" si="0"/>
        <v>2039</v>
      </c>
      <c r="M5" s="95">
        <f t="shared" ref="M5" si="1">L5+1</f>
        <v>2040</v>
      </c>
      <c r="N5" s="95">
        <f t="shared" ref="N5" si="2">M5+1</f>
        <v>2041</v>
      </c>
      <c r="O5" s="95">
        <f t="shared" ref="O5" si="3">N5+1</f>
        <v>2042</v>
      </c>
      <c r="P5" s="95">
        <f t="shared" ref="P5" si="4">O5+1</f>
        <v>2043</v>
      </c>
      <c r="Q5" s="95">
        <f t="shared" ref="Q5" si="5">P5+1</f>
        <v>2044</v>
      </c>
      <c r="R5" s="95">
        <f t="shared" ref="R5" si="6">Q5+1</f>
        <v>2045</v>
      </c>
      <c r="S5" s="95">
        <f t="shared" ref="S5" si="7">R5+1</f>
        <v>2046</v>
      </c>
      <c r="T5" s="95">
        <f t="shared" ref="T5" si="8">S5+1</f>
        <v>2047</v>
      </c>
      <c r="U5" s="95">
        <f t="shared" ref="U5" si="9">T5+1</f>
        <v>2048</v>
      </c>
      <c r="V5" s="95">
        <f t="shared" ref="V5" si="10">U5+1</f>
        <v>2049</v>
      </c>
      <c r="W5" s="95">
        <f t="shared" ref="W5" si="11">V5+1</f>
        <v>2050</v>
      </c>
      <c r="X5" s="95">
        <f t="shared" ref="X5" si="12">W5+1</f>
        <v>2051</v>
      </c>
      <c r="Y5" s="95">
        <f t="shared" ref="Y5" si="13">X5+1</f>
        <v>2052</v>
      </c>
      <c r="Z5" s="95">
        <f t="shared" ref="Z5" si="14">Y5+1</f>
        <v>2053</v>
      </c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>
      <c r="A6" s="7" t="s">
        <v>114</v>
      </c>
      <c r="B6" s="3">
        <f>Input!B45</f>
        <v>0</v>
      </c>
      <c r="C6" s="3">
        <f>Input!C45</f>
        <v>0</v>
      </c>
      <c r="D6" s="3">
        <f>Input!D45</f>
        <v>0</v>
      </c>
      <c r="E6" s="3">
        <f>Input!E45</f>
        <v>0</v>
      </c>
      <c r="F6" s="3">
        <f>Input!F45</f>
        <v>0</v>
      </c>
      <c r="G6" s="3">
        <f>Input!G45</f>
        <v>0</v>
      </c>
      <c r="H6" s="3">
        <f>Input!H45</f>
        <v>0</v>
      </c>
      <c r="I6" s="3">
        <f>Input!I45</f>
        <v>0</v>
      </c>
      <c r="J6" s="3">
        <f>Input!J45</f>
        <v>0</v>
      </c>
      <c r="K6" s="3">
        <f>Input!K45</f>
        <v>0</v>
      </c>
      <c r="L6" s="3">
        <f>Input!L45</f>
        <v>0</v>
      </c>
      <c r="M6" s="3">
        <f>Input!M45</f>
        <v>0</v>
      </c>
      <c r="N6" s="3">
        <f>Input!N45</f>
        <v>0</v>
      </c>
      <c r="O6" s="3">
        <f>Input!O45</f>
        <v>0</v>
      </c>
      <c r="P6" s="3">
        <f>Input!P45</f>
        <v>0</v>
      </c>
      <c r="Q6" s="3">
        <f>Input!Q45</f>
        <v>0</v>
      </c>
      <c r="R6" s="3">
        <f>Input!R45</f>
        <v>0</v>
      </c>
      <c r="S6" s="3">
        <f>Input!S45</f>
        <v>0</v>
      </c>
      <c r="T6" s="3">
        <f>Input!T45</f>
        <v>0</v>
      </c>
      <c r="U6" s="3">
        <f>Input!U45</f>
        <v>0</v>
      </c>
      <c r="V6" s="3">
        <f>Input!V45</f>
        <v>0</v>
      </c>
      <c r="W6" s="3">
        <f>Input!W45</f>
        <v>0</v>
      </c>
      <c r="X6" s="3">
        <f>Input!X45</f>
        <v>0</v>
      </c>
      <c r="Y6" s="3">
        <f>Input!Y45</f>
        <v>0</v>
      </c>
      <c r="Z6" s="3">
        <f>Input!Z45</f>
        <v>0</v>
      </c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>
      <c r="A7" s="87" t="s">
        <v>115</v>
      </c>
      <c r="B7" s="3">
        <f>Input!B47</f>
        <v>79885.577122304065</v>
      </c>
      <c r="C7" s="3">
        <f>Input!C47</f>
        <v>73035.913260038593</v>
      </c>
      <c r="D7" s="3">
        <f>Input!D47</f>
        <v>66332.338516795862</v>
      </c>
      <c r="E7" s="3">
        <f>Input!E47</f>
        <v>59763.532333537216</v>
      </c>
      <c r="F7" s="3">
        <f>Input!F47</f>
        <v>53319.791373943794</v>
      </c>
      <c r="G7" s="3">
        <f>Input!G47</f>
        <v>46991.412301696735</v>
      </c>
      <c r="H7" s="3">
        <f>Input!H47</f>
        <v>40770.03946607704</v>
      </c>
      <c r="I7" s="3">
        <f>Input!I47</f>
        <v>34647.317216365685</v>
      </c>
      <c r="J7" s="3">
        <f>Input!J47</f>
        <v>28540.767193852433</v>
      </c>
      <c r="K7" s="3">
        <f>Input!K47</f>
        <v>22434.486708459135</v>
      </c>
      <c r="L7" s="3">
        <f>Input!L47</f>
        <v>16327.936685945879</v>
      </c>
      <c r="M7" s="3">
        <f>Input!M47</f>
        <v>12913.162427623431</v>
      </c>
      <c r="N7" s="3">
        <f>Input!N47</f>
        <v>0</v>
      </c>
      <c r="O7" s="3">
        <f>Input!O47</f>
        <v>0</v>
      </c>
      <c r="P7" s="3">
        <f>Input!P47</f>
        <v>0</v>
      </c>
      <c r="Q7" s="3">
        <f>Input!Q47</f>
        <v>0</v>
      </c>
      <c r="R7" s="3">
        <f>Input!R47</f>
        <v>0</v>
      </c>
      <c r="S7" s="3">
        <f>Input!S47</f>
        <v>0</v>
      </c>
      <c r="T7" s="3">
        <f>Input!T47</f>
        <v>0</v>
      </c>
      <c r="U7" s="3">
        <f>Input!U47</f>
        <v>0</v>
      </c>
      <c r="V7" s="3">
        <f>Input!V47</f>
        <v>0</v>
      </c>
      <c r="W7" s="3">
        <f>Input!W47</f>
        <v>0</v>
      </c>
      <c r="X7" s="3">
        <f>Input!X47</f>
        <v>0</v>
      </c>
      <c r="Y7" s="3">
        <f>Input!Y47</f>
        <v>0</v>
      </c>
      <c r="Z7" s="3">
        <f>Input!Z47</f>
        <v>0</v>
      </c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>
      <c r="A9" s="7"/>
      <c r="B9" s="3">
        <f>Input!B48</f>
        <v>0</v>
      </c>
      <c r="C9" s="3">
        <f>Input!C48</f>
        <v>0</v>
      </c>
      <c r="D9" s="3">
        <f>Input!D48</f>
        <v>0</v>
      </c>
      <c r="E9" s="3">
        <f>Input!E48</f>
        <v>0</v>
      </c>
      <c r="F9" s="3">
        <f>Input!F48</f>
        <v>0</v>
      </c>
      <c r="G9" s="3">
        <f>Input!G48</f>
        <v>0</v>
      </c>
      <c r="H9" s="3">
        <f>Input!H48</f>
        <v>0</v>
      </c>
      <c r="I9" s="3">
        <f>Input!I48</f>
        <v>0</v>
      </c>
      <c r="J9" s="3">
        <f>Input!J48</f>
        <v>0</v>
      </c>
      <c r="K9" s="3">
        <f>Input!K48</f>
        <v>0</v>
      </c>
      <c r="L9" s="3">
        <f>Input!L48</f>
        <v>0</v>
      </c>
      <c r="M9" s="3">
        <f>Input!M48</f>
        <v>0</v>
      </c>
      <c r="N9" s="3">
        <f>Input!N48</f>
        <v>0</v>
      </c>
      <c r="O9" s="3">
        <f>Input!O48</f>
        <v>0</v>
      </c>
      <c r="P9" s="3">
        <f>Input!P48</f>
        <v>0</v>
      </c>
      <c r="Q9" s="3">
        <f>Input!Q48</f>
        <v>0</v>
      </c>
      <c r="R9" s="3">
        <f>Input!R48</f>
        <v>0</v>
      </c>
      <c r="S9" s="3">
        <f>Input!S48</f>
        <v>0</v>
      </c>
      <c r="T9" s="3">
        <f>Input!T48</f>
        <v>0</v>
      </c>
      <c r="U9" s="3">
        <f>Input!U48</f>
        <v>0</v>
      </c>
      <c r="V9" s="3">
        <f>Input!V48</f>
        <v>0</v>
      </c>
      <c r="W9" s="3">
        <f>Input!W48</f>
        <v>0</v>
      </c>
      <c r="X9" s="3">
        <f>Input!X48</f>
        <v>0</v>
      </c>
      <c r="Y9" s="3">
        <f>Input!Y48</f>
        <v>0</v>
      </c>
      <c r="Z9" s="3">
        <f>Input!Z48</f>
        <v>0</v>
      </c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>
      <c r="A10" s="97" t="str">
        <f>Input!A49</f>
        <v>WV B&amp;O Tax</v>
      </c>
      <c r="B10" s="3">
        <f>Input!B49</f>
        <v>0</v>
      </c>
      <c r="C10" s="3">
        <f>Input!C49</f>
        <v>0</v>
      </c>
      <c r="D10" s="3">
        <f>Input!D49</f>
        <v>0</v>
      </c>
      <c r="E10" s="3">
        <f>Input!E49</f>
        <v>0</v>
      </c>
      <c r="F10" s="3">
        <f>Input!F49</f>
        <v>0</v>
      </c>
      <c r="G10" s="3">
        <f>Input!G49</f>
        <v>0</v>
      </c>
      <c r="H10" s="3">
        <f>Input!H49</f>
        <v>0</v>
      </c>
      <c r="I10" s="3">
        <f>Input!I49</f>
        <v>0</v>
      </c>
      <c r="J10" s="3">
        <f>Input!J49</f>
        <v>0</v>
      </c>
      <c r="K10" s="3">
        <f>Input!K49</f>
        <v>0</v>
      </c>
      <c r="L10" s="3">
        <f>Input!L49</f>
        <v>0</v>
      </c>
      <c r="M10" s="3">
        <f>Input!M49</f>
        <v>0</v>
      </c>
      <c r="N10" s="3">
        <f>Input!N49</f>
        <v>0</v>
      </c>
      <c r="O10" s="3">
        <f>Input!O49</f>
        <v>0</v>
      </c>
      <c r="P10" s="3">
        <f>Input!P49</f>
        <v>0</v>
      </c>
      <c r="Q10" s="3">
        <f>Input!Q49</f>
        <v>0</v>
      </c>
      <c r="R10" s="3">
        <f>Input!R49</f>
        <v>0</v>
      </c>
      <c r="S10" s="3">
        <f>Input!S49</f>
        <v>0</v>
      </c>
      <c r="T10" s="3">
        <f>Input!T49</f>
        <v>0</v>
      </c>
      <c r="U10" s="3">
        <f>Input!U49</f>
        <v>0</v>
      </c>
      <c r="V10" s="3">
        <f>Input!V49</f>
        <v>0</v>
      </c>
      <c r="W10" s="3">
        <f>Input!W49</f>
        <v>0</v>
      </c>
      <c r="X10" s="3">
        <f>Input!X49</f>
        <v>0</v>
      </c>
      <c r="Y10" s="3">
        <f>Input!Y49</f>
        <v>0</v>
      </c>
      <c r="Z10" s="3">
        <f>Input!Z49</f>
        <v>0</v>
      </c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>
      <c r="A11" s="97"/>
      <c r="B11" s="3">
        <f>Input!B50</f>
        <v>0</v>
      </c>
      <c r="C11" s="3">
        <f>Input!C50</f>
        <v>0</v>
      </c>
      <c r="D11" s="3">
        <f>Input!D50</f>
        <v>0</v>
      </c>
      <c r="E11" s="3">
        <f>Input!E50</f>
        <v>0</v>
      </c>
      <c r="F11" s="3">
        <f>Input!F50</f>
        <v>0</v>
      </c>
      <c r="G11" s="3">
        <f>Input!G50</f>
        <v>0</v>
      </c>
      <c r="H11" s="3">
        <f>Input!H50</f>
        <v>0</v>
      </c>
      <c r="I11" s="3">
        <f>Input!I50</f>
        <v>0</v>
      </c>
      <c r="J11" s="3">
        <f>Input!J50</f>
        <v>0</v>
      </c>
      <c r="K11" s="3">
        <f>Input!K50</f>
        <v>0</v>
      </c>
      <c r="L11" s="3">
        <f>Input!L50</f>
        <v>0</v>
      </c>
      <c r="M11" s="3">
        <f>Input!M50</f>
        <v>0</v>
      </c>
      <c r="N11" s="3">
        <f>Input!N50</f>
        <v>0</v>
      </c>
      <c r="O11" s="3">
        <f>Input!O50</f>
        <v>0</v>
      </c>
      <c r="P11" s="3">
        <f>Input!P50</f>
        <v>0</v>
      </c>
      <c r="Q11" s="3">
        <f>Input!Q50</f>
        <v>0</v>
      </c>
      <c r="R11" s="3">
        <f>Input!R50</f>
        <v>0</v>
      </c>
      <c r="S11" s="3">
        <f>Input!S50</f>
        <v>0</v>
      </c>
      <c r="T11" s="3">
        <f>Input!T50</f>
        <v>0</v>
      </c>
      <c r="U11" s="3">
        <f>Input!U50</f>
        <v>0</v>
      </c>
      <c r="V11" s="3">
        <f>Input!V50</f>
        <v>0</v>
      </c>
      <c r="W11" s="3">
        <f>Input!W50</f>
        <v>0</v>
      </c>
      <c r="X11" s="3">
        <f>Input!X50</f>
        <v>0</v>
      </c>
      <c r="Y11" s="3">
        <f>Input!Y50</f>
        <v>0</v>
      </c>
      <c r="Z11" s="3">
        <f>Input!Z50</f>
        <v>0</v>
      </c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>
      <c r="A12" s="97"/>
      <c r="B12" s="3">
        <f>Input!B51</f>
        <v>0</v>
      </c>
      <c r="C12" s="3">
        <f>Input!C51</f>
        <v>0</v>
      </c>
      <c r="D12" s="3">
        <f>Input!D51</f>
        <v>0</v>
      </c>
      <c r="E12" s="3">
        <f>Input!E51</f>
        <v>0</v>
      </c>
      <c r="F12" s="3">
        <f>Input!F51</f>
        <v>0</v>
      </c>
      <c r="G12" s="3">
        <f>Input!G51</f>
        <v>0</v>
      </c>
      <c r="H12" s="3">
        <f>Input!H51</f>
        <v>0</v>
      </c>
      <c r="I12" s="3">
        <f>Input!I51</f>
        <v>0</v>
      </c>
      <c r="J12" s="3">
        <f>Input!J51</f>
        <v>0</v>
      </c>
      <c r="K12" s="3">
        <f>Input!K51</f>
        <v>0</v>
      </c>
      <c r="L12" s="3">
        <f>Input!L51</f>
        <v>0</v>
      </c>
      <c r="M12" s="3">
        <f>Input!M51</f>
        <v>0</v>
      </c>
      <c r="N12" s="3">
        <f>Input!N51</f>
        <v>0</v>
      </c>
      <c r="O12" s="3">
        <f>Input!O51</f>
        <v>0</v>
      </c>
      <c r="P12" s="3">
        <f>Input!P51</f>
        <v>0</v>
      </c>
      <c r="Q12" s="3">
        <f>Input!Q51</f>
        <v>0</v>
      </c>
      <c r="R12" s="3">
        <f>Input!R51</f>
        <v>0</v>
      </c>
      <c r="S12" s="3">
        <f>Input!S51</f>
        <v>0</v>
      </c>
      <c r="T12" s="3">
        <f>Input!T51</f>
        <v>0</v>
      </c>
      <c r="U12" s="3">
        <f>Input!U51</f>
        <v>0</v>
      </c>
      <c r="V12" s="3">
        <f>Input!V51</f>
        <v>0</v>
      </c>
      <c r="W12" s="3">
        <f>Input!W51</f>
        <v>0</v>
      </c>
      <c r="X12" s="3">
        <f>Input!X51</f>
        <v>0</v>
      </c>
      <c r="Y12" s="3">
        <f>Input!Y51</f>
        <v>0</v>
      </c>
      <c r="Z12" s="3">
        <f>Input!Z51</f>
        <v>0</v>
      </c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 ht="14">
      <c r="A13" s="23" t="s">
        <v>113</v>
      </c>
      <c r="B13" s="54">
        <f>SUM(B6:B12)</f>
        <v>79885.577122304065</v>
      </c>
      <c r="C13" s="54">
        <f>SUM(C6:C12)</f>
        <v>73035.913260038593</v>
      </c>
      <c r="D13" s="54">
        <f>SUM(D6:D12)</f>
        <v>66332.338516795862</v>
      </c>
      <c r="E13" s="54">
        <f>SUM(E6:E12)</f>
        <v>59763.532333537216</v>
      </c>
      <c r="F13" s="54">
        <f>SUM(F6:F12)</f>
        <v>53319.791373943794</v>
      </c>
      <c r="G13" s="54">
        <f t="shared" ref="G13:L13" si="15">SUM(G6:G12)</f>
        <v>46991.412301696735</v>
      </c>
      <c r="H13" s="54">
        <f t="shared" si="15"/>
        <v>40770.03946607704</v>
      </c>
      <c r="I13" s="54">
        <f t="shared" si="15"/>
        <v>34647.317216365685</v>
      </c>
      <c r="J13" s="54">
        <f t="shared" si="15"/>
        <v>28540.767193852433</v>
      </c>
      <c r="K13" s="54">
        <f t="shared" si="15"/>
        <v>22434.486708459135</v>
      </c>
      <c r="L13" s="54">
        <f t="shared" si="15"/>
        <v>16327.936685945879</v>
      </c>
      <c r="M13" s="54">
        <f t="shared" ref="M13" si="16">SUM(M6:M12)</f>
        <v>12913.162427623431</v>
      </c>
      <c r="N13" s="54">
        <f t="shared" ref="N13:Z13" si="17">SUM(N6:N12)</f>
        <v>0</v>
      </c>
      <c r="O13" s="54">
        <f t="shared" si="17"/>
        <v>0</v>
      </c>
      <c r="P13" s="54">
        <f t="shared" si="17"/>
        <v>0</v>
      </c>
      <c r="Q13" s="54">
        <f t="shared" si="17"/>
        <v>0</v>
      </c>
      <c r="R13" s="54">
        <f t="shared" si="17"/>
        <v>0</v>
      </c>
      <c r="S13" s="54">
        <f t="shared" si="17"/>
        <v>0</v>
      </c>
      <c r="T13" s="54">
        <f t="shared" si="17"/>
        <v>0</v>
      </c>
      <c r="U13" s="54">
        <f t="shared" si="17"/>
        <v>0</v>
      </c>
      <c r="V13" s="54">
        <f t="shared" si="17"/>
        <v>0</v>
      </c>
      <c r="W13" s="54">
        <f t="shared" si="17"/>
        <v>0</v>
      </c>
      <c r="X13" s="54">
        <f t="shared" si="17"/>
        <v>0</v>
      </c>
      <c r="Y13" s="54">
        <f t="shared" si="17"/>
        <v>0</v>
      </c>
      <c r="Z13" s="54">
        <f t="shared" si="17"/>
        <v>0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>
      <c r="A14" s="97" t="s">
        <v>181</v>
      </c>
      <c r="B14" s="3">
        <f>'Rate Base - coal'!C19*1000</f>
        <v>11266916.666666666</v>
      </c>
      <c r="C14" s="3">
        <f>'Rate Base - coal'!D19*1000</f>
        <v>11266916.666666666</v>
      </c>
      <c r="D14" s="3">
        <f>'Rate Base - coal'!E19*1000</f>
        <v>11266916.666666666</v>
      </c>
      <c r="E14" s="3">
        <f>'Rate Base - coal'!F19*1000</f>
        <v>11266916.666666666</v>
      </c>
      <c r="F14" s="3">
        <f>'Rate Base - coal'!G19*1000</f>
        <v>11266916.666666666</v>
      </c>
      <c r="G14" s="3">
        <f>'Rate Base - coal'!H19*1000</f>
        <v>11266916.666666666</v>
      </c>
      <c r="H14" s="3">
        <f>'Rate Base - coal'!I19*1000</f>
        <v>11266916.666666666</v>
      </c>
      <c r="I14" s="3">
        <f>'Rate Base - coal'!J19*1000</f>
        <v>11266916.666666666</v>
      </c>
      <c r="J14" s="3">
        <f>'Rate Base - coal'!K19*1000</f>
        <v>11266916.666666666</v>
      </c>
      <c r="K14" s="3">
        <f>'Rate Base - coal'!L19*1000</f>
        <v>11266916.666666666</v>
      </c>
      <c r="L14" s="3">
        <f>'Rate Base - coal'!M19*1000</f>
        <v>11266916.666666666</v>
      </c>
      <c r="M14" s="3">
        <f>'Rate Base - coal'!N19*1000</f>
        <v>11683583.333333332</v>
      </c>
      <c r="N14" s="3">
        <f>'Rate Base - coal'!O19*1000</f>
        <v>0</v>
      </c>
      <c r="O14" s="3">
        <f>'Rate Base - coal'!P19*1000</f>
        <v>0</v>
      </c>
      <c r="P14" s="3">
        <f>'Rate Base - coal'!Q19*1000</f>
        <v>0</v>
      </c>
      <c r="Q14" s="3">
        <f>'Rate Base - coal'!R19*1000</f>
        <v>0</v>
      </c>
      <c r="R14" s="3">
        <f>'Rate Base - coal'!S19*1000</f>
        <v>0</v>
      </c>
      <c r="S14" s="3">
        <f>'Rate Base - coal'!T19*1000</f>
        <v>0</v>
      </c>
      <c r="T14" s="3">
        <f>'Rate Base - coal'!U19*1000</f>
        <v>0</v>
      </c>
      <c r="U14" s="3">
        <f>'Rate Base - coal'!V19*1000</f>
        <v>0</v>
      </c>
      <c r="V14" s="3">
        <f>'Rate Base - coal'!W19*1000</f>
        <v>0</v>
      </c>
      <c r="W14" s="3">
        <f>'Rate Base - coal'!X19*1000</f>
        <v>0</v>
      </c>
      <c r="X14" s="3">
        <f>'Rate Base - coal'!Y19*1000</f>
        <v>0</v>
      </c>
      <c r="Y14" s="3">
        <f>'Rate Base - coal'!Z19*1000</f>
        <v>0</v>
      </c>
      <c r="Z14" s="3">
        <f>'Rate Base - coal'!AA19*1000</f>
        <v>0</v>
      </c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>
      <c r="A15" s="97" t="s">
        <v>158</v>
      </c>
      <c r="B15" s="3">
        <f>SIT!D20</f>
        <v>1997078.2477280437</v>
      </c>
      <c r="C15" s="3">
        <f>SIT!E20</f>
        <v>-863624.56677382567</v>
      </c>
      <c r="D15" s="3">
        <f>SIT!F20</f>
        <v>-795606.29731735564</v>
      </c>
      <c r="E15" s="3">
        <f>SIT!G20</f>
        <v>-731856.87950880919</v>
      </c>
      <c r="F15" s="3">
        <f>SIT!H20</f>
        <v>-671791.34844961169</v>
      </c>
      <c r="G15" s="3">
        <f>SIT!I20</f>
        <v>-615384.43194264849</v>
      </c>
      <c r="H15" s="3">
        <f>SIT!J20</f>
        <v>-562147.95723363175</v>
      </c>
      <c r="I15" s="3">
        <f>SIT!K20</f>
        <v>-512060.16215282399</v>
      </c>
      <c r="J15" s="3">
        <f>SIT!L20</f>
        <v>-490558.81517500064</v>
      </c>
      <c r="K15" s="3">
        <f>SIT!M20</f>
        <v>-474561.81510034268</v>
      </c>
      <c r="L15" s="3">
        <f>SIT!N20</f>
        <v>-458750.67725402949</v>
      </c>
      <c r="M15" s="3">
        <f>SIT!O20</f>
        <v>-459156.85316896834</v>
      </c>
      <c r="N15" s="3">
        <f>SIT!P20</f>
        <v>-464086.98666238191</v>
      </c>
      <c r="O15" s="3">
        <f>SIT!Q20</f>
        <v>-459441.22224328428</v>
      </c>
      <c r="P15" s="3">
        <f>SIT!R20</f>
        <v>-455095.78123219113</v>
      </c>
      <c r="Q15" s="3">
        <f>SIT!S20</f>
        <v>-450663.2175000913</v>
      </c>
      <c r="R15" s="3">
        <f>SIT!T20</f>
        <v>-446514.61694335722</v>
      </c>
      <c r="S15" s="3">
        <f>SIT!U20</f>
        <v>-442265.13072274416</v>
      </c>
      <c r="T15" s="3">
        <f>SIT!V20</f>
        <v>-438285.93717439112</v>
      </c>
      <c r="U15" s="3">
        <f>SIT!W20</f>
        <v>-434888.46127189125</v>
      </c>
      <c r="V15" s="3">
        <f>SIT!X20</f>
        <v>-225248.31193266172</v>
      </c>
      <c r="W15" s="3">
        <f>SIT!Y20</f>
        <v>-17055.920708749891</v>
      </c>
      <c r="X15" s="3">
        <f>SIT!Z20</f>
        <v>-16970.941099001444</v>
      </c>
      <c r="Y15" s="3">
        <f>SIT!AA20</f>
        <v>-16890.95270129968</v>
      </c>
      <c r="Z15" s="3">
        <f>SIT!AB20</f>
        <v>-16805.97309155123</v>
      </c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>
      <c r="A16" s="97" t="s">
        <v>157</v>
      </c>
      <c r="B16" s="3">
        <f>('Rate Base - coal'!C68)*1000</f>
        <v>-2769577.7858374999</v>
      </c>
      <c r="C16" s="3">
        <f>('Rate Base - coal'!D68)*1000</f>
        <v>108964.87772329008</v>
      </c>
      <c r="D16" s="3">
        <f>('Rate Base - coal'!E68)*1000</f>
        <v>58405.970358070073</v>
      </c>
      <c r="E16" s="3">
        <f>('Rate Base - coal'!F68)*1000</f>
        <v>11764.911903070004</v>
      </c>
      <c r="F16" s="3">
        <f>('Rate Base - coal'!G68)*1000</f>
        <v>-31517.990343170004</v>
      </c>
      <c r="G16" s="3">
        <f>('Rate Base - coal'!H68)*1000</f>
        <v>-71442.736380649963</v>
      </c>
      <c r="H16" s="3">
        <f>('Rate Base - coal'!I68)*1000</f>
        <v>-108475.73679391992</v>
      </c>
      <c r="I16" s="3">
        <f>('Rate Base - coal'!J68)*1000</f>
        <v>-142616.99158297997</v>
      </c>
      <c r="J16" s="3">
        <f>('Rate Base - coal'!K68)*1000</f>
        <v>-148213.91859757993</v>
      </c>
      <c r="K16" s="3">
        <f>('Rate Base - coal'!L68)*1000</f>
        <v>-148307.20071448997</v>
      </c>
      <c r="L16" s="3">
        <f>('Rate Base - coal'!M68)*1000</f>
        <v>-148213.91859757993</v>
      </c>
      <c r="M16" s="3">
        <f>('Rate Base - coal'!N68)*1000</f>
        <v>-159787.76321448994</v>
      </c>
      <c r="N16" s="3">
        <f>('Rate Base - coal'!O68)*1000</f>
        <v>434307.31780242006</v>
      </c>
      <c r="O16" s="3">
        <f>('Rate Base - coal'!P68)*1000</f>
        <v>432856.40698551002</v>
      </c>
      <c r="P16" s="3">
        <f>('Rate Base - coal'!Q68)*1000</f>
        <v>431697.26410242007</v>
      </c>
      <c r="Q16" s="3">
        <f>('Rate Base - coal'!R68)*1000</f>
        <v>430441.73158551002</v>
      </c>
      <c r="R16" s="3">
        <f>('Rate Base - coal'!S68)*1000</f>
        <v>429462.93790242006</v>
      </c>
      <c r="S16" s="3">
        <f>('Rate Base - coal'!T68)*1000</f>
        <v>428375.23033551004</v>
      </c>
      <c r="T16" s="3">
        <f>('Rate Base - coal'!U68)*1000</f>
        <v>427551.73735242005</v>
      </c>
      <c r="U16" s="3">
        <f>('Rate Base - coal'!V68)*1000</f>
        <v>427308.16423551005</v>
      </c>
      <c r="V16" s="3">
        <f>('Rate Base - coal'!W68)*1000</f>
        <v>219286.53867621004</v>
      </c>
      <c r="W16" s="3">
        <f>('Rate Base - coal'!X68)*1000</f>
        <v>11176.6407</v>
      </c>
      <c r="X16" s="3">
        <f>('Rate Base - coal'!Y68)*1000</f>
        <v>11174.135849999999</v>
      </c>
      <c r="Y16" s="3">
        <f>('Rate Base - coal'!Z68)*1000</f>
        <v>11176.6407</v>
      </c>
      <c r="Z16" s="3">
        <f>('Rate Base - coal'!AA68)*1000</f>
        <v>11174.135849999999</v>
      </c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>
      <c r="A17" s="7" t="s">
        <v>64</v>
      </c>
      <c r="B17" s="3">
        <f>FIT!D25</f>
        <v>7952101.5218044706</v>
      </c>
      <c r="C17" s="3">
        <f>FIT!E25</f>
        <v>-3438838.8334421823</v>
      </c>
      <c r="D17" s="3">
        <f>FIT!F25</f>
        <v>-3167999.0780792478</v>
      </c>
      <c r="E17" s="3">
        <f>FIT!G25</f>
        <v>-2914157.3255358967</v>
      </c>
      <c r="F17" s="3">
        <f>FIT!H25</f>
        <v>-2674984.3229321036</v>
      </c>
      <c r="G17" s="3">
        <f>FIT!I25</f>
        <v>-2450379.4397205357</v>
      </c>
      <c r="H17" s="3">
        <f>FIT!J25</f>
        <v>-2238398.8365415228</v>
      </c>
      <c r="I17" s="3">
        <f>FIT!K25</f>
        <v>-2038955.8593126396</v>
      </c>
      <c r="J17" s="3">
        <f>FIT!L25</f>
        <v>-1953340.3386300078</v>
      </c>
      <c r="K17" s="3">
        <f>FIT!M25</f>
        <v>-1889642.3995118423</v>
      </c>
      <c r="L17" s="3">
        <f>FIT!N25</f>
        <v>-1826684.539211594</v>
      </c>
      <c r="M17" s="3">
        <f>FIT!O25</f>
        <v>-1828301.8779988845</v>
      </c>
      <c r="N17" s="3">
        <f>FIT!P25</f>
        <v>-1847933.0176902183</v>
      </c>
      <c r="O17" s="3">
        <f>FIT!Q25</f>
        <v>-1829434.1980525402</v>
      </c>
      <c r="P17" s="3">
        <f>FIT!R25</f>
        <v>-1812131.2265157278</v>
      </c>
      <c r="Q17" s="3">
        <f>FIT!S25</f>
        <v>-1794481.343823537</v>
      </c>
      <c r="R17" s="3">
        <f>FIT!T25</f>
        <v>-1777962.1649490511</v>
      </c>
      <c r="S17" s="3">
        <f>FIT!U25</f>
        <v>-1761041.2727004536</v>
      </c>
      <c r="T17" s="3">
        <f>FIT!V25</f>
        <v>-1745196.650133756</v>
      </c>
      <c r="U17" s="3">
        <f>FIT!W25</f>
        <v>-1731668.3503161108</v>
      </c>
      <c r="V17" s="3">
        <f>FIT!X25</f>
        <v>-896908.99499874108</v>
      </c>
      <c r="W17" s="3">
        <f>FIT!Y25</f>
        <v>-67914.421068941563</v>
      </c>
      <c r="X17" s="3">
        <f>FIT!Z25</f>
        <v>-67576.043499223539</v>
      </c>
      <c r="Y17" s="3">
        <f>FIT!AA25</f>
        <v>-67257.540275919921</v>
      </c>
      <c r="Z17" s="3">
        <f>FIT!AB25</f>
        <v>-66919.162706201882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>
      <c r="A18" s="7" t="s">
        <v>65</v>
      </c>
      <c r="B18" s="3">
        <f>('Rate Base - coal'!C66+'Rate Base - coal'!C70)*1000</f>
        <v>-11028092.539974125</v>
      </c>
      <c r="C18" s="3">
        <f>('Rate Base - coal'!D66+'Rate Base - coal'!D70)*1000</f>
        <v>433883.73537810933</v>
      </c>
      <c r="D18" s="3">
        <f>('Rate Base - coal'!E66+'Rate Base - coal'!E70)*1000</f>
        <v>232564.85132480555</v>
      </c>
      <c r="E18" s="3">
        <f>('Rate Base - coal'!F66+'Rate Base - coal'!F70)*1000</f>
        <v>46846.32360035531</v>
      </c>
      <c r="F18" s="3">
        <f>('Rate Base - coal'!G66+'Rate Base - coal'!G70)*1000</f>
        <v>-125500.47012793433</v>
      </c>
      <c r="G18" s="3">
        <f>('Rate Base - coal'!H66+'Rate Base - coal'!H70)*1000</f>
        <v>-284475.52986006334</v>
      </c>
      <c r="H18" s="3">
        <f>('Rate Base - coal'!I66+'Rate Base - coal'!I70)*1000</f>
        <v>-431936.04087327648</v>
      </c>
      <c r="I18" s="3">
        <f>('Rate Base - coal'!J66+'Rate Base - coal'!J70)*1000</f>
        <v>-567882.00316757406</v>
      </c>
      <c r="J18" s="3">
        <f>('Rate Base - coal'!K66+'Rate Base - coal'!K70)*1000</f>
        <v>-590168.22649450798</v>
      </c>
      <c r="K18" s="3">
        <f>('Rate Base - coal'!L66+'Rate Base - coal'!L70)*1000</f>
        <v>-590539.66354995675</v>
      </c>
      <c r="L18" s="3">
        <f>('Rate Base - coal'!M66+'Rate Base - coal'!M70)*1000</f>
        <v>-590168.22649450798</v>
      </c>
      <c r="M18" s="3">
        <f>('Rate Base - coal'!N66+'Rate Base - coal'!N70)*1000</f>
        <v>-636253.74542495667</v>
      </c>
      <c r="N18" s="3">
        <f>('Rate Base - coal'!O66+'Rate Base - coal'!O70)*1000</f>
        <v>1729354.3138614919</v>
      </c>
      <c r="O18" s="3">
        <f>('Rate Base - coal'!P66+'Rate Base - coal'!P70)*1000</f>
        <v>1723576.978833043</v>
      </c>
      <c r="P18" s="3">
        <f>('Rate Base - coal'!Q66+'Rate Base - coal'!Q70)*1000</f>
        <v>1718961.4251384919</v>
      </c>
      <c r="Q18" s="3">
        <f>('Rate Base - coal'!R66+'Rate Base - coal'!R70)*1000</f>
        <v>1713962.0606670429</v>
      </c>
      <c r="R18" s="3">
        <f>('Rate Base - coal'!S66+'Rate Base - coal'!S70)*1000</f>
        <v>1710064.6336404919</v>
      </c>
      <c r="S18" s="3">
        <f>('Rate Base - coal'!T66+'Rate Base - coal'!T70)*1000</f>
        <v>1705733.5259295427</v>
      </c>
      <c r="T18" s="3">
        <f>('Rate Base - coal'!U66+'Rate Base - coal'!U70)*1000</f>
        <v>1702454.4857559917</v>
      </c>
      <c r="U18" s="3">
        <f>('Rate Base - coal'!V66+'Rate Base - coal'!V70)*1000</f>
        <v>1701484.6098105432</v>
      </c>
      <c r="V18" s="3">
        <f>('Rate Base - coal'!W66+'Rate Base - coal'!W70)*1000</f>
        <v>873170.00217799586</v>
      </c>
      <c r="W18" s="3">
        <f>('Rate Base - coal'!X66+'Rate Base - coal'!X70)*1000</f>
        <v>44503.905452999999</v>
      </c>
      <c r="X18" s="3">
        <f>('Rate Base - coal'!Y66+'Rate Base - coal'!Y70)*1000</f>
        <v>44493.931471499993</v>
      </c>
      <c r="Y18" s="3">
        <f>('Rate Base - coal'!Z66+'Rate Base - coal'!Z70)*1000</f>
        <v>44503.905452999999</v>
      </c>
      <c r="Z18" s="3">
        <f>('Rate Base - coal'!AA66+'Rate Base - coal'!AA70)*1000</f>
        <v>44493.931471499993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ht="14">
      <c r="A19" s="23" t="s">
        <v>7</v>
      </c>
      <c r="B19" s="22">
        <f>SUM(B13:B18)</f>
        <v>7498311.6875098627</v>
      </c>
      <c r="C19" s="22">
        <f>SUM(C13:C18)</f>
        <v>7580337.792812095</v>
      </c>
      <c r="D19" s="22">
        <f>SUM(D13:D18)</f>
        <v>7660614.4514697343</v>
      </c>
      <c r="E19" s="22">
        <f>SUM(E13:E18)</f>
        <v>7739277.2294589225</v>
      </c>
      <c r="F19" s="22">
        <f>SUM(F13:F18)</f>
        <v>7816442.3261877894</v>
      </c>
      <c r="G19" s="22">
        <f t="shared" ref="G19:L19" si="18">SUM(G13:G18)</f>
        <v>7892225.9410644649</v>
      </c>
      <c r="H19" s="22">
        <f t="shared" si="18"/>
        <v>7966728.1346903928</v>
      </c>
      <c r="I19" s="22">
        <f t="shared" si="18"/>
        <v>8040048.9676670125</v>
      </c>
      <c r="J19" s="22">
        <f t="shared" si="18"/>
        <v>8113176.134963423</v>
      </c>
      <c r="K19" s="22">
        <f t="shared" si="18"/>
        <v>8186300.0744984942</v>
      </c>
      <c r="L19" s="22">
        <f t="shared" si="18"/>
        <v>8259427.241794901</v>
      </c>
      <c r="M19" s="22">
        <f t="shared" ref="M19:Z19" si="19">SUM(M13:M18)</f>
        <v>8612996.2559536565</v>
      </c>
      <c r="N19" s="22">
        <f t="shared" si="19"/>
        <v>-148358.37268868834</v>
      </c>
      <c r="O19" s="22">
        <f t="shared" si="19"/>
        <v>-132442.03447727137</v>
      </c>
      <c r="P19" s="22">
        <f t="shared" si="19"/>
        <v>-116568.31850700709</v>
      </c>
      <c r="Q19" s="22">
        <f t="shared" si="19"/>
        <v>-100740.76907107537</v>
      </c>
      <c r="R19" s="22">
        <f t="shared" si="19"/>
        <v>-84949.210349496454</v>
      </c>
      <c r="S19" s="22">
        <f t="shared" si="19"/>
        <v>-69197.647158144973</v>
      </c>
      <c r="T19" s="22">
        <f t="shared" si="19"/>
        <v>-53476.364199735457</v>
      </c>
      <c r="U19" s="22">
        <f t="shared" si="19"/>
        <v>-37764.037541948725</v>
      </c>
      <c r="V19" s="22">
        <f t="shared" si="19"/>
        <v>-29700.766077196924</v>
      </c>
      <c r="W19" s="22">
        <f t="shared" si="19"/>
        <v>-29289.795624691455</v>
      </c>
      <c r="X19" s="22">
        <f t="shared" si="19"/>
        <v>-28878.917276724998</v>
      </c>
      <c r="Y19" s="22">
        <f t="shared" si="19"/>
        <v>-28467.946824219602</v>
      </c>
      <c r="Z19" s="22">
        <f t="shared" si="19"/>
        <v>-28057.068476253116</v>
      </c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ht="14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ht="14">
      <c r="A21" s="23" t="s">
        <v>107</v>
      </c>
      <c r="B21" s="53">
        <f t="shared" ref="B21:Z21" si="20">WACC</f>
        <v>7.4090912000000009E-2</v>
      </c>
      <c r="C21" s="53">
        <f t="shared" si="20"/>
        <v>7.4090912000000009E-2</v>
      </c>
      <c r="D21" s="53">
        <f t="shared" si="20"/>
        <v>7.4090912000000009E-2</v>
      </c>
      <c r="E21" s="53">
        <f t="shared" si="20"/>
        <v>7.4090912000000009E-2</v>
      </c>
      <c r="F21" s="53">
        <f t="shared" si="20"/>
        <v>7.4090912000000009E-2</v>
      </c>
      <c r="G21" s="53">
        <f t="shared" si="20"/>
        <v>7.4090912000000009E-2</v>
      </c>
      <c r="H21" s="53">
        <f t="shared" si="20"/>
        <v>7.4090912000000009E-2</v>
      </c>
      <c r="I21" s="53">
        <f t="shared" si="20"/>
        <v>7.4090912000000009E-2</v>
      </c>
      <c r="J21" s="53">
        <f t="shared" si="20"/>
        <v>7.4090912000000009E-2</v>
      </c>
      <c r="K21" s="53">
        <f t="shared" si="20"/>
        <v>7.4090912000000009E-2</v>
      </c>
      <c r="L21" s="53">
        <f t="shared" si="20"/>
        <v>7.4090912000000009E-2</v>
      </c>
      <c r="M21" s="53">
        <f t="shared" si="20"/>
        <v>7.4090912000000009E-2</v>
      </c>
      <c r="N21" s="53">
        <f t="shared" si="20"/>
        <v>7.4090912000000009E-2</v>
      </c>
      <c r="O21" s="53">
        <f t="shared" si="20"/>
        <v>7.4090912000000009E-2</v>
      </c>
      <c r="P21" s="53">
        <f t="shared" si="20"/>
        <v>7.4090912000000009E-2</v>
      </c>
      <c r="Q21" s="53">
        <f t="shared" si="20"/>
        <v>7.4090912000000009E-2</v>
      </c>
      <c r="R21" s="53">
        <f t="shared" si="20"/>
        <v>7.4090912000000009E-2</v>
      </c>
      <c r="S21" s="53">
        <f t="shared" si="20"/>
        <v>7.4090912000000009E-2</v>
      </c>
      <c r="T21" s="53">
        <f t="shared" si="20"/>
        <v>7.4090912000000009E-2</v>
      </c>
      <c r="U21" s="53">
        <f t="shared" si="20"/>
        <v>7.4090912000000009E-2</v>
      </c>
      <c r="V21" s="53">
        <f t="shared" si="20"/>
        <v>7.4090912000000009E-2</v>
      </c>
      <c r="W21" s="53">
        <f t="shared" si="20"/>
        <v>7.4090912000000009E-2</v>
      </c>
      <c r="X21" s="53">
        <f t="shared" si="20"/>
        <v>7.4090912000000009E-2</v>
      </c>
      <c r="Y21" s="53">
        <f t="shared" si="20"/>
        <v>7.4090912000000009E-2</v>
      </c>
      <c r="Z21" s="53">
        <f t="shared" si="20"/>
        <v>7.4090912000000009E-2</v>
      </c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</row>
    <row r="22" spans="1:37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ht="14">
      <c r="A23" s="23" t="s">
        <v>0</v>
      </c>
      <c r="B23" s="7">
        <f>('Rate Base - coal'!C16)*1000</f>
        <v>137733753.65914494</v>
      </c>
      <c r="C23" s="7">
        <f>('Rate Base - coal'!D16)*1000</f>
        <v>125923988.3793769</v>
      </c>
      <c r="D23" s="7">
        <f>('Rate Base - coal'!E16)*1000</f>
        <v>114366100.89102735</v>
      </c>
      <c r="E23" s="7">
        <f>('Rate Base - coal'!F16)*1000</f>
        <v>103040572.98885727</v>
      </c>
      <c r="F23" s="7">
        <f>('Rate Base - coal'!G16)*1000</f>
        <v>91930674.782661706</v>
      </c>
      <c r="G23" s="7">
        <f>('Rate Base - coal'!H16)*1000</f>
        <v>81019676.382235751</v>
      </c>
      <c r="H23" s="7">
        <f>('Rate Base - coal'!I16)*1000</f>
        <v>70293171.493236274</v>
      </c>
      <c r="I23" s="7">
        <f>('Rate Base - coal'!J16)*1000</f>
        <v>59736753.821320146</v>
      </c>
      <c r="J23" s="7">
        <f>('Rate Base - coal'!K16)*1000</f>
        <v>49208219.299745575</v>
      </c>
      <c r="K23" s="7">
        <f>('Rate Base - coal'!L16)*1000</f>
        <v>38680149.497343339</v>
      </c>
      <c r="L23" s="7">
        <f>('Rate Base - coal'!M16)*1000</f>
        <v>28151614.975768756</v>
      </c>
      <c r="M23" s="7">
        <f>('Rate Base - coal'!N16)*1000</f>
        <v>22264073.151074879</v>
      </c>
      <c r="N23" s="7">
        <f>('Rate Base - coal'!O16)*1000</f>
        <v>20100411.51941096</v>
      </c>
      <c r="O23" s="7">
        <f>('Rate Base - coal'!P16)*1000</f>
        <v>17943978.133592412</v>
      </c>
      <c r="P23" s="7">
        <f>('Rate Base - coal'!Q16)*1000</f>
        <v>15793319.4443515</v>
      </c>
      <c r="Q23" s="7">
        <f>('Rate Base - coal'!R16)*1000</f>
        <v>13648915.652098948</v>
      </c>
      <c r="R23" s="7">
        <f>('Rate Base - coal'!S16)*1000</f>
        <v>11509388.080556035</v>
      </c>
      <c r="S23" s="7">
        <f>('Rate Base - coal'!T16)*1000</f>
        <v>9375279.3242909815</v>
      </c>
      <c r="T23" s="7">
        <f>('Rate Base - coal'!U16)*1000</f>
        <v>7245273.1011825707</v>
      </c>
      <c r="U23" s="7">
        <f>('Rate Base - coal'!V16)*1000</f>
        <v>5116480.3271365166</v>
      </c>
      <c r="V23" s="7">
        <f>('Rate Base - coal'!W16)*1000</f>
        <v>4024023.7862823117</v>
      </c>
      <c r="W23" s="7">
        <f>('Rate Base - coal'!X16)*1000</f>
        <v>3968343.2401293111</v>
      </c>
      <c r="X23" s="7">
        <f>('Rate Base - coal'!Y16)*1000</f>
        <v>3912675.1728078113</v>
      </c>
      <c r="Y23" s="7">
        <f>('Rate Base - coal'!Z16)*1000</f>
        <v>3856994.6266548112</v>
      </c>
      <c r="Z23" s="7">
        <f>('Rate Base - coal'!AA16)*1000</f>
        <v>3801326.5593333109</v>
      </c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ht="14">
      <c r="A24" s="23" t="s">
        <v>40</v>
      </c>
      <c r="B24" s="7">
        <f>B23*B21</f>
        <v>10204819.421789387</v>
      </c>
      <c r="C24" s="7">
        <f>C23*C21</f>
        <v>9329823.1417054385</v>
      </c>
      <c r="D24" s="7">
        <f>D23*D21</f>
        <v>8473488.7169002295</v>
      </c>
      <c r="E24" s="7">
        <f>E23*E21</f>
        <v>7634370.0257470021</v>
      </c>
      <c r="F24" s="7">
        <f>F23*F21</f>
        <v>6811227.5354228085</v>
      </c>
      <c r="G24" s="7">
        <f t="shared" ref="G24:L24" si="21">G23*G21</f>
        <v>6002821.7131047081</v>
      </c>
      <c r="H24" s="7">
        <f t="shared" si="21"/>
        <v>5208085.1833062777</v>
      </c>
      <c r="I24" s="7">
        <f t="shared" si="21"/>
        <v>4425950.570541095</v>
      </c>
      <c r="J24" s="7">
        <f t="shared" si="21"/>
        <v>3645881.8458141512</v>
      </c>
      <c r="K24" s="7">
        <f t="shared" si="21"/>
        <v>2865847.5525545101</v>
      </c>
      <c r="L24" s="7">
        <f t="shared" si="21"/>
        <v>2085778.8278275654</v>
      </c>
      <c r="M24" s="7">
        <f t="shared" ref="M24:Z24" si="22">M23*M21</f>
        <v>1649565.4845978518</v>
      </c>
      <c r="N24" s="7">
        <f t="shared" si="22"/>
        <v>1489257.8210484639</v>
      </c>
      <c r="O24" s="7">
        <f t="shared" si="22"/>
        <v>1329485.7048259198</v>
      </c>
      <c r="P24" s="7">
        <f t="shared" si="22"/>
        <v>1170141.441139336</v>
      </c>
      <c r="Q24" s="7">
        <f t="shared" si="22"/>
        <v>1011260.6084750859</v>
      </c>
      <c r="R24" s="7">
        <f t="shared" si="22"/>
        <v>852741.05945032625</v>
      </c>
      <c r="S24" s="7">
        <f t="shared" si="22"/>
        <v>694622.9953914627</v>
      </c>
      <c r="T24" s="7">
        <f t="shared" si="22"/>
        <v>536808.89175568498</v>
      </c>
      <c r="U24" s="7">
        <f t="shared" si="22"/>
        <v>379084.6936676029</v>
      </c>
      <c r="V24" s="7">
        <f t="shared" si="22"/>
        <v>298143.59223534958</v>
      </c>
      <c r="W24" s="7">
        <f t="shared" si="22"/>
        <v>294018.16979021567</v>
      </c>
      <c r="X24" s="7">
        <f t="shared" si="22"/>
        <v>289893.67191308836</v>
      </c>
      <c r="Y24" s="7">
        <f t="shared" si="22"/>
        <v>285768.24946795451</v>
      </c>
      <c r="Z24" s="7">
        <f t="shared" si="22"/>
        <v>281643.75159082713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ht="14">
      <c r="A25" s="99"/>
      <c r="B25" s="81"/>
      <c r="C25" s="8"/>
    </row>
    <row r="26" spans="1:37">
      <c r="A26" s="1" t="s">
        <v>61</v>
      </c>
      <c r="B26" s="38">
        <f>B24+B19</f>
        <v>17703131.10929925</v>
      </c>
      <c r="C26" s="38">
        <f>C24+C19</f>
        <v>16910160.934517533</v>
      </c>
      <c r="D26" s="38">
        <f>D24+D19</f>
        <v>16134103.168369964</v>
      </c>
      <c r="E26" s="38">
        <f>E24+E19</f>
        <v>15373647.255205926</v>
      </c>
      <c r="F26" s="38">
        <f>F24+F19</f>
        <v>14627669.861610599</v>
      </c>
      <c r="G26" s="38">
        <f t="shared" ref="G26:L26" si="23">G24+G19</f>
        <v>13895047.654169172</v>
      </c>
      <c r="H26" s="38">
        <f t="shared" si="23"/>
        <v>13174813.31799667</v>
      </c>
      <c r="I26" s="38">
        <f t="shared" si="23"/>
        <v>12465999.538208108</v>
      </c>
      <c r="J26" s="38">
        <f t="shared" si="23"/>
        <v>11759057.980777575</v>
      </c>
      <c r="K26" s="38">
        <f t="shared" si="23"/>
        <v>11052147.627053004</v>
      </c>
      <c r="L26" s="38">
        <f t="shared" si="23"/>
        <v>10345206.069622466</v>
      </c>
      <c r="M26" s="38">
        <f t="shared" ref="M26:Z26" si="24">M24+M19</f>
        <v>10262561.740551509</v>
      </c>
      <c r="N26" s="38">
        <f t="shared" si="24"/>
        <v>1340899.4483597756</v>
      </c>
      <c r="O26" s="38">
        <f t="shared" si="24"/>
        <v>1197043.6703486484</v>
      </c>
      <c r="P26" s="38">
        <f t="shared" si="24"/>
        <v>1053573.1226323289</v>
      </c>
      <c r="Q26" s="38">
        <f t="shared" si="24"/>
        <v>910519.83940401056</v>
      </c>
      <c r="R26" s="38">
        <f t="shared" si="24"/>
        <v>767791.8491008298</v>
      </c>
      <c r="S26" s="38">
        <f t="shared" si="24"/>
        <v>625425.34823331772</v>
      </c>
      <c r="T26" s="38">
        <f t="shared" si="24"/>
        <v>483332.52755594952</v>
      </c>
      <c r="U26" s="38">
        <f t="shared" si="24"/>
        <v>341320.65612565418</v>
      </c>
      <c r="V26" s="38">
        <f t="shared" si="24"/>
        <v>268442.82615815266</v>
      </c>
      <c r="W26" s="38">
        <f t="shared" si="24"/>
        <v>264728.3741655242</v>
      </c>
      <c r="X26" s="38">
        <f t="shared" si="24"/>
        <v>261014.75463636336</v>
      </c>
      <c r="Y26" s="38">
        <f t="shared" si="24"/>
        <v>257300.3026437349</v>
      </c>
      <c r="Z26" s="38">
        <f t="shared" si="24"/>
        <v>253586.683114574</v>
      </c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</row>
    <row r="27" spans="1:37" s="47" customFormat="1">
      <c r="A27" s="47" t="s">
        <v>62</v>
      </c>
      <c r="B27" s="122">
        <f t="shared" ref="B27:Z27" si="25">GRCF</f>
        <v>1.33849291</v>
      </c>
      <c r="C27" s="122">
        <f t="shared" si="25"/>
        <v>1.33849291</v>
      </c>
      <c r="D27" s="122">
        <f t="shared" si="25"/>
        <v>1.33849291</v>
      </c>
      <c r="E27" s="122">
        <f t="shared" si="25"/>
        <v>1.33849291</v>
      </c>
      <c r="F27" s="122">
        <f t="shared" si="25"/>
        <v>1.33849291</v>
      </c>
      <c r="G27" s="122">
        <f t="shared" si="25"/>
        <v>1.33849291</v>
      </c>
      <c r="H27" s="122">
        <f t="shared" si="25"/>
        <v>1.33849291</v>
      </c>
      <c r="I27" s="122">
        <f t="shared" si="25"/>
        <v>1.33849291</v>
      </c>
      <c r="J27" s="122">
        <f t="shared" si="25"/>
        <v>1.33849291</v>
      </c>
      <c r="K27" s="122">
        <f t="shared" si="25"/>
        <v>1.33849291</v>
      </c>
      <c r="L27" s="122">
        <f t="shared" si="25"/>
        <v>1.33849291</v>
      </c>
      <c r="M27" s="122">
        <f t="shared" si="25"/>
        <v>1.33849291</v>
      </c>
      <c r="N27" s="122">
        <f t="shared" si="25"/>
        <v>1.33849291</v>
      </c>
      <c r="O27" s="122">
        <f t="shared" si="25"/>
        <v>1.33849291</v>
      </c>
      <c r="P27" s="122">
        <f t="shared" si="25"/>
        <v>1.33849291</v>
      </c>
      <c r="Q27" s="122">
        <f t="shared" si="25"/>
        <v>1.33849291</v>
      </c>
      <c r="R27" s="122">
        <f t="shared" si="25"/>
        <v>1.33849291</v>
      </c>
      <c r="S27" s="122">
        <f t="shared" si="25"/>
        <v>1.33849291</v>
      </c>
      <c r="T27" s="122">
        <f t="shared" si="25"/>
        <v>1.33849291</v>
      </c>
      <c r="U27" s="122">
        <f t="shared" si="25"/>
        <v>1.33849291</v>
      </c>
      <c r="V27" s="122">
        <f t="shared" si="25"/>
        <v>1.33849291</v>
      </c>
      <c r="W27" s="122">
        <f t="shared" si="25"/>
        <v>1.33849291</v>
      </c>
      <c r="X27" s="122">
        <f t="shared" si="25"/>
        <v>1.33849291</v>
      </c>
      <c r="Y27" s="122">
        <f t="shared" si="25"/>
        <v>1.33849291</v>
      </c>
      <c r="Z27" s="122">
        <f t="shared" si="25"/>
        <v>1.33849291</v>
      </c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</row>
    <row r="28" spans="1:37" ht="14.5" thickBot="1">
      <c r="A28" s="23" t="s">
        <v>63</v>
      </c>
      <c r="B28" s="5">
        <f>B26*B27</f>
        <v>23695515.47459748</v>
      </c>
      <c r="C28" s="5">
        <f>C26*C27</f>
        <v>22634130.517810691</v>
      </c>
      <c r="D28" s="5">
        <f>D26*D27</f>
        <v>21595382.700071733</v>
      </c>
      <c r="E28" s="5">
        <f>E26*E27</f>
        <v>20577517.851934094</v>
      </c>
      <c r="F28" s="5">
        <f>F26*F27</f>
        <v>19579032.399586469</v>
      </c>
      <c r="G28" s="5">
        <f t="shared" ref="G28:L28" si="26">G26*G27</f>
        <v>18598422.769217569</v>
      </c>
      <c r="H28" s="5">
        <f t="shared" si="26"/>
        <v>17634394.216712117</v>
      </c>
      <c r="I28" s="5">
        <f t="shared" si="26"/>
        <v>16685651.997954827</v>
      </c>
      <c r="J28" s="5">
        <f t="shared" si="26"/>
        <v>15739415.735549701</v>
      </c>
      <c r="K28" s="5">
        <f t="shared" si="26"/>
        <v>14793221.239083771</v>
      </c>
      <c r="L28" s="5">
        <f t="shared" si="26"/>
        <v>13846984.976678638</v>
      </c>
      <c r="M28" s="5">
        <f t="shared" ref="M28:Z28" si="27">M26*M27</f>
        <v>13736366.128165454</v>
      </c>
      <c r="N28" s="5">
        <f t="shared" si="27"/>
        <v>1794784.4046524707</v>
      </c>
      <c r="O28" s="5">
        <f t="shared" si="27"/>
        <v>1602234.4657220433</v>
      </c>
      <c r="P28" s="5">
        <f t="shared" si="27"/>
        <v>1410200.1548099327</v>
      </c>
      <c r="Q28" s="5">
        <f t="shared" si="27"/>
        <v>1218724.3494566069</v>
      </c>
      <c r="R28" s="5">
        <f t="shared" si="27"/>
        <v>1027683.9463772506</v>
      </c>
      <c r="S28" s="5">
        <f t="shared" si="27"/>
        <v>837127.39434457687</v>
      </c>
      <c r="T28" s="5">
        <f t="shared" si="27"/>
        <v>646937.16130601813</v>
      </c>
      <c r="U28" s="5">
        <f t="shared" si="27"/>
        <v>456855.2782607362</v>
      </c>
      <c r="V28" s="5">
        <f t="shared" si="27"/>
        <v>359308.81955304986</v>
      </c>
      <c r="W28" s="5">
        <f t="shared" si="27"/>
        <v>354337.05189638131</v>
      </c>
      <c r="X28" s="5">
        <f t="shared" si="27"/>
        <v>349366.39848616201</v>
      </c>
      <c r="Y28" s="5">
        <f t="shared" si="27"/>
        <v>344394.63082949346</v>
      </c>
      <c r="Z28" s="5">
        <f t="shared" si="27"/>
        <v>339423.97741927404</v>
      </c>
      <c r="AA28" s="190"/>
      <c r="AB28" s="190"/>
      <c r="AC28" s="190"/>
      <c r="AD28" s="190"/>
      <c r="AE28" s="190"/>
      <c r="AF28" s="190"/>
      <c r="AG28" s="190"/>
      <c r="AH28" s="190"/>
      <c r="AI28" s="190"/>
      <c r="AJ28" s="190"/>
      <c r="AK28" s="190"/>
    </row>
    <row r="29" spans="1:37" ht="13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91"/>
      <c r="AB29" s="191"/>
      <c r="AC29" s="191"/>
      <c r="AD29" s="191"/>
      <c r="AE29" s="191"/>
      <c r="AF29" s="191"/>
      <c r="AG29" s="191"/>
      <c r="AH29" s="191"/>
      <c r="AI29" s="191"/>
      <c r="AJ29" s="191"/>
      <c r="AK29" s="191"/>
    </row>
    <row r="30" spans="1:37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91"/>
      <c r="AB30" s="191"/>
      <c r="AC30" s="191"/>
      <c r="AD30" s="191"/>
      <c r="AE30" s="191"/>
      <c r="AF30" s="191"/>
      <c r="AG30" s="191"/>
      <c r="AH30" s="191"/>
      <c r="AI30" s="191"/>
      <c r="AJ30" s="191"/>
      <c r="AK30" s="191"/>
    </row>
    <row r="31" spans="1:37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191"/>
      <c r="AB31" s="191"/>
      <c r="AC31" s="191"/>
      <c r="AD31" s="191"/>
      <c r="AE31" s="191"/>
      <c r="AF31" s="191"/>
      <c r="AG31" s="191"/>
      <c r="AH31" s="191"/>
      <c r="AI31" s="191"/>
      <c r="AJ31" s="191"/>
      <c r="AK31" s="191"/>
    </row>
    <row r="32" spans="1:37">
      <c r="A32" s="7" t="s">
        <v>251</v>
      </c>
      <c r="B32" s="38">
        <f>B28</f>
        <v>23695515.47459748</v>
      </c>
      <c r="C32" s="38">
        <f t="shared" ref="C32:Z32" si="28">C28</f>
        <v>22634130.517810691</v>
      </c>
      <c r="D32" s="38">
        <f t="shared" si="28"/>
        <v>21595382.700071733</v>
      </c>
      <c r="E32" s="38">
        <f t="shared" si="28"/>
        <v>20577517.851934094</v>
      </c>
      <c r="F32" s="38">
        <f t="shared" si="28"/>
        <v>19579032.399586469</v>
      </c>
      <c r="G32" s="38">
        <f t="shared" si="28"/>
        <v>18598422.769217569</v>
      </c>
      <c r="H32" s="38">
        <f t="shared" si="28"/>
        <v>17634394.216712117</v>
      </c>
      <c r="I32" s="38">
        <f t="shared" si="28"/>
        <v>16685651.997954827</v>
      </c>
      <c r="J32" s="38">
        <f t="shared" si="28"/>
        <v>15739415.735549701</v>
      </c>
      <c r="K32" s="38">
        <f t="shared" si="28"/>
        <v>14793221.239083771</v>
      </c>
      <c r="L32" s="38">
        <f t="shared" si="28"/>
        <v>13846984.976678638</v>
      </c>
      <c r="M32" s="38">
        <f t="shared" si="28"/>
        <v>13736366.128165454</v>
      </c>
      <c r="N32" s="38">
        <f t="shared" si="28"/>
        <v>1794784.4046524707</v>
      </c>
      <c r="O32" s="38">
        <f t="shared" si="28"/>
        <v>1602234.4657220433</v>
      </c>
      <c r="P32" s="38">
        <f t="shared" si="28"/>
        <v>1410200.1548099327</v>
      </c>
      <c r="Q32" s="38">
        <f t="shared" si="28"/>
        <v>1218724.3494566069</v>
      </c>
      <c r="R32" s="38">
        <f t="shared" si="28"/>
        <v>1027683.9463772506</v>
      </c>
      <c r="S32" s="38">
        <f t="shared" si="28"/>
        <v>837127.39434457687</v>
      </c>
      <c r="T32" s="38">
        <f t="shared" si="28"/>
        <v>646937.16130601813</v>
      </c>
      <c r="U32" s="38">
        <f t="shared" si="28"/>
        <v>456855.2782607362</v>
      </c>
      <c r="V32" s="38">
        <f t="shared" si="28"/>
        <v>359308.81955304986</v>
      </c>
      <c r="W32" s="38">
        <f t="shared" si="28"/>
        <v>354337.05189638131</v>
      </c>
      <c r="X32" s="38">
        <f t="shared" si="28"/>
        <v>349366.39848616201</v>
      </c>
      <c r="Y32" s="38">
        <f t="shared" si="28"/>
        <v>344394.63082949346</v>
      </c>
      <c r="Z32" s="38">
        <f t="shared" si="28"/>
        <v>339423.97741927404</v>
      </c>
      <c r="AA32" s="191"/>
      <c r="AB32" s="191"/>
      <c r="AC32" s="191"/>
      <c r="AD32" s="191"/>
      <c r="AE32" s="191"/>
      <c r="AF32" s="191"/>
      <c r="AG32" s="191"/>
      <c r="AH32" s="191"/>
      <c r="AI32" s="191"/>
      <c r="AJ32" s="191"/>
      <c r="AK32" s="191"/>
    </row>
    <row r="33" spans="1:37" s="183" customFormat="1">
      <c r="A33" s="185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</row>
    <row r="34" spans="1:37">
      <c r="A34" s="97" t="s">
        <v>259</v>
      </c>
      <c r="B34" s="38">
        <f>NPV(B21,B32:K32)</f>
        <v>135998956.88315877</v>
      </c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191"/>
      <c r="AB34" s="191"/>
      <c r="AC34" s="191"/>
      <c r="AD34" s="191"/>
      <c r="AE34" s="191"/>
      <c r="AF34" s="191"/>
      <c r="AG34" s="191"/>
      <c r="AH34" s="191"/>
      <c r="AI34" s="191"/>
      <c r="AJ34" s="191"/>
      <c r="AK34" s="191"/>
    </row>
    <row r="35" spans="1:37">
      <c r="A35" s="97" t="s">
        <v>260</v>
      </c>
      <c r="B35" s="38">
        <f>AVERAGE(B32:K32)</f>
        <v>19153268.490251843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191"/>
      <c r="AB35" s="191"/>
      <c r="AC35" s="191"/>
      <c r="AD35" s="191"/>
      <c r="AE35" s="191"/>
      <c r="AF35" s="191"/>
      <c r="AG35" s="191"/>
      <c r="AH35" s="191"/>
      <c r="AI35" s="191"/>
      <c r="AJ35" s="191"/>
      <c r="AK35" s="191"/>
    </row>
    <row r="36" spans="1:37">
      <c r="A36" s="97"/>
      <c r="B36" s="38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</row>
    <row r="37" spans="1:37">
      <c r="A37" s="7"/>
      <c r="B37" s="3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191"/>
      <c r="AB37" s="191"/>
      <c r="AC37" s="191"/>
      <c r="AD37" s="191"/>
      <c r="AE37" s="191"/>
      <c r="AF37" s="191"/>
      <c r="AG37" s="191"/>
      <c r="AH37" s="191"/>
      <c r="AI37" s="191"/>
      <c r="AJ37" s="191"/>
      <c r="AK37" s="191"/>
    </row>
    <row r="38" spans="1:37" ht="13">
      <c r="A38" s="52" t="s">
        <v>112</v>
      </c>
      <c r="B38" s="39"/>
    </row>
    <row r="39" spans="1:37">
      <c r="A39" s="1" t="s">
        <v>66</v>
      </c>
      <c r="B39" s="100">
        <f t="shared" ref="B39:Z39" si="29">B28</f>
        <v>23695515.47459748</v>
      </c>
      <c r="C39" s="100">
        <f t="shared" si="29"/>
        <v>22634130.517810691</v>
      </c>
      <c r="D39" s="100">
        <f t="shared" si="29"/>
        <v>21595382.700071733</v>
      </c>
      <c r="E39" s="100">
        <f t="shared" si="29"/>
        <v>20577517.851934094</v>
      </c>
      <c r="F39" s="100">
        <f t="shared" si="29"/>
        <v>19579032.399586469</v>
      </c>
      <c r="G39" s="100">
        <f t="shared" si="29"/>
        <v>18598422.769217569</v>
      </c>
      <c r="H39" s="100">
        <f t="shared" si="29"/>
        <v>17634394.216712117</v>
      </c>
      <c r="I39" s="100">
        <f t="shared" si="29"/>
        <v>16685651.997954827</v>
      </c>
      <c r="J39" s="100">
        <f t="shared" si="29"/>
        <v>15739415.735549701</v>
      </c>
      <c r="K39" s="100">
        <f t="shared" si="29"/>
        <v>14793221.239083771</v>
      </c>
      <c r="L39" s="100">
        <f t="shared" si="29"/>
        <v>13846984.976678638</v>
      </c>
      <c r="M39" s="100">
        <f t="shared" si="29"/>
        <v>13736366.128165454</v>
      </c>
      <c r="N39" s="100">
        <f t="shared" si="29"/>
        <v>1794784.4046524707</v>
      </c>
      <c r="O39" s="100">
        <f t="shared" si="29"/>
        <v>1602234.4657220433</v>
      </c>
      <c r="P39" s="100">
        <f t="shared" si="29"/>
        <v>1410200.1548099327</v>
      </c>
      <c r="Q39" s="100">
        <f t="shared" si="29"/>
        <v>1218724.3494566069</v>
      </c>
      <c r="R39" s="100">
        <f t="shared" si="29"/>
        <v>1027683.9463772506</v>
      </c>
      <c r="S39" s="100">
        <f t="shared" si="29"/>
        <v>837127.39434457687</v>
      </c>
      <c r="T39" s="100">
        <f t="shared" si="29"/>
        <v>646937.16130601813</v>
      </c>
      <c r="U39" s="100">
        <f t="shared" si="29"/>
        <v>456855.2782607362</v>
      </c>
      <c r="V39" s="100">
        <f t="shared" si="29"/>
        <v>359308.81955304986</v>
      </c>
      <c r="W39" s="100">
        <f t="shared" si="29"/>
        <v>354337.05189638131</v>
      </c>
      <c r="X39" s="100">
        <f t="shared" si="29"/>
        <v>349366.39848616201</v>
      </c>
      <c r="Y39" s="100">
        <f t="shared" si="29"/>
        <v>344394.63082949346</v>
      </c>
      <c r="Z39" s="100">
        <f t="shared" si="29"/>
        <v>339423.97741927404</v>
      </c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</row>
    <row r="40" spans="1:37">
      <c r="A40" s="1" t="s">
        <v>104</v>
      </c>
      <c r="B40" s="3">
        <f t="shared" ref="B40:Z40" si="30">B13+B14</f>
        <v>11346802.243788971</v>
      </c>
      <c r="C40" s="3">
        <f t="shared" si="30"/>
        <v>11339952.579926705</v>
      </c>
      <c r="D40" s="3">
        <f t="shared" si="30"/>
        <v>11333249.005183462</v>
      </c>
      <c r="E40" s="3">
        <f t="shared" si="30"/>
        <v>11326680.199000204</v>
      </c>
      <c r="F40" s="3">
        <f t="shared" si="30"/>
        <v>11320236.45804061</v>
      </c>
      <c r="G40" s="3">
        <f t="shared" si="30"/>
        <v>11313908.078968363</v>
      </c>
      <c r="H40" s="3">
        <f t="shared" si="30"/>
        <v>11307686.706132744</v>
      </c>
      <c r="I40" s="3">
        <f t="shared" si="30"/>
        <v>11301563.983883033</v>
      </c>
      <c r="J40" s="3">
        <f t="shared" si="30"/>
        <v>11295457.433860518</v>
      </c>
      <c r="K40" s="3">
        <f t="shared" si="30"/>
        <v>11289351.153375125</v>
      </c>
      <c r="L40" s="3">
        <f t="shared" si="30"/>
        <v>11283244.603352612</v>
      </c>
      <c r="M40" s="3">
        <f t="shared" si="30"/>
        <v>11696496.495760955</v>
      </c>
      <c r="N40" s="3">
        <f t="shared" si="30"/>
        <v>0</v>
      </c>
      <c r="O40" s="3">
        <f t="shared" si="30"/>
        <v>0</v>
      </c>
      <c r="P40" s="3">
        <f t="shared" si="30"/>
        <v>0</v>
      </c>
      <c r="Q40" s="3">
        <f t="shared" si="30"/>
        <v>0</v>
      </c>
      <c r="R40" s="3">
        <f t="shared" si="30"/>
        <v>0</v>
      </c>
      <c r="S40" s="3">
        <f t="shared" si="30"/>
        <v>0</v>
      </c>
      <c r="T40" s="3">
        <f t="shared" si="30"/>
        <v>0</v>
      </c>
      <c r="U40" s="3">
        <f t="shared" si="30"/>
        <v>0</v>
      </c>
      <c r="V40" s="3">
        <f t="shared" si="30"/>
        <v>0</v>
      </c>
      <c r="W40" s="3">
        <f t="shared" si="30"/>
        <v>0</v>
      </c>
      <c r="X40" s="3">
        <f t="shared" si="30"/>
        <v>0</v>
      </c>
      <c r="Y40" s="3">
        <f t="shared" si="30"/>
        <v>0</v>
      </c>
      <c r="Z40" s="3">
        <f t="shared" si="30"/>
        <v>0</v>
      </c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 spans="1:37">
      <c r="A41" s="1" t="s">
        <v>67</v>
      </c>
      <c r="B41" s="38">
        <f t="shared" ref="B41:Z41" si="31">(B28-B26)+B15+B16+B17+B18</f>
        <v>2143893.8090191204</v>
      </c>
      <c r="C41" s="38">
        <f t="shared" si="31"/>
        <v>1964354.79617855</v>
      </c>
      <c r="D41" s="38">
        <f t="shared" si="31"/>
        <v>1788644.9779880415</v>
      </c>
      <c r="E41" s="38">
        <f t="shared" si="31"/>
        <v>1616467.6271868881</v>
      </c>
      <c r="F41" s="38">
        <f t="shared" si="31"/>
        <v>1447568.4061230498</v>
      </c>
      <c r="G41" s="38">
        <f t="shared" si="31"/>
        <v>1281692.9771445002</v>
      </c>
      <c r="H41" s="38">
        <f t="shared" si="31"/>
        <v>1118622.3272730964</v>
      </c>
      <c r="I41" s="38">
        <f t="shared" si="31"/>
        <v>958137.44353070087</v>
      </c>
      <c r="J41" s="38">
        <f t="shared" si="31"/>
        <v>798076.45587503037</v>
      </c>
      <c r="K41" s="38">
        <f t="shared" si="31"/>
        <v>638022.53315413545</v>
      </c>
      <c r="L41" s="38">
        <f t="shared" si="31"/>
        <v>477961.54549845995</v>
      </c>
      <c r="M41" s="38">
        <f t="shared" si="31"/>
        <v>390304.14780664549</v>
      </c>
      <c r="N41" s="38">
        <f t="shared" si="31"/>
        <v>305526.5836040068</v>
      </c>
      <c r="O41" s="38">
        <f t="shared" si="31"/>
        <v>272748.76089612348</v>
      </c>
      <c r="P41" s="38">
        <f t="shared" si="31"/>
        <v>240058.71367059671</v>
      </c>
      <c r="Q41" s="38">
        <f t="shared" si="31"/>
        <v>207463.74098152085</v>
      </c>
      <c r="R41" s="38">
        <f t="shared" si="31"/>
        <v>174942.88692692434</v>
      </c>
      <c r="S41" s="38">
        <f t="shared" si="31"/>
        <v>142504.39895311417</v>
      </c>
      <c r="T41" s="38">
        <f t="shared" si="31"/>
        <v>110128.26955033327</v>
      </c>
      <c r="U41" s="38">
        <f t="shared" si="31"/>
        <v>77770.584593133302</v>
      </c>
      <c r="V41" s="38">
        <f t="shared" si="31"/>
        <v>61165.227317700279</v>
      </c>
      <c r="W41" s="38">
        <f t="shared" si="31"/>
        <v>60318.882106165649</v>
      </c>
      <c r="X41" s="38">
        <f t="shared" si="31"/>
        <v>59472.726573073654</v>
      </c>
      <c r="Y41" s="38">
        <f t="shared" si="31"/>
        <v>58626.381361538952</v>
      </c>
      <c r="Z41" s="38">
        <f t="shared" si="31"/>
        <v>57780.225828446928</v>
      </c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</row>
    <row r="42" spans="1:37">
      <c r="A42" s="45" t="s">
        <v>7</v>
      </c>
      <c r="B42" s="46">
        <f>B40+B41</f>
        <v>13490696.052808091</v>
      </c>
      <c r="C42" s="46">
        <f>C40+C41</f>
        <v>13304307.376105255</v>
      </c>
      <c r="D42" s="46">
        <f>D40+D41</f>
        <v>13121893.983171504</v>
      </c>
      <c r="E42" s="46">
        <f>E40+E41</f>
        <v>12943147.826187093</v>
      </c>
      <c r="F42" s="46">
        <f>F40+F41</f>
        <v>12767804.86416366</v>
      </c>
      <c r="G42" s="46">
        <f t="shared" ref="G42:L42" si="32">G40+G41</f>
        <v>12595601.056112863</v>
      </c>
      <c r="H42" s="46">
        <f t="shared" si="32"/>
        <v>12426309.03340584</v>
      </c>
      <c r="I42" s="46">
        <f t="shared" si="32"/>
        <v>12259701.427413734</v>
      </c>
      <c r="J42" s="46">
        <f t="shared" si="32"/>
        <v>12093533.889735548</v>
      </c>
      <c r="K42" s="46">
        <f t="shared" si="32"/>
        <v>11927373.68652926</v>
      </c>
      <c r="L42" s="46">
        <f t="shared" si="32"/>
        <v>11761206.148851072</v>
      </c>
      <c r="M42" s="46">
        <f t="shared" ref="M42:Z42" si="33">M40+M41</f>
        <v>12086800.643567601</v>
      </c>
      <c r="N42" s="46">
        <f t="shared" si="33"/>
        <v>305526.5836040068</v>
      </c>
      <c r="O42" s="46">
        <f t="shared" si="33"/>
        <v>272748.76089612348</v>
      </c>
      <c r="P42" s="46">
        <f t="shared" si="33"/>
        <v>240058.71367059671</v>
      </c>
      <c r="Q42" s="46">
        <f t="shared" si="33"/>
        <v>207463.74098152085</v>
      </c>
      <c r="R42" s="46">
        <f t="shared" si="33"/>
        <v>174942.88692692434</v>
      </c>
      <c r="S42" s="46">
        <f t="shared" si="33"/>
        <v>142504.39895311417</v>
      </c>
      <c r="T42" s="46">
        <f t="shared" si="33"/>
        <v>110128.26955033327</v>
      </c>
      <c r="U42" s="46">
        <f t="shared" si="33"/>
        <v>77770.584593133302</v>
      </c>
      <c r="V42" s="46">
        <f t="shared" si="33"/>
        <v>61165.227317700279</v>
      </c>
      <c r="W42" s="46">
        <f t="shared" si="33"/>
        <v>60318.882106165649</v>
      </c>
      <c r="X42" s="46">
        <f t="shared" si="33"/>
        <v>59472.726573073654</v>
      </c>
      <c r="Y42" s="46">
        <f t="shared" si="33"/>
        <v>58626.381361538952</v>
      </c>
      <c r="Z42" s="46">
        <f t="shared" si="33"/>
        <v>57780.225828446928</v>
      </c>
      <c r="AA42" s="188"/>
      <c r="AB42" s="188"/>
      <c r="AC42" s="188"/>
      <c r="AD42" s="188"/>
      <c r="AE42" s="188"/>
      <c r="AF42" s="188"/>
      <c r="AG42" s="188"/>
      <c r="AH42" s="188"/>
      <c r="AI42" s="188"/>
      <c r="AJ42" s="188"/>
      <c r="AK42" s="188"/>
    </row>
    <row r="43" spans="1:37">
      <c r="A43" s="4" t="s">
        <v>103</v>
      </c>
      <c r="B43" s="39">
        <f>B39-B42</f>
        <v>10204819.421789389</v>
      </c>
      <c r="C43" s="39">
        <f t="shared" ref="C43:Z43" si="34">C39-C42</f>
        <v>9329823.1417054366</v>
      </c>
      <c r="D43" s="39">
        <f t="shared" si="34"/>
        <v>8473488.7169002295</v>
      </c>
      <c r="E43" s="39">
        <f t="shared" si="34"/>
        <v>7634370.0257470012</v>
      </c>
      <c r="F43" s="39">
        <f t="shared" si="34"/>
        <v>6811227.5354228094</v>
      </c>
      <c r="G43" s="39">
        <f t="shared" si="34"/>
        <v>6002821.7131047063</v>
      </c>
      <c r="H43" s="39">
        <f t="shared" si="34"/>
        <v>5208085.1833062768</v>
      </c>
      <c r="I43" s="39">
        <f t="shared" si="34"/>
        <v>4425950.5705410931</v>
      </c>
      <c r="J43" s="39">
        <f t="shared" si="34"/>
        <v>3645881.8458141536</v>
      </c>
      <c r="K43" s="39">
        <f t="shared" si="34"/>
        <v>2865847.5525545105</v>
      </c>
      <c r="L43" s="39">
        <f t="shared" si="34"/>
        <v>2085778.8278275654</v>
      </c>
      <c r="M43" s="39">
        <f t="shared" si="34"/>
        <v>1649565.4845978525</v>
      </c>
      <c r="N43" s="39">
        <f t="shared" si="34"/>
        <v>1489257.8210484639</v>
      </c>
      <c r="O43" s="39">
        <f t="shared" si="34"/>
        <v>1329485.7048259198</v>
      </c>
      <c r="P43" s="39">
        <f t="shared" si="34"/>
        <v>1170141.441139336</v>
      </c>
      <c r="Q43" s="39">
        <f t="shared" si="34"/>
        <v>1011260.608475086</v>
      </c>
      <c r="R43" s="39">
        <f t="shared" si="34"/>
        <v>852741.05945032625</v>
      </c>
      <c r="S43" s="39">
        <f t="shared" si="34"/>
        <v>694622.9953914627</v>
      </c>
      <c r="T43" s="39">
        <f t="shared" si="34"/>
        <v>536808.89175568486</v>
      </c>
      <c r="U43" s="39">
        <f t="shared" si="34"/>
        <v>379084.6936676029</v>
      </c>
      <c r="V43" s="39">
        <f t="shared" si="34"/>
        <v>298143.59223534958</v>
      </c>
      <c r="W43" s="39">
        <f t="shared" si="34"/>
        <v>294018.16979021567</v>
      </c>
      <c r="X43" s="39">
        <f t="shared" si="34"/>
        <v>289893.67191308836</v>
      </c>
      <c r="Y43" s="39">
        <f t="shared" si="34"/>
        <v>285768.24946795451</v>
      </c>
      <c r="Z43" s="39">
        <f t="shared" si="34"/>
        <v>281643.75159082713</v>
      </c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</row>
    <row r="44" spans="1:37">
      <c r="A44" s="42" t="s">
        <v>47</v>
      </c>
      <c r="B44" s="44">
        <f t="shared" ref="B44:Z44" si="35">B23*WACD</f>
        <v>4073273.5713188397</v>
      </c>
      <c r="C44" s="44">
        <f t="shared" si="35"/>
        <v>3724017.0999051309</v>
      </c>
      <c r="D44" s="44">
        <f t="shared" si="35"/>
        <v>3382209.5444160257</v>
      </c>
      <c r="E44" s="44">
        <f t="shared" si="35"/>
        <v>3047273.6825843062</v>
      </c>
      <c r="F44" s="44">
        <f t="shared" si="35"/>
        <v>2718714.752466639</v>
      </c>
      <c r="G44" s="44">
        <f t="shared" si="35"/>
        <v>2396037.9921196932</v>
      </c>
      <c r="H44" s="44">
        <f t="shared" si="35"/>
        <v>2078817.3565367106</v>
      </c>
      <c r="I44" s="44">
        <f t="shared" si="35"/>
        <v>1766626.8007109335</v>
      </c>
      <c r="J44" s="44">
        <f t="shared" si="35"/>
        <v>1455260.8481240433</v>
      </c>
      <c r="K44" s="44">
        <f t="shared" si="35"/>
        <v>1143908.6389244671</v>
      </c>
      <c r="L44" s="44">
        <f t="shared" si="35"/>
        <v>832542.68633757648</v>
      </c>
      <c r="M44" s="44">
        <f t="shared" si="35"/>
        <v>658427.27978365379</v>
      </c>
      <c r="N44" s="44">
        <f t="shared" si="35"/>
        <v>594440.16328246868</v>
      </c>
      <c r="O44" s="44">
        <f t="shared" si="35"/>
        <v>530666.81154109549</v>
      </c>
      <c r="P44" s="44">
        <f t="shared" si="35"/>
        <v>467064.23797375127</v>
      </c>
      <c r="Q44" s="44">
        <f t="shared" si="35"/>
        <v>403646.64380264911</v>
      </c>
      <c r="R44" s="44">
        <f t="shared" si="35"/>
        <v>340373.25670074247</v>
      </c>
      <c r="S44" s="44">
        <f t="shared" si="35"/>
        <v>277260.1231058577</v>
      </c>
      <c r="T44" s="44">
        <f t="shared" si="35"/>
        <v>214268.315906562</v>
      </c>
      <c r="U44" s="44">
        <f t="shared" si="35"/>
        <v>151312.39468194224</v>
      </c>
      <c r="V44" s="44">
        <f t="shared" si="35"/>
        <v>119004.5962123811</v>
      </c>
      <c r="W44" s="44">
        <f t="shared" si="35"/>
        <v>117357.92579894786</v>
      </c>
      <c r="X44" s="44">
        <f t="shared" si="35"/>
        <v>115711.62442863734</v>
      </c>
      <c r="Y44" s="44">
        <f t="shared" si="35"/>
        <v>114064.95401520412</v>
      </c>
      <c r="Z44" s="44">
        <f t="shared" si="35"/>
        <v>112418.65264489356</v>
      </c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</row>
    <row r="45" spans="1:37">
      <c r="A45" s="4" t="s">
        <v>69</v>
      </c>
      <c r="B45" s="39">
        <f>B43-B44</f>
        <v>6131545.8504705494</v>
      </c>
      <c r="C45" s="39">
        <f>C43-C44</f>
        <v>5605806.0418003052</v>
      </c>
      <c r="D45" s="39">
        <f>D43-D44</f>
        <v>5091279.1724842042</v>
      </c>
      <c r="E45" s="39">
        <f>E43-E44</f>
        <v>4587096.3431626949</v>
      </c>
      <c r="F45" s="39">
        <f>F43-F44</f>
        <v>4092512.7829561704</v>
      </c>
      <c r="G45" s="39">
        <f t="shared" ref="G45:L45" si="36">G43-G44</f>
        <v>3606783.7209850131</v>
      </c>
      <c r="H45" s="39">
        <f t="shared" si="36"/>
        <v>3129267.8267695662</v>
      </c>
      <c r="I45" s="39">
        <f t="shared" si="36"/>
        <v>2659323.7698301598</v>
      </c>
      <c r="J45" s="39">
        <f t="shared" si="36"/>
        <v>2190620.9976901105</v>
      </c>
      <c r="K45" s="39">
        <f t="shared" si="36"/>
        <v>1721938.9136300434</v>
      </c>
      <c r="L45" s="39">
        <f t="shared" si="36"/>
        <v>1253236.1414899889</v>
      </c>
      <c r="M45" s="39">
        <f t="shared" ref="M45:Z45" si="37">M43-M44</f>
        <v>991138.20481419866</v>
      </c>
      <c r="N45" s="39">
        <f t="shared" si="37"/>
        <v>894817.65776599525</v>
      </c>
      <c r="O45" s="39">
        <f t="shared" si="37"/>
        <v>798818.89328482433</v>
      </c>
      <c r="P45" s="39">
        <f t="shared" si="37"/>
        <v>703077.20316558471</v>
      </c>
      <c r="Q45" s="39">
        <f t="shared" si="37"/>
        <v>607613.96467243694</v>
      </c>
      <c r="R45" s="39">
        <f t="shared" si="37"/>
        <v>512367.80274958379</v>
      </c>
      <c r="S45" s="39">
        <f t="shared" si="37"/>
        <v>417362.872285605</v>
      </c>
      <c r="T45" s="39">
        <f t="shared" si="37"/>
        <v>322540.57584912283</v>
      </c>
      <c r="U45" s="39">
        <f t="shared" si="37"/>
        <v>227772.29898566066</v>
      </c>
      <c r="V45" s="39">
        <f t="shared" si="37"/>
        <v>179138.99602296849</v>
      </c>
      <c r="W45" s="39">
        <f t="shared" si="37"/>
        <v>176660.24399126781</v>
      </c>
      <c r="X45" s="39">
        <f t="shared" si="37"/>
        <v>174182.04748445103</v>
      </c>
      <c r="Y45" s="39">
        <f t="shared" si="37"/>
        <v>171703.2954527504</v>
      </c>
      <c r="Z45" s="39">
        <f t="shared" si="37"/>
        <v>169225.09894593357</v>
      </c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</row>
    <row r="46" spans="1:37">
      <c r="A46" s="42" t="s">
        <v>68</v>
      </c>
      <c r="B46" s="43">
        <f t="shared" ref="B46:Z46" si="38">B23*EquityWeighting</f>
        <v>63539335.238036744</v>
      </c>
      <c r="C46" s="43">
        <f t="shared" si="38"/>
        <v>58091254.319174156</v>
      </c>
      <c r="D46" s="43">
        <f t="shared" si="38"/>
        <v>52759369.663048737</v>
      </c>
      <c r="E46" s="43">
        <f t="shared" si="38"/>
        <v>47534677.131219633</v>
      </c>
      <c r="F46" s="43">
        <f t="shared" si="38"/>
        <v>42409458.890737496</v>
      </c>
      <c r="G46" s="43">
        <f t="shared" si="38"/>
        <v>37375997.108652994</v>
      </c>
      <c r="H46" s="43">
        <f t="shared" si="38"/>
        <v>32427645.873259757</v>
      </c>
      <c r="I46" s="43">
        <f t="shared" si="38"/>
        <v>27557759.272851411</v>
      </c>
      <c r="J46" s="43">
        <f t="shared" si="38"/>
        <v>22700735.727358628</v>
      </c>
      <c r="K46" s="43">
        <f t="shared" si="38"/>
        <v>17843926.566114429</v>
      </c>
      <c r="L46" s="43">
        <f t="shared" si="38"/>
        <v>12986903.020621642</v>
      </c>
      <c r="M46" s="43">
        <f t="shared" si="38"/>
        <v>10270862.226053864</v>
      </c>
      <c r="N46" s="43">
        <f t="shared" si="38"/>
        <v>9272721.8421346638</v>
      </c>
      <c r="O46" s="43">
        <f t="shared" si="38"/>
        <v>8277915.9925888516</v>
      </c>
      <c r="P46" s="43">
        <f t="shared" si="38"/>
        <v>7285774.1260682344</v>
      </c>
      <c r="Q46" s="43">
        <f t="shared" si="38"/>
        <v>6296517.7686262866</v>
      </c>
      <c r="R46" s="43">
        <f t="shared" si="38"/>
        <v>5309510.90932211</v>
      </c>
      <c r="S46" s="43">
        <f t="shared" si="38"/>
        <v>4325003.8578819158</v>
      </c>
      <c r="T46" s="43">
        <f t="shared" si="38"/>
        <v>3342389.3870375436</v>
      </c>
      <c r="U46" s="43">
        <f t="shared" si="38"/>
        <v>2360334.704514618</v>
      </c>
      <c r="V46" s="43">
        <f t="shared" si="38"/>
        <v>1856362.6530877561</v>
      </c>
      <c r="W46" s="43">
        <f t="shared" si="38"/>
        <v>1830676.1035364538</v>
      </c>
      <c r="X46" s="43">
        <f t="shared" si="38"/>
        <v>1804995.3107196996</v>
      </c>
      <c r="Y46" s="43">
        <f t="shared" si="38"/>
        <v>1779308.7611683975</v>
      </c>
      <c r="Z46" s="43">
        <f t="shared" si="38"/>
        <v>1753627.9683516431</v>
      </c>
      <c r="AA46" s="188"/>
      <c r="AB46" s="188"/>
      <c r="AC46" s="188"/>
      <c r="AD46" s="188"/>
      <c r="AE46" s="188"/>
      <c r="AF46" s="188"/>
      <c r="AG46" s="188"/>
      <c r="AH46" s="188"/>
      <c r="AI46" s="188"/>
      <c r="AJ46" s="188"/>
      <c r="AK46" s="188"/>
    </row>
    <row r="47" spans="1:37">
      <c r="A47" s="4" t="s">
        <v>102</v>
      </c>
      <c r="B47" s="182">
        <f>ROUND(B45/B46,4)</f>
        <v>9.6500000000000002E-2</v>
      </c>
      <c r="C47" s="182">
        <f t="shared" ref="C47:Z47" si="39">ROUND(C45/C46,4)</f>
        <v>9.6500000000000002E-2</v>
      </c>
      <c r="D47" s="182">
        <f t="shared" si="39"/>
        <v>9.6500000000000002E-2</v>
      </c>
      <c r="E47" s="182">
        <f t="shared" si="39"/>
        <v>9.6500000000000002E-2</v>
      </c>
      <c r="F47" s="182">
        <f t="shared" si="39"/>
        <v>9.6500000000000002E-2</v>
      </c>
      <c r="G47" s="182">
        <f t="shared" si="39"/>
        <v>9.6500000000000002E-2</v>
      </c>
      <c r="H47" s="182">
        <f t="shared" si="39"/>
        <v>9.6500000000000002E-2</v>
      </c>
      <c r="I47" s="182">
        <f t="shared" si="39"/>
        <v>9.6500000000000002E-2</v>
      </c>
      <c r="J47" s="182">
        <f t="shared" si="39"/>
        <v>9.6500000000000002E-2</v>
      </c>
      <c r="K47" s="182">
        <f t="shared" si="39"/>
        <v>9.6500000000000002E-2</v>
      </c>
      <c r="L47" s="182">
        <f t="shared" si="39"/>
        <v>9.6500000000000002E-2</v>
      </c>
      <c r="M47" s="182">
        <f t="shared" si="39"/>
        <v>9.6500000000000002E-2</v>
      </c>
      <c r="N47" s="182">
        <f t="shared" si="39"/>
        <v>9.6500000000000002E-2</v>
      </c>
      <c r="O47" s="182">
        <f t="shared" si="39"/>
        <v>9.6500000000000002E-2</v>
      </c>
      <c r="P47" s="182">
        <f t="shared" si="39"/>
        <v>9.6500000000000002E-2</v>
      </c>
      <c r="Q47" s="182">
        <f t="shared" si="39"/>
        <v>9.6500000000000002E-2</v>
      </c>
      <c r="R47" s="182">
        <f t="shared" si="39"/>
        <v>9.6500000000000002E-2</v>
      </c>
      <c r="S47" s="182">
        <f t="shared" si="39"/>
        <v>9.6500000000000002E-2</v>
      </c>
      <c r="T47" s="182">
        <f t="shared" si="39"/>
        <v>9.6500000000000002E-2</v>
      </c>
      <c r="U47" s="182">
        <f t="shared" si="39"/>
        <v>9.6500000000000002E-2</v>
      </c>
      <c r="V47" s="182">
        <f t="shared" si="39"/>
        <v>9.6500000000000002E-2</v>
      </c>
      <c r="W47" s="182">
        <f t="shared" si="39"/>
        <v>9.6500000000000002E-2</v>
      </c>
      <c r="X47" s="182">
        <f t="shared" si="39"/>
        <v>9.6500000000000002E-2</v>
      </c>
      <c r="Y47" s="182">
        <f t="shared" si="39"/>
        <v>9.6500000000000002E-2</v>
      </c>
      <c r="Z47" s="182">
        <f t="shared" si="39"/>
        <v>9.6500000000000002E-2</v>
      </c>
      <c r="AA47" s="193"/>
      <c r="AB47" s="193"/>
      <c r="AC47" s="193"/>
      <c r="AD47" s="193"/>
      <c r="AE47" s="193"/>
      <c r="AF47" s="193"/>
      <c r="AG47" s="193"/>
      <c r="AH47" s="193"/>
      <c r="AI47" s="193"/>
      <c r="AJ47" s="193"/>
      <c r="AK47" s="193"/>
    </row>
    <row r="48" spans="1:37">
      <c r="B48" s="1" t="b">
        <f>B47=ROE</f>
        <v>1</v>
      </c>
      <c r="C48" s="1" t="b">
        <f>C47=ROE</f>
        <v>1</v>
      </c>
      <c r="D48" s="1" t="b">
        <f>D47=ROE</f>
        <v>1</v>
      </c>
      <c r="E48" s="1" t="b">
        <f>E47=ROE</f>
        <v>1</v>
      </c>
      <c r="F48" s="1" t="b">
        <f>F47=ROE</f>
        <v>1</v>
      </c>
      <c r="G48" s="1" t="b">
        <f t="shared" ref="G48:L48" si="40">G47=ROE</f>
        <v>1</v>
      </c>
      <c r="H48" s="1" t="b">
        <f t="shared" si="40"/>
        <v>1</v>
      </c>
      <c r="I48" s="1" t="b">
        <f t="shared" si="40"/>
        <v>1</v>
      </c>
      <c r="J48" s="1" t="b">
        <f t="shared" si="40"/>
        <v>1</v>
      </c>
      <c r="K48" s="1" t="b">
        <f t="shared" si="40"/>
        <v>1</v>
      </c>
      <c r="L48" s="1" t="b">
        <f t="shared" si="40"/>
        <v>1</v>
      </c>
      <c r="M48" s="1" t="b">
        <f t="shared" ref="M48:Z48" si="41">M47=ROE</f>
        <v>1</v>
      </c>
      <c r="N48" s="1" t="b">
        <f t="shared" si="41"/>
        <v>1</v>
      </c>
      <c r="O48" s="1" t="b">
        <f t="shared" si="41"/>
        <v>1</v>
      </c>
      <c r="P48" s="1" t="b">
        <f t="shared" si="41"/>
        <v>1</v>
      </c>
      <c r="Q48" s="1" t="b">
        <f t="shared" si="41"/>
        <v>1</v>
      </c>
      <c r="R48" s="1" t="b">
        <f t="shared" si="41"/>
        <v>1</v>
      </c>
      <c r="S48" s="1" t="b">
        <f t="shared" si="41"/>
        <v>1</v>
      </c>
      <c r="T48" s="1" t="b">
        <f t="shared" si="41"/>
        <v>1</v>
      </c>
      <c r="U48" s="1" t="b">
        <f t="shared" si="41"/>
        <v>1</v>
      </c>
      <c r="V48" s="1" t="b">
        <f t="shared" si="41"/>
        <v>1</v>
      </c>
      <c r="W48" s="1" t="b">
        <f t="shared" si="41"/>
        <v>1</v>
      </c>
      <c r="X48" s="1" t="b">
        <f t="shared" si="41"/>
        <v>1</v>
      </c>
      <c r="Y48" s="1" t="b">
        <f t="shared" si="41"/>
        <v>1</v>
      </c>
      <c r="Z48" s="1" t="b">
        <f t="shared" si="41"/>
        <v>1</v>
      </c>
    </row>
    <row r="49" spans="1:37">
      <c r="A49" s="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193"/>
      <c r="AB49" s="193"/>
      <c r="AC49" s="193"/>
      <c r="AD49" s="193"/>
      <c r="AE49" s="193"/>
      <c r="AF49" s="193"/>
      <c r="AG49" s="193"/>
      <c r="AH49" s="193"/>
      <c r="AI49" s="193"/>
      <c r="AJ49" s="193"/>
      <c r="AK49" s="193"/>
    </row>
    <row r="50" spans="1:37">
      <c r="A50" s="4" t="s">
        <v>108</v>
      </c>
      <c r="B50" s="38">
        <f t="shared" ref="B50:Z50" si="42">B13</f>
        <v>79885.577122304065</v>
      </c>
      <c r="C50" s="38">
        <f t="shared" si="42"/>
        <v>73035.913260038593</v>
      </c>
      <c r="D50" s="38">
        <f t="shared" si="42"/>
        <v>66332.338516795862</v>
      </c>
      <c r="E50" s="38">
        <f t="shared" si="42"/>
        <v>59763.532333537216</v>
      </c>
      <c r="F50" s="38">
        <f t="shared" si="42"/>
        <v>53319.791373943794</v>
      </c>
      <c r="G50" s="38">
        <f t="shared" si="42"/>
        <v>46991.412301696735</v>
      </c>
      <c r="H50" s="38">
        <f t="shared" si="42"/>
        <v>40770.03946607704</v>
      </c>
      <c r="I50" s="38">
        <f t="shared" si="42"/>
        <v>34647.317216365685</v>
      </c>
      <c r="J50" s="38">
        <f t="shared" si="42"/>
        <v>28540.767193852433</v>
      </c>
      <c r="K50" s="38">
        <f t="shared" si="42"/>
        <v>22434.486708459135</v>
      </c>
      <c r="L50" s="38">
        <f t="shared" si="42"/>
        <v>16327.936685945879</v>
      </c>
      <c r="M50" s="38">
        <f t="shared" si="42"/>
        <v>12913.162427623431</v>
      </c>
      <c r="N50" s="38">
        <f t="shared" si="42"/>
        <v>0</v>
      </c>
      <c r="O50" s="38">
        <f t="shared" si="42"/>
        <v>0</v>
      </c>
      <c r="P50" s="38">
        <f t="shared" si="42"/>
        <v>0</v>
      </c>
      <c r="Q50" s="38">
        <f t="shared" si="42"/>
        <v>0</v>
      </c>
      <c r="R50" s="38">
        <f t="shared" si="42"/>
        <v>0</v>
      </c>
      <c r="S50" s="38">
        <f t="shared" si="42"/>
        <v>0</v>
      </c>
      <c r="T50" s="38">
        <f t="shared" si="42"/>
        <v>0</v>
      </c>
      <c r="U50" s="38">
        <f t="shared" si="42"/>
        <v>0</v>
      </c>
      <c r="V50" s="38">
        <f t="shared" si="42"/>
        <v>0</v>
      </c>
      <c r="W50" s="38">
        <f t="shared" si="42"/>
        <v>0</v>
      </c>
      <c r="X50" s="38">
        <f t="shared" si="42"/>
        <v>0</v>
      </c>
      <c r="Y50" s="38">
        <f t="shared" si="42"/>
        <v>0</v>
      </c>
      <c r="Z50" s="38">
        <f t="shared" si="42"/>
        <v>0</v>
      </c>
      <c r="AA50" s="188"/>
      <c r="AB50" s="188"/>
      <c r="AC50" s="188"/>
      <c r="AD50" s="188"/>
      <c r="AE50" s="188"/>
      <c r="AF50" s="188"/>
      <c r="AG50" s="188"/>
      <c r="AH50" s="188"/>
      <c r="AI50" s="188"/>
      <c r="AJ50" s="188"/>
      <c r="AK50" s="188"/>
    </row>
    <row r="51" spans="1:37">
      <c r="A51" s="4" t="s">
        <v>109</v>
      </c>
      <c r="B51" s="38">
        <f t="shared" ref="B51:Z51" si="43">B14</f>
        <v>11266916.666666666</v>
      </c>
      <c r="C51" s="38">
        <f t="shared" si="43"/>
        <v>11266916.666666666</v>
      </c>
      <c r="D51" s="38">
        <f t="shared" si="43"/>
        <v>11266916.666666666</v>
      </c>
      <c r="E51" s="38">
        <f t="shared" si="43"/>
        <v>11266916.666666666</v>
      </c>
      <c r="F51" s="38">
        <f t="shared" si="43"/>
        <v>11266916.666666666</v>
      </c>
      <c r="G51" s="38">
        <f t="shared" si="43"/>
        <v>11266916.666666666</v>
      </c>
      <c r="H51" s="38">
        <f t="shared" si="43"/>
        <v>11266916.666666666</v>
      </c>
      <c r="I51" s="38">
        <f t="shared" si="43"/>
        <v>11266916.666666666</v>
      </c>
      <c r="J51" s="38">
        <f t="shared" si="43"/>
        <v>11266916.666666666</v>
      </c>
      <c r="K51" s="38">
        <f t="shared" si="43"/>
        <v>11266916.666666666</v>
      </c>
      <c r="L51" s="38">
        <f t="shared" si="43"/>
        <v>11266916.666666666</v>
      </c>
      <c r="M51" s="38">
        <f t="shared" si="43"/>
        <v>11683583.333333332</v>
      </c>
      <c r="N51" s="38">
        <f t="shared" si="43"/>
        <v>0</v>
      </c>
      <c r="O51" s="38">
        <f t="shared" si="43"/>
        <v>0</v>
      </c>
      <c r="P51" s="38">
        <f t="shared" si="43"/>
        <v>0</v>
      </c>
      <c r="Q51" s="38">
        <f t="shared" si="43"/>
        <v>0</v>
      </c>
      <c r="R51" s="38">
        <f t="shared" si="43"/>
        <v>0</v>
      </c>
      <c r="S51" s="38">
        <f t="shared" si="43"/>
        <v>0</v>
      </c>
      <c r="T51" s="38">
        <f t="shared" si="43"/>
        <v>0</v>
      </c>
      <c r="U51" s="38">
        <f t="shared" si="43"/>
        <v>0</v>
      </c>
      <c r="V51" s="38">
        <f t="shared" si="43"/>
        <v>0</v>
      </c>
      <c r="W51" s="38">
        <f t="shared" si="43"/>
        <v>0</v>
      </c>
      <c r="X51" s="38">
        <f t="shared" si="43"/>
        <v>0</v>
      </c>
      <c r="Y51" s="38">
        <f t="shared" si="43"/>
        <v>0</v>
      </c>
      <c r="Z51" s="38">
        <f t="shared" si="43"/>
        <v>0</v>
      </c>
      <c r="AA51" s="188"/>
      <c r="AB51" s="188"/>
      <c r="AC51" s="188"/>
      <c r="AD51" s="188"/>
      <c r="AE51" s="188"/>
      <c r="AF51" s="188"/>
      <c r="AG51" s="188"/>
      <c r="AH51" s="188"/>
      <c r="AI51" s="188"/>
      <c r="AJ51" s="188"/>
      <c r="AK51" s="188"/>
    </row>
    <row r="52" spans="1:37">
      <c r="A52" s="4" t="s">
        <v>111</v>
      </c>
      <c r="B52" s="3">
        <f t="shared" ref="B52:Z52" si="44">B28-SUM(B50:B51,B53)</f>
        <v>2143893.8090191223</v>
      </c>
      <c r="C52" s="3">
        <f t="shared" si="44"/>
        <v>1964354.7961785458</v>
      </c>
      <c r="D52" s="3">
        <f t="shared" si="44"/>
        <v>1788644.9779880419</v>
      </c>
      <c r="E52" s="3">
        <f t="shared" si="44"/>
        <v>1616467.627186887</v>
      </c>
      <c r="F52" s="3">
        <f t="shared" si="44"/>
        <v>1447568.4061230496</v>
      </c>
      <c r="G52" s="3">
        <f t="shared" si="44"/>
        <v>1281692.9771444984</v>
      </c>
      <c r="H52" s="3">
        <f t="shared" si="44"/>
        <v>1118622.3272730969</v>
      </c>
      <c r="I52" s="3">
        <f t="shared" si="44"/>
        <v>958137.44353069924</v>
      </c>
      <c r="J52" s="3">
        <f t="shared" si="44"/>
        <v>798076.45587503165</v>
      </c>
      <c r="K52" s="3">
        <f t="shared" si="44"/>
        <v>638022.53315413557</v>
      </c>
      <c r="L52" s="3">
        <f t="shared" si="44"/>
        <v>477961.54549846053</v>
      </c>
      <c r="M52" s="3">
        <f t="shared" si="44"/>
        <v>390304.1478066463</v>
      </c>
      <c r="N52" s="3">
        <f t="shared" si="44"/>
        <v>305526.5836040068</v>
      </c>
      <c r="O52" s="3">
        <f t="shared" si="44"/>
        <v>272748.76089612348</v>
      </c>
      <c r="P52" s="3">
        <f t="shared" si="44"/>
        <v>240058.71367059671</v>
      </c>
      <c r="Q52" s="3">
        <f t="shared" si="44"/>
        <v>207463.74098152097</v>
      </c>
      <c r="R52" s="3">
        <f t="shared" si="44"/>
        <v>174942.88692692434</v>
      </c>
      <c r="S52" s="3">
        <f t="shared" si="44"/>
        <v>142504.39895311417</v>
      </c>
      <c r="T52" s="3">
        <f t="shared" si="44"/>
        <v>110128.26955033315</v>
      </c>
      <c r="U52" s="3">
        <f t="shared" si="44"/>
        <v>77770.584593133302</v>
      </c>
      <c r="V52" s="3">
        <f t="shared" si="44"/>
        <v>61165.227317700279</v>
      </c>
      <c r="W52" s="3">
        <f t="shared" si="44"/>
        <v>60318.882106165634</v>
      </c>
      <c r="X52" s="3">
        <f t="shared" si="44"/>
        <v>59472.726573073654</v>
      </c>
      <c r="Y52" s="3">
        <f t="shared" si="44"/>
        <v>58626.381361538952</v>
      </c>
      <c r="Z52" s="3">
        <f t="shared" si="44"/>
        <v>57780.225828446914</v>
      </c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 spans="1:37">
      <c r="A53" s="4" t="s">
        <v>110</v>
      </c>
      <c r="B53" s="48">
        <f t="shared" ref="B53:Z53" si="45">B24</f>
        <v>10204819.421789387</v>
      </c>
      <c r="C53" s="48">
        <f t="shared" si="45"/>
        <v>9329823.1417054385</v>
      </c>
      <c r="D53" s="48">
        <f t="shared" si="45"/>
        <v>8473488.7169002295</v>
      </c>
      <c r="E53" s="48">
        <f t="shared" si="45"/>
        <v>7634370.0257470021</v>
      </c>
      <c r="F53" s="48">
        <f t="shared" si="45"/>
        <v>6811227.5354228085</v>
      </c>
      <c r="G53" s="48">
        <f t="shared" si="45"/>
        <v>6002821.7131047081</v>
      </c>
      <c r="H53" s="48">
        <f t="shared" si="45"/>
        <v>5208085.1833062777</v>
      </c>
      <c r="I53" s="48">
        <f t="shared" si="45"/>
        <v>4425950.570541095</v>
      </c>
      <c r="J53" s="48">
        <f t="shared" si="45"/>
        <v>3645881.8458141512</v>
      </c>
      <c r="K53" s="48">
        <f t="shared" si="45"/>
        <v>2865847.5525545101</v>
      </c>
      <c r="L53" s="48">
        <f t="shared" si="45"/>
        <v>2085778.8278275654</v>
      </c>
      <c r="M53" s="48">
        <f t="shared" si="45"/>
        <v>1649565.4845978518</v>
      </c>
      <c r="N53" s="48">
        <f t="shared" si="45"/>
        <v>1489257.8210484639</v>
      </c>
      <c r="O53" s="48">
        <f t="shared" si="45"/>
        <v>1329485.7048259198</v>
      </c>
      <c r="P53" s="48">
        <f t="shared" si="45"/>
        <v>1170141.441139336</v>
      </c>
      <c r="Q53" s="48">
        <f t="shared" si="45"/>
        <v>1011260.6084750859</v>
      </c>
      <c r="R53" s="48">
        <f t="shared" si="45"/>
        <v>852741.05945032625</v>
      </c>
      <c r="S53" s="48">
        <f t="shared" si="45"/>
        <v>694622.9953914627</v>
      </c>
      <c r="T53" s="48">
        <f t="shared" si="45"/>
        <v>536808.89175568498</v>
      </c>
      <c r="U53" s="48">
        <f t="shared" si="45"/>
        <v>379084.6936676029</v>
      </c>
      <c r="V53" s="48">
        <f t="shared" si="45"/>
        <v>298143.59223534958</v>
      </c>
      <c r="W53" s="48">
        <f t="shared" si="45"/>
        <v>294018.16979021567</v>
      </c>
      <c r="X53" s="48">
        <f t="shared" si="45"/>
        <v>289893.67191308836</v>
      </c>
      <c r="Y53" s="48">
        <f t="shared" si="45"/>
        <v>285768.24946795451</v>
      </c>
      <c r="Z53" s="48">
        <f t="shared" si="45"/>
        <v>281643.75159082713</v>
      </c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</row>
    <row r="54" spans="1:37">
      <c r="B54" s="39">
        <f t="shared" ref="B54:Z54" si="46">SUM(B50:B53)-B28</f>
        <v>0</v>
      </c>
      <c r="C54" s="39">
        <f t="shared" si="46"/>
        <v>0</v>
      </c>
      <c r="D54" s="39">
        <f t="shared" si="46"/>
        <v>0</v>
      </c>
      <c r="E54" s="39">
        <f t="shared" si="46"/>
        <v>0</v>
      </c>
      <c r="F54" s="39">
        <f t="shared" si="46"/>
        <v>0</v>
      </c>
      <c r="G54" s="39">
        <f t="shared" si="46"/>
        <v>0</v>
      </c>
      <c r="H54" s="39">
        <f t="shared" si="46"/>
        <v>0</v>
      </c>
      <c r="I54" s="39">
        <f t="shared" si="46"/>
        <v>0</v>
      </c>
      <c r="J54" s="39">
        <f t="shared" si="46"/>
        <v>0</v>
      </c>
      <c r="K54" s="39">
        <f t="shared" si="46"/>
        <v>0</v>
      </c>
      <c r="L54" s="39">
        <f t="shared" si="46"/>
        <v>0</v>
      </c>
      <c r="M54" s="39">
        <f t="shared" si="46"/>
        <v>0</v>
      </c>
      <c r="N54" s="39">
        <f t="shared" si="46"/>
        <v>0</v>
      </c>
      <c r="O54" s="39">
        <f t="shared" si="46"/>
        <v>0</v>
      </c>
      <c r="P54" s="39">
        <f t="shared" si="46"/>
        <v>0</v>
      </c>
      <c r="Q54" s="39">
        <f t="shared" si="46"/>
        <v>0</v>
      </c>
      <c r="R54" s="39">
        <f t="shared" si="46"/>
        <v>0</v>
      </c>
      <c r="S54" s="39">
        <f t="shared" si="46"/>
        <v>0</v>
      </c>
      <c r="T54" s="39">
        <f t="shared" si="46"/>
        <v>0</v>
      </c>
      <c r="U54" s="39">
        <f t="shared" si="46"/>
        <v>0</v>
      </c>
      <c r="V54" s="39">
        <f t="shared" si="46"/>
        <v>0</v>
      </c>
      <c r="W54" s="39">
        <f t="shared" si="46"/>
        <v>0</v>
      </c>
      <c r="X54" s="39">
        <f t="shared" si="46"/>
        <v>0</v>
      </c>
      <c r="Y54" s="39">
        <f t="shared" si="46"/>
        <v>0</v>
      </c>
      <c r="Z54" s="39">
        <f t="shared" si="46"/>
        <v>0</v>
      </c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</row>
    <row r="55" spans="1:37"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</row>
    <row r="56" spans="1:37"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</row>
    <row r="57" spans="1:37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1:37"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</row>
    <row r="59" spans="1:37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spans="1:37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</row>
    <row r="62" spans="1:37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</row>
    <row r="64" spans="1:37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7" type="noConversion"/>
  <pageMargins left="0.7" right="0.7" top="0.75" bottom="0.75" header="0.3" footer="0.3"/>
  <pageSetup fitToHeight="0" orientation="landscape" r:id="rId2"/>
  <headerFooter>
    <oddHeader>&amp;RCase No. 2026-00001
Exhibit NMC-R8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Z52"/>
  <sheetViews>
    <sheetView zoomScaleNormal="100" workbookViewId="0">
      <selection activeCell="C10" sqref="C10"/>
    </sheetView>
  </sheetViews>
  <sheetFormatPr defaultColWidth="9.1796875" defaultRowHeight="12.5"/>
  <cols>
    <col min="1" max="1" width="51.7265625" style="1" customWidth="1"/>
    <col min="2" max="2" width="19.1796875" style="1" bestFit="1" customWidth="1"/>
    <col min="3" max="9" width="14.7265625" style="1" customWidth="1"/>
    <col min="10" max="21" width="13.81640625" style="1" bestFit="1" customWidth="1"/>
    <col min="22" max="22" width="14" style="1" bestFit="1" customWidth="1"/>
    <col min="23" max="25" width="13.81640625" style="1" bestFit="1" customWidth="1"/>
    <col min="26" max="26" width="14" style="1" bestFit="1" customWidth="1"/>
    <col min="27" max="16384" width="9.1796875" style="1"/>
  </cols>
  <sheetData>
    <row r="1" spans="1:26" ht="14">
      <c r="A1" s="218" t="str">
        <f>Input!B2&amp;" "&amp;Input!B3</f>
        <v>KPCO KY</v>
      </c>
      <c r="B1" s="218"/>
      <c r="C1" s="218"/>
      <c r="D1" s="218"/>
      <c r="E1" s="218"/>
      <c r="F1" s="218"/>
      <c r="G1" s="218"/>
      <c r="H1" s="218"/>
      <c r="I1" s="218"/>
      <c r="J1" s="218"/>
    </row>
    <row r="2" spans="1:26" ht="14">
      <c r="A2" s="218" t="s">
        <v>13</v>
      </c>
      <c r="B2" s="218"/>
      <c r="C2" s="218"/>
      <c r="D2" s="218"/>
      <c r="E2" s="218"/>
      <c r="F2" s="218"/>
      <c r="G2" s="218"/>
      <c r="H2" s="218"/>
      <c r="I2" s="218"/>
      <c r="J2" s="218"/>
    </row>
    <row r="3" spans="1:26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  <c r="O3" s="51" t="s">
        <v>29</v>
      </c>
      <c r="P3" s="51" t="s">
        <v>30</v>
      </c>
      <c r="Q3" s="51" t="s">
        <v>31</v>
      </c>
      <c r="R3" s="51" t="s">
        <v>32</v>
      </c>
      <c r="S3" s="51" t="s">
        <v>33</v>
      </c>
      <c r="T3" s="51" t="s">
        <v>34</v>
      </c>
      <c r="U3" s="51" t="s">
        <v>35</v>
      </c>
      <c r="V3" s="51" t="s">
        <v>36</v>
      </c>
      <c r="W3" s="51" t="s">
        <v>247</v>
      </c>
      <c r="X3" s="51" t="s">
        <v>248</v>
      </c>
      <c r="Y3" s="51" t="s">
        <v>249</v>
      </c>
      <c r="Z3" s="51" t="s">
        <v>250</v>
      </c>
    </row>
    <row r="4" spans="1:26">
      <c r="A4" s="7"/>
      <c r="B4" s="115">
        <f>'Total Rev Req'!B5</f>
        <v>2029</v>
      </c>
      <c r="C4" s="115">
        <f>'Total Rev Req'!C5</f>
        <v>2030</v>
      </c>
      <c r="D4" s="115">
        <f>'Total Rev Req'!D5</f>
        <v>2031</v>
      </c>
      <c r="E4" s="115">
        <f>'Total Rev Req'!E5</f>
        <v>2032</v>
      </c>
      <c r="F4" s="115">
        <f>'Total Rev Req'!F5</f>
        <v>2033</v>
      </c>
      <c r="G4" s="115">
        <f>'Total Rev Req'!G5</f>
        <v>2034</v>
      </c>
      <c r="H4" s="115">
        <f>'Total Rev Req'!H5</f>
        <v>2035</v>
      </c>
      <c r="I4" s="115">
        <f>'Total Rev Req'!I5</f>
        <v>2036</v>
      </c>
      <c r="J4" s="115">
        <f>'Total Rev Req'!J5</f>
        <v>2037</v>
      </c>
      <c r="K4" s="115">
        <f>'Total Rev Req'!K5</f>
        <v>2038</v>
      </c>
      <c r="L4" s="115">
        <f>'Total Rev Req'!L5</f>
        <v>2039</v>
      </c>
      <c r="M4" s="115">
        <f>'Total Rev Req'!M5</f>
        <v>2040</v>
      </c>
      <c r="N4" s="115">
        <f>'Total Rev Req'!N5</f>
        <v>2041</v>
      </c>
      <c r="O4" s="115">
        <f>'Total Rev Req'!O5</f>
        <v>2042</v>
      </c>
      <c r="P4" s="115">
        <f>'Total Rev Req'!P5</f>
        <v>2043</v>
      </c>
      <c r="Q4" s="115">
        <f>'Total Rev Req'!Q5</f>
        <v>2044</v>
      </c>
      <c r="R4" s="115">
        <f>'Total Rev Req'!R5</f>
        <v>2045</v>
      </c>
      <c r="S4" s="115">
        <f>'Total Rev Req'!S5</f>
        <v>2046</v>
      </c>
      <c r="T4" s="115">
        <f>'Total Rev Req'!T5</f>
        <v>2047</v>
      </c>
      <c r="U4" s="115">
        <f>'Total Rev Req'!U5</f>
        <v>2048</v>
      </c>
      <c r="V4" s="115">
        <f>'Total Rev Req'!V5</f>
        <v>2049</v>
      </c>
      <c r="W4" s="115">
        <f>'Total Rev Req'!W5</f>
        <v>2050</v>
      </c>
      <c r="X4" s="115">
        <f>'Total Rev Req'!X5</f>
        <v>2051</v>
      </c>
      <c r="Y4" s="115">
        <f>'Total Rev Req'!Y5</f>
        <v>2052</v>
      </c>
      <c r="Z4" s="115">
        <f>'Total Rev Req'!Z5</f>
        <v>2053</v>
      </c>
    </row>
    <row r="5" spans="1:26">
      <c r="A5" s="7" t="str">
        <f>'Total Rev Req'!A6</f>
        <v>Operations and Maint Expense - Account 549</v>
      </c>
      <c r="B5" s="55" cm="1">
        <f t="array" ref="B5">'Total Rev Req'!B6*Allocator</f>
        <v>0</v>
      </c>
      <c r="C5" s="55" cm="1">
        <f t="array" ref="C5">'Total Rev Req'!C6*Allocator</f>
        <v>0</v>
      </c>
      <c r="D5" s="55" cm="1">
        <f t="array" ref="D5">'Total Rev Req'!D6*Allocator</f>
        <v>0</v>
      </c>
      <c r="E5" s="55" cm="1">
        <f t="array" ref="E5">'Total Rev Req'!E6*Allocator</f>
        <v>0</v>
      </c>
      <c r="F5" s="55" cm="1">
        <f t="array" ref="F5">'Total Rev Req'!F6*Allocator</f>
        <v>0</v>
      </c>
      <c r="G5" s="55" cm="1">
        <f t="array" ref="G5">'Total Rev Req'!G6*Allocator</f>
        <v>0</v>
      </c>
      <c r="H5" s="55" cm="1">
        <f t="array" ref="H5">'Total Rev Req'!H6*Allocator</f>
        <v>0</v>
      </c>
      <c r="I5" s="55" cm="1">
        <f t="array" ref="I5">'Total Rev Req'!I6*Allocator</f>
        <v>0</v>
      </c>
      <c r="J5" s="55" cm="1">
        <f t="array" ref="J5">'Total Rev Req'!J6*Allocator</f>
        <v>0</v>
      </c>
      <c r="K5" s="55" cm="1">
        <f t="array" ref="K5">'Total Rev Req'!K6*Allocator</f>
        <v>0</v>
      </c>
      <c r="L5" s="55" cm="1">
        <f t="array" ref="L5">'Total Rev Req'!L6*Allocator</f>
        <v>0</v>
      </c>
      <c r="M5" s="55" cm="1">
        <f t="array" ref="M5">'Total Rev Req'!M6*Allocator</f>
        <v>0</v>
      </c>
      <c r="N5" s="55" cm="1">
        <f t="array" ref="N5">'Total Rev Req'!N6*Allocator</f>
        <v>0</v>
      </c>
      <c r="O5" s="55" cm="1">
        <f t="array" ref="O5">'Total Rev Req'!O6*Allocator</f>
        <v>0</v>
      </c>
      <c r="P5" s="55" cm="1">
        <f t="array" ref="P5">'Total Rev Req'!P6*Allocator</f>
        <v>0</v>
      </c>
      <c r="Q5" s="55" cm="1">
        <f t="array" ref="Q5">'Total Rev Req'!Q6*Allocator</f>
        <v>0</v>
      </c>
      <c r="R5" s="55" cm="1">
        <f t="array" ref="R5">'Total Rev Req'!R6*Allocator</f>
        <v>0</v>
      </c>
      <c r="S5" s="55" cm="1">
        <f t="array" ref="S5">'Total Rev Req'!S6*Allocator</f>
        <v>0</v>
      </c>
      <c r="T5" s="55" cm="1">
        <f t="array" ref="T5">'Total Rev Req'!T6*Allocator</f>
        <v>0</v>
      </c>
      <c r="U5" s="55" cm="1">
        <f t="array" ref="U5">'Total Rev Req'!U6*Allocator</f>
        <v>0</v>
      </c>
      <c r="V5" s="55" cm="1">
        <f t="array" ref="V5">'Total Rev Req'!V6*Allocator</f>
        <v>0</v>
      </c>
      <c r="W5" s="55" cm="1">
        <f t="array" ref="W5">'Total Rev Req'!W6*Allocator</f>
        <v>0</v>
      </c>
      <c r="X5" s="55" cm="1">
        <f t="array" ref="X5">'Total Rev Req'!X6*Allocator</f>
        <v>0</v>
      </c>
      <c r="Y5" s="55" cm="1">
        <f t="array" ref="Y5">'Total Rev Req'!Y6*Allocator</f>
        <v>0</v>
      </c>
      <c r="Z5" s="55" cm="1">
        <f t="array" ref="Z5">'Total Rev Req'!Z6*Allocator</f>
        <v>0</v>
      </c>
    </row>
    <row r="6" spans="1:26">
      <c r="A6" s="7" t="str">
        <f>'Total Rev Req'!A7</f>
        <v>Property Tax Expense - Account 408</v>
      </c>
      <c r="B6" s="55" cm="1">
        <f t="array" ref="B6">'Total Rev Req'!B7*Allocator</f>
        <v>39942.788561152032</v>
      </c>
      <c r="C6" s="55" cm="1">
        <f t="array" ref="C6">'Total Rev Req'!C7*Allocator</f>
        <v>36517.956630019296</v>
      </c>
      <c r="D6" s="55" cm="1">
        <f t="array" ref="D6">'Total Rev Req'!D7*Allocator</f>
        <v>33166.169258397931</v>
      </c>
      <c r="E6" s="55" cm="1">
        <f t="array" ref="E6">'Total Rev Req'!E7*Allocator</f>
        <v>29881.766166768608</v>
      </c>
      <c r="F6" s="55" cm="1">
        <f t="array" ref="F6">'Total Rev Req'!F7*Allocator</f>
        <v>26659.895686971897</v>
      </c>
      <c r="G6" s="55" cm="1">
        <f t="array" ref="G6">'Total Rev Req'!G7*Allocator</f>
        <v>23495.706150848368</v>
      </c>
      <c r="H6" s="55" cm="1">
        <f t="array" ref="H6">'Total Rev Req'!H7*Allocator</f>
        <v>20385.01973303852</v>
      </c>
      <c r="I6" s="55" cm="1">
        <f t="array" ref="I6">'Total Rev Req'!I7*Allocator</f>
        <v>17323.658608182843</v>
      </c>
      <c r="J6" s="55" cm="1">
        <f t="array" ref="J6">'Total Rev Req'!J7*Allocator</f>
        <v>14270.383596926216</v>
      </c>
      <c r="K6" s="55" cm="1">
        <f t="array" ref="K6">'Total Rev Req'!K7*Allocator</f>
        <v>11217.243354229568</v>
      </c>
      <c r="L6" s="55" cm="1">
        <f t="array" ref="L6">'Total Rev Req'!L7*Allocator</f>
        <v>8163.9683429729394</v>
      </c>
      <c r="M6" s="55" cm="1">
        <f t="array" ref="M6">'Total Rev Req'!M7*Allocator</f>
        <v>6456.5812138117153</v>
      </c>
      <c r="N6" s="55" cm="1">
        <f t="array" ref="N6">'Total Rev Req'!N7*Allocator</f>
        <v>0</v>
      </c>
      <c r="O6" s="55" cm="1">
        <f t="array" ref="O6">'Total Rev Req'!O7*Allocator</f>
        <v>0</v>
      </c>
      <c r="P6" s="55" cm="1">
        <f t="array" ref="P6">'Total Rev Req'!P7*Allocator</f>
        <v>0</v>
      </c>
      <c r="Q6" s="55" cm="1">
        <f t="array" ref="Q6">'Total Rev Req'!Q7*Allocator</f>
        <v>0</v>
      </c>
      <c r="R6" s="55" cm="1">
        <f t="array" ref="R6">'Total Rev Req'!R7*Allocator</f>
        <v>0</v>
      </c>
      <c r="S6" s="55" cm="1">
        <f t="array" ref="S6">'Total Rev Req'!S7*Allocator</f>
        <v>0</v>
      </c>
      <c r="T6" s="55" cm="1">
        <f t="array" ref="T6">'Total Rev Req'!T7*Allocator</f>
        <v>0</v>
      </c>
      <c r="U6" s="55" cm="1">
        <f t="array" ref="U6">'Total Rev Req'!U7*Allocator</f>
        <v>0</v>
      </c>
      <c r="V6" s="55" cm="1">
        <f t="array" ref="V6">'Total Rev Req'!V7*Allocator</f>
        <v>0</v>
      </c>
      <c r="W6" s="55" cm="1">
        <f t="array" ref="W6">'Total Rev Req'!W7*Allocator</f>
        <v>0</v>
      </c>
      <c r="X6" s="55" cm="1">
        <f t="array" ref="X6">'Total Rev Req'!X7*Allocator</f>
        <v>0</v>
      </c>
      <c r="Y6" s="55" cm="1">
        <f t="array" ref="Y6">'Total Rev Req'!Y7*Allocator</f>
        <v>0</v>
      </c>
      <c r="Z6" s="55" cm="1">
        <f t="array" ref="Z6">'Total Rev Req'!Z7*Allocator</f>
        <v>0</v>
      </c>
    </row>
    <row r="7" spans="1:26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</row>
    <row r="8" spans="1:26">
      <c r="A8" s="7">
        <f>'Total Rev Req'!A9</f>
        <v>0</v>
      </c>
      <c r="B8" s="55" cm="1">
        <f t="array" ref="B8">'Total Rev Req'!B9*Allocator</f>
        <v>0</v>
      </c>
      <c r="C8" s="55" cm="1">
        <f t="array" ref="C8">'Total Rev Req'!C9*Allocator</f>
        <v>0</v>
      </c>
      <c r="D8" s="55" cm="1">
        <f t="array" ref="D8">'Total Rev Req'!D9*Allocator</f>
        <v>0</v>
      </c>
      <c r="E8" s="55" cm="1">
        <f t="array" ref="E8">'Total Rev Req'!E9*Allocator</f>
        <v>0</v>
      </c>
      <c r="F8" s="55" cm="1">
        <f t="array" ref="F8">'Total Rev Req'!F9*Allocator</f>
        <v>0</v>
      </c>
      <c r="G8" s="55" cm="1">
        <f t="array" ref="G8">'Total Rev Req'!G9*Allocator</f>
        <v>0</v>
      </c>
      <c r="H8" s="55" cm="1">
        <f t="array" ref="H8">'Total Rev Req'!H9*Allocator</f>
        <v>0</v>
      </c>
      <c r="I8" s="55" cm="1">
        <f t="array" ref="I8">'Total Rev Req'!I9*Allocator</f>
        <v>0</v>
      </c>
      <c r="J8" s="55" cm="1">
        <f t="array" ref="J8">'Total Rev Req'!J9*Allocator</f>
        <v>0</v>
      </c>
      <c r="K8" s="55" cm="1">
        <f t="array" ref="K8">'Total Rev Req'!K9*Allocator</f>
        <v>0</v>
      </c>
      <c r="L8" s="55" cm="1">
        <f t="array" ref="L8">'Total Rev Req'!L9*Allocator</f>
        <v>0</v>
      </c>
      <c r="M8" s="55" cm="1">
        <f t="array" ref="M8">'Total Rev Req'!M9*Allocator</f>
        <v>0</v>
      </c>
      <c r="N8" s="55" cm="1">
        <f t="array" ref="N8">'Total Rev Req'!N9*Allocator</f>
        <v>0</v>
      </c>
      <c r="O8" s="55" cm="1">
        <f t="array" ref="O8">'Total Rev Req'!O9*Allocator</f>
        <v>0</v>
      </c>
      <c r="P8" s="55" cm="1">
        <f t="array" ref="P8">'Total Rev Req'!P9*Allocator</f>
        <v>0</v>
      </c>
      <c r="Q8" s="55" cm="1">
        <f t="array" ref="Q8">'Total Rev Req'!Q9*Allocator</f>
        <v>0</v>
      </c>
      <c r="R8" s="55" cm="1">
        <f t="array" ref="R8">'Total Rev Req'!R9*Allocator</f>
        <v>0</v>
      </c>
      <c r="S8" s="55" cm="1">
        <f t="array" ref="S8">'Total Rev Req'!S9*Allocator</f>
        <v>0</v>
      </c>
      <c r="T8" s="55" cm="1">
        <f t="array" ref="T8">'Total Rev Req'!T9*Allocator</f>
        <v>0</v>
      </c>
      <c r="U8" s="55" cm="1">
        <f t="array" ref="U8">'Total Rev Req'!U9*Allocator</f>
        <v>0</v>
      </c>
      <c r="V8" s="55" cm="1">
        <f t="array" ref="V8">'Total Rev Req'!V9*Allocator</f>
        <v>0</v>
      </c>
      <c r="W8" s="55" cm="1">
        <f t="array" ref="W8">'Total Rev Req'!W9*Allocator</f>
        <v>0</v>
      </c>
      <c r="X8" s="55" cm="1">
        <f t="array" ref="X8">'Total Rev Req'!X9*Allocator</f>
        <v>0</v>
      </c>
      <c r="Y8" s="55" cm="1">
        <f t="array" ref="Y8">'Total Rev Req'!Y9*Allocator</f>
        <v>0</v>
      </c>
      <c r="Z8" s="55" cm="1">
        <f t="array" ref="Z8">'Total Rev Req'!Z9*Allocator</f>
        <v>0</v>
      </c>
    </row>
    <row r="9" spans="1:26">
      <c r="A9" s="7" t="str">
        <f>'Total Rev Req'!A10</f>
        <v>WV B&amp;O Tax</v>
      </c>
      <c r="B9" s="55" cm="1">
        <f t="array" ref="B9">'Total Rev Req'!B10*Allocator</f>
        <v>0</v>
      </c>
      <c r="C9" s="55" cm="1">
        <f t="array" ref="C9">'Total Rev Req'!C10*Allocator</f>
        <v>0</v>
      </c>
      <c r="D9" s="55" cm="1">
        <f t="array" ref="D9">'Total Rev Req'!D10*Allocator</f>
        <v>0</v>
      </c>
      <c r="E9" s="55" cm="1">
        <f t="array" ref="E9">'Total Rev Req'!E10*Allocator</f>
        <v>0</v>
      </c>
      <c r="F9" s="55" cm="1">
        <f t="array" ref="F9">'Total Rev Req'!F10*Allocator</f>
        <v>0</v>
      </c>
      <c r="G9" s="55" cm="1">
        <f t="array" ref="G9">'Total Rev Req'!G10*Allocator</f>
        <v>0</v>
      </c>
      <c r="H9" s="55" cm="1">
        <f t="array" ref="H9">'Total Rev Req'!H10*Allocator</f>
        <v>0</v>
      </c>
      <c r="I9" s="55" cm="1">
        <f t="array" ref="I9">'Total Rev Req'!I10*Allocator</f>
        <v>0</v>
      </c>
      <c r="J9" s="55" cm="1">
        <f t="array" ref="J9">'Total Rev Req'!J10*Allocator</f>
        <v>0</v>
      </c>
      <c r="K9" s="55" cm="1">
        <f t="array" ref="K9">'Total Rev Req'!K10*Allocator</f>
        <v>0</v>
      </c>
      <c r="L9" s="55" cm="1">
        <f t="array" ref="L9">'Total Rev Req'!L10*Allocator</f>
        <v>0</v>
      </c>
      <c r="M9" s="55" cm="1">
        <f t="array" ref="M9">'Total Rev Req'!M10*Allocator</f>
        <v>0</v>
      </c>
      <c r="N9" s="55" cm="1">
        <f t="array" ref="N9">'Total Rev Req'!N10*Allocator</f>
        <v>0</v>
      </c>
      <c r="O9" s="55" cm="1">
        <f t="array" ref="O9">'Total Rev Req'!O10*Allocator</f>
        <v>0</v>
      </c>
      <c r="P9" s="55" cm="1">
        <f t="array" ref="P9">'Total Rev Req'!P10*Allocator</f>
        <v>0</v>
      </c>
      <c r="Q9" s="55" cm="1">
        <f t="array" ref="Q9">'Total Rev Req'!Q10*Allocator</f>
        <v>0</v>
      </c>
      <c r="R9" s="55" cm="1">
        <f t="array" ref="R9">'Total Rev Req'!R10*Allocator</f>
        <v>0</v>
      </c>
      <c r="S9" s="55" cm="1">
        <f t="array" ref="S9">'Total Rev Req'!S10*Allocator</f>
        <v>0</v>
      </c>
      <c r="T9" s="55" cm="1">
        <f t="array" ref="T9">'Total Rev Req'!T10*Allocator</f>
        <v>0</v>
      </c>
      <c r="U9" s="55" cm="1">
        <f t="array" ref="U9">'Total Rev Req'!U10*Allocator</f>
        <v>0</v>
      </c>
      <c r="V9" s="55" cm="1">
        <f t="array" ref="V9">'Total Rev Req'!V10*Allocator</f>
        <v>0</v>
      </c>
      <c r="W9" s="55" cm="1">
        <f t="array" ref="W9">'Total Rev Req'!W10*Allocator</f>
        <v>0</v>
      </c>
      <c r="X9" s="55" cm="1">
        <f t="array" ref="X9">'Total Rev Req'!X10*Allocator</f>
        <v>0</v>
      </c>
      <c r="Y9" s="55" cm="1">
        <f t="array" ref="Y9">'Total Rev Req'!Y10*Allocator</f>
        <v>0</v>
      </c>
      <c r="Z9" s="55" cm="1">
        <f t="array" ref="Z9">'Total Rev Req'!Z10*Allocator</f>
        <v>0</v>
      </c>
    </row>
    <row r="10" spans="1:26">
      <c r="A10" s="7">
        <f>'Total Rev Req'!A11</f>
        <v>0</v>
      </c>
      <c r="B10" s="55" cm="1">
        <f t="array" ref="B10">'Total Rev Req'!B11*Allocator</f>
        <v>0</v>
      </c>
      <c r="C10" s="55" cm="1">
        <f t="array" ref="C10">'Total Rev Req'!C11*Allocator</f>
        <v>0</v>
      </c>
      <c r="D10" s="55" cm="1">
        <f t="array" ref="D10">'Total Rev Req'!D11*Allocator</f>
        <v>0</v>
      </c>
      <c r="E10" s="55" cm="1">
        <f t="array" ref="E10">'Total Rev Req'!E11*Allocator</f>
        <v>0</v>
      </c>
      <c r="F10" s="55" cm="1">
        <f t="array" ref="F10">'Total Rev Req'!F11*Allocator</f>
        <v>0</v>
      </c>
      <c r="G10" s="55" cm="1">
        <f t="array" ref="G10">'Total Rev Req'!G11*Allocator</f>
        <v>0</v>
      </c>
      <c r="H10" s="55" cm="1">
        <f t="array" ref="H10">'Total Rev Req'!H11*Allocator</f>
        <v>0</v>
      </c>
      <c r="I10" s="55" cm="1">
        <f t="array" ref="I10">'Total Rev Req'!I11*Allocator</f>
        <v>0</v>
      </c>
      <c r="J10" s="55" cm="1">
        <f t="array" ref="J10">'Total Rev Req'!J11*Allocator</f>
        <v>0</v>
      </c>
      <c r="K10" s="55" cm="1">
        <f t="array" ref="K10">'Total Rev Req'!K11*Allocator</f>
        <v>0</v>
      </c>
      <c r="L10" s="55" cm="1">
        <f t="array" ref="L10">'Total Rev Req'!L11*Allocator</f>
        <v>0</v>
      </c>
      <c r="M10" s="55" cm="1">
        <f t="array" ref="M10">'Total Rev Req'!M11*Allocator</f>
        <v>0</v>
      </c>
      <c r="N10" s="55" cm="1">
        <f t="array" ref="N10">'Total Rev Req'!N11*Allocator</f>
        <v>0</v>
      </c>
      <c r="O10" s="55" cm="1">
        <f t="array" ref="O10">'Total Rev Req'!O11*Allocator</f>
        <v>0</v>
      </c>
      <c r="P10" s="55" cm="1">
        <f t="array" ref="P10">'Total Rev Req'!P11*Allocator</f>
        <v>0</v>
      </c>
      <c r="Q10" s="55" cm="1">
        <f t="array" ref="Q10">'Total Rev Req'!Q11*Allocator</f>
        <v>0</v>
      </c>
      <c r="R10" s="55" cm="1">
        <f t="array" ref="R10">'Total Rev Req'!R11*Allocator</f>
        <v>0</v>
      </c>
      <c r="S10" s="55" cm="1">
        <f t="array" ref="S10">'Total Rev Req'!S11*Allocator</f>
        <v>0</v>
      </c>
      <c r="T10" s="55" cm="1">
        <f t="array" ref="T10">'Total Rev Req'!T11*Allocator</f>
        <v>0</v>
      </c>
      <c r="U10" s="55" cm="1">
        <f t="array" ref="U10">'Total Rev Req'!U11*Allocator</f>
        <v>0</v>
      </c>
      <c r="V10" s="55" cm="1">
        <f t="array" ref="V10">'Total Rev Req'!V11*Allocator</f>
        <v>0</v>
      </c>
      <c r="W10" s="55" cm="1">
        <f t="array" ref="W10">'Total Rev Req'!W11*Allocator</f>
        <v>0</v>
      </c>
      <c r="X10" s="55" cm="1">
        <f t="array" ref="X10">'Total Rev Req'!X11*Allocator</f>
        <v>0</v>
      </c>
      <c r="Y10" s="55" cm="1">
        <f t="array" ref="Y10">'Total Rev Req'!Y11*Allocator</f>
        <v>0</v>
      </c>
      <c r="Z10" s="55" cm="1">
        <f t="array" ref="Z10">'Total Rev Req'!Z11*Allocator</f>
        <v>0</v>
      </c>
    </row>
    <row r="11" spans="1:26">
      <c r="A11" s="7">
        <f>'Total Rev Req'!A12</f>
        <v>0</v>
      </c>
      <c r="B11" s="55" cm="1">
        <f t="array" ref="B11">'Total Rev Req'!B12*Allocator</f>
        <v>0</v>
      </c>
      <c r="C11" s="55" cm="1">
        <f t="array" ref="C11">'Total Rev Req'!C12*Allocator</f>
        <v>0</v>
      </c>
      <c r="D11" s="55" cm="1">
        <f t="array" ref="D11">'Total Rev Req'!D12*Allocator</f>
        <v>0</v>
      </c>
      <c r="E11" s="55" cm="1">
        <f t="array" ref="E11">'Total Rev Req'!E12*Allocator</f>
        <v>0</v>
      </c>
      <c r="F11" s="55" cm="1">
        <f t="array" ref="F11">'Total Rev Req'!F12*Allocator</f>
        <v>0</v>
      </c>
      <c r="G11" s="55" cm="1">
        <f t="array" ref="G11">'Total Rev Req'!G12*Allocator</f>
        <v>0</v>
      </c>
      <c r="H11" s="55" cm="1">
        <f t="array" ref="H11">'Total Rev Req'!H12*Allocator</f>
        <v>0</v>
      </c>
      <c r="I11" s="55" cm="1">
        <f t="array" ref="I11">'Total Rev Req'!I12*Allocator</f>
        <v>0</v>
      </c>
      <c r="J11" s="55" cm="1">
        <f t="array" ref="J11">'Total Rev Req'!J12*Allocator</f>
        <v>0</v>
      </c>
      <c r="K11" s="55" cm="1">
        <f t="array" ref="K11">'Total Rev Req'!K12*Allocator</f>
        <v>0</v>
      </c>
      <c r="L11" s="55" cm="1">
        <f t="array" ref="L11">'Total Rev Req'!L12*Allocator</f>
        <v>0</v>
      </c>
      <c r="M11" s="55" cm="1">
        <f t="array" ref="M11">'Total Rev Req'!M12*Allocator</f>
        <v>0</v>
      </c>
      <c r="N11" s="55" cm="1">
        <f t="array" ref="N11">'Total Rev Req'!N12*Allocator</f>
        <v>0</v>
      </c>
      <c r="O11" s="55" cm="1">
        <f t="array" ref="O11">'Total Rev Req'!O12*Allocator</f>
        <v>0</v>
      </c>
      <c r="P11" s="55" cm="1">
        <f t="array" ref="P11">'Total Rev Req'!P12*Allocator</f>
        <v>0</v>
      </c>
      <c r="Q11" s="55" cm="1">
        <f t="array" ref="Q11">'Total Rev Req'!Q12*Allocator</f>
        <v>0</v>
      </c>
      <c r="R11" s="55" cm="1">
        <f t="array" ref="R11">'Total Rev Req'!R12*Allocator</f>
        <v>0</v>
      </c>
      <c r="S11" s="55" cm="1">
        <f t="array" ref="S11">'Total Rev Req'!S12*Allocator</f>
        <v>0</v>
      </c>
      <c r="T11" s="55" cm="1">
        <f t="array" ref="T11">'Total Rev Req'!T12*Allocator</f>
        <v>0</v>
      </c>
      <c r="U11" s="55" cm="1">
        <f t="array" ref="U11">'Total Rev Req'!U12*Allocator</f>
        <v>0</v>
      </c>
      <c r="V11" s="55" cm="1">
        <f t="array" ref="V11">'Total Rev Req'!V12*Allocator</f>
        <v>0</v>
      </c>
      <c r="W11" s="55" cm="1">
        <f t="array" ref="W11">'Total Rev Req'!W12*Allocator</f>
        <v>0</v>
      </c>
      <c r="X11" s="55" cm="1">
        <f t="array" ref="X11">'Total Rev Req'!X12*Allocator</f>
        <v>0</v>
      </c>
      <c r="Y11" s="55" cm="1">
        <f t="array" ref="Y11">'Total Rev Req'!Y12*Allocator</f>
        <v>0</v>
      </c>
      <c r="Z11" s="55" cm="1">
        <f t="array" ref="Z11">'Total Rev Req'!Z12*Allocator</f>
        <v>0</v>
      </c>
    </row>
    <row r="12" spans="1:26">
      <c r="A12" s="7" t="str">
        <f>'Total Rev Req'!A13</f>
        <v>Total O&amp;M Expenses</v>
      </c>
      <c r="B12" s="54">
        <f>'Total Rev Req'!B13*Allocator</f>
        <v>39942.788561152032</v>
      </c>
      <c r="C12" s="54" cm="1">
        <f t="array" ref="C12">'Total Rev Req'!C13*Allocator</f>
        <v>36517.956630019296</v>
      </c>
      <c r="D12" s="54" cm="1">
        <f t="array" ref="D12">'Total Rev Req'!D13*Allocator</f>
        <v>33166.169258397931</v>
      </c>
      <c r="E12" s="54" cm="1">
        <f t="array" ref="E12">'Total Rev Req'!E13*Allocator</f>
        <v>29881.766166768608</v>
      </c>
      <c r="F12" s="54" cm="1">
        <f t="array" ref="F12">'Total Rev Req'!F13*Allocator</f>
        <v>26659.895686971897</v>
      </c>
      <c r="G12" s="54" cm="1">
        <f t="array" ref="G12">'Total Rev Req'!G13*Allocator</f>
        <v>23495.706150848368</v>
      </c>
      <c r="H12" s="54" cm="1">
        <f t="array" ref="H12">'Total Rev Req'!H13*Allocator</f>
        <v>20385.01973303852</v>
      </c>
      <c r="I12" s="54" cm="1">
        <f t="array" ref="I12">'Total Rev Req'!I13*Allocator</f>
        <v>17323.658608182843</v>
      </c>
      <c r="J12" s="54" cm="1">
        <f t="array" ref="J12">'Total Rev Req'!J13*Allocator</f>
        <v>14270.383596926216</v>
      </c>
      <c r="K12" s="54" cm="1">
        <f t="array" ref="K12">'Total Rev Req'!K13*Allocator</f>
        <v>11217.243354229568</v>
      </c>
      <c r="L12" s="54" cm="1">
        <f t="array" ref="L12">'Total Rev Req'!L13*Allocator</f>
        <v>8163.9683429729394</v>
      </c>
      <c r="M12" s="54" cm="1">
        <f t="array" ref="M12">'Total Rev Req'!M13*Allocator</f>
        <v>6456.5812138117153</v>
      </c>
      <c r="N12" s="54" cm="1">
        <f t="array" ref="N12">'Total Rev Req'!N13*Allocator</f>
        <v>0</v>
      </c>
      <c r="O12" s="54" cm="1">
        <f t="array" ref="O12">'Total Rev Req'!O13*Allocator</f>
        <v>0</v>
      </c>
      <c r="P12" s="54" cm="1">
        <f t="array" ref="P12">'Total Rev Req'!P13*Allocator</f>
        <v>0</v>
      </c>
      <c r="Q12" s="54" cm="1">
        <f t="array" ref="Q12">'Total Rev Req'!Q13*Allocator</f>
        <v>0</v>
      </c>
      <c r="R12" s="54" cm="1">
        <f t="array" ref="R12">'Total Rev Req'!R13*Allocator</f>
        <v>0</v>
      </c>
      <c r="S12" s="54" cm="1">
        <f t="array" ref="S12">'Total Rev Req'!S13*Allocator</f>
        <v>0</v>
      </c>
      <c r="T12" s="54" cm="1">
        <f t="array" ref="T12">'Total Rev Req'!T13*Allocator</f>
        <v>0</v>
      </c>
      <c r="U12" s="54" cm="1">
        <f t="array" ref="U12">'Total Rev Req'!U13*Allocator</f>
        <v>0</v>
      </c>
      <c r="V12" s="54" cm="1">
        <f t="array" ref="V12">'Total Rev Req'!V13*Allocator</f>
        <v>0</v>
      </c>
      <c r="W12" s="54" cm="1">
        <f t="array" ref="W12">'Total Rev Req'!W13*Allocator</f>
        <v>0</v>
      </c>
      <c r="X12" s="54" cm="1">
        <f t="array" ref="X12">'Total Rev Req'!X13*Allocator</f>
        <v>0</v>
      </c>
      <c r="Y12" s="54" cm="1">
        <f t="array" ref="Y12">'Total Rev Req'!Y13*Allocator</f>
        <v>0</v>
      </c>
      <c r="Z12" s="54" cm="1">
        <f t="array" ref="Z12">'Total Rev Req'!Z13*Allocator</f>
        <v>0</v>
      </c>
    </row>
    <row r="13" spans="1:26">
      <c r="A13" s="7" t="str">
        <f>'Total Rev Req'!A14</f>
        <v>Plant Depreciation - Account 403</v>
      </c>
      <c r="B13" s="55">
        <f>'Total Rev Req'!B14*Allocator</f>
        <v>5633458.333333333</v>
      </c>
      <c r="C13" s="55" cm="1">
        <f t="array" ref="C13">'Total Rev Req'!C14*Allocator</f>
        <v>5633458.333333333</v>
      </c>
      <c r="D13" s="55" cm="1">
        <f t="array" ref="D13">'Total Rev Req'!D14*Allocator</f>
        <v>5633458.333333333</v>
      </c>
      <c r="E13" s="55" cm="1">
        <f t="array" ref="E13">'Total Rev Req'!E14*Allocator</f>
        <v>5633458.333333333</v>
      </c>
      <c r="F13" s="55" cm="1">
        <f t="array" ref="F13">'Total Rev Req'!F14*Allocator</f>
        <v>5633458.333333333</v>
      </c>
      <c r="G13" s="55" cm="1">
        <f t="array" ref="G13">'Total Rev Req'!G14*Allocator</f>
        <v>5633458.333333333</v>
      </c>
      <c r="H13" s="55" cm="1">
        <f t="array" ref="H13">'Total Rev Req'!H14*Allocator</f>
        <v>5633458.333333333</v>
      </c>
      <c r="I13" s="55" cm="1">
        <f t="array" ref="I13">'Total Rev Req'!I14*Allocator</f>
        <v>5633458.333333333</v>
      </c>
      <c r="J13" s="55" cm="1">
        <f t="array" ref="J13">'Total Rev Req'!J14*Allocator</f>
        <v>5633458.333333333</v>
      </c>
      <c r="K13" s="55" cm="1">
        <f t="array" ref="K13">'Total Rev Req'!K14*Allocator</f>
        <v>5633458.333333333</v>
      </c>
      <c r="L13" s="55" cm="1">
        <f t="array" ref="L13">'Total Rev Req'!L14*Allocator</f>
        <v>5633458.333333333</v>
      </c>
      <c r="M13" s="55" cm="1">
        <f t="array" ref="M13">'Total Rev Req'!M14*Allocator</f>
        <v>5841791.666666666</v>
      </c>
      <c r="N13" s="55" cm="1">
        <f t="array" ref="N13">'Total Rev Req'!N14*Allocator</f>
        <v>0</v>
      </c>
      <c r="O13" s="55" cm="1">
        <f t="array" ref="O13">'Total Rev Req'!O14*Allocator</f>
        <v>0</v>
      </c>
      <c r="P13" s="55" cm="1">
        <f t="array" ref="P13">'Total Rev Req'!P14*Allocator</f>
        <v>0</v>
      </c>
      <c r="Q13" s="55" cm="1">
        <f t="array" ref="Q13">'Total Rev Req'!Q14*Allocator</f>
        <v>0</v>
      </c>
      <c r="R13" s="55" cm="1">
        <f t="array" ref="R13">'Total Rev Req'!R14*Allocator</f>
        <v>0</v>
      </c>
      <c r="S13" s="55" cm="1">
        <f t="array" ref="S13">'Total Rev Req'!S14*Allocator</f>
        <v>0</v>
      </c>
      <c r="T13" s="55" cm="1">
        <f t="array" ref="T13">'Total Rev Req'!T14*Allocator</f>
        <v>0</v>
      </c>
      <c r="U13" s="55" cm="1">
        <f t="array" ref="U13">'Total Rev Req'!U14*Allocator</f>
        <v>0</v>
      </c>
      <c r="V13" s="55" cm="1">
        <f t="array" ref="V13">'Total Rev Req'!V14*Allocator</f>
        <v>0</v>
      </c>
      <c r="W13" s="55" cm="1">
        <f t="array" ref="W13">'Total Rev Req'!W14*Allocator</f>
        <v>0</v>
      </c>
      <c r="X13" s="55" cm="1">
        <f t="array" ref="X13">'Total Rev Req'!X14*Allocator</f>
        <v>0</v>
      </c>
      <c r="Y13" s="55" cm="1">
        <f t="array" ref="Y13">'Total Rev Req'!Y14*Allocator</f>
        <v>0</v>
      </c>
      <c r="Z13" s="55" cm="1">
        <f t="array" ref="Z13">'Total Rev Req'!Z14*Allocator</f>
        <v>0</v>
      </c>
    </row>
    <row r="14" spans="1:26">
      <c r="A14" s="7" t="str">
        <f>'Total Rev Req'!A15</f>
        <v>Current SIT</v>
      </c>
      <c r="B14" s="55" cm="1">
        <f t="array" ref="B14">'Total Rev Req'!B15*Allocator</f>
        <v>998539.12386402185</v>
      </c>
      <c r="C14" s="55" cm="1">
        <f t="array" ref="C14">'Total Rev Req'!C15*Allocator</f>
        <v>-431812.28338691284</v>
      </c>
      <c r="D14" s="55" cm="1">
        <f t="array" ref="D14">'Total Rev Req'!D15*Allocator</f>
        <v>-397803.14865867782</v>
      </c>
      <c r="E14" s="55" cm="1">
        <f t="array" ref="E14">'Total Rev Req'!E15*Allocator</f>
        <v>-365928.43975440459</v>
      </c>
      <c r="F14" s="55" cm="1">
        <f t="array" ref="F14">'Total Rev Req'!F15*Allocator</f>
        <v>-335895.67422480584</v>
      </c>
      <c r="G14" s="55" cm="1">
        <f t="array" ref="G14">'Total Rev Req'!G15*Allocator</f>
        <v>-307692.21597132424</v>
      </c>
      <c r="H14" s="55" cm="1">
        <f t="array" ref="H14">'Total Rev Req'!H15*Allocator</f>
        <v>-281073.97861681588</v>
      </c>
      <c r="I14" s="55" cm="1">
        <f t="array" ref="I14">'Total Rev Req'!I15*Allocator</f>
        <v>-256030.081076412</v>
      </c>
      <c r="J14" s="55" cm="1">
        <f t="array" ref="J14">'Total Rev Req'!J15*Allocator</f>
        <v>-245279.40758750032</v>
      </c>
      <c r="K14" s="55" cm="1">
        <f t="array" ref="K14">'Total Rev Req'!K15*Allocator</f>
        <v>-237280.90755017134</v>
      </c>
      <c r="L14" s="55" cm="1">
        <f t="array" ref="L14">'Total Rev Req'!L15*Allocator</f>
        <v>-229375.33862701475</v>
      </c>
      <c r="M14" s="55" cm="1">
        <f t="array" ref="M14">'Total Rev Req'!M15*Allocator</f>
        <v>-229578.42658448417</v>
      </c>
      <c r="N14" s="55" cm="1">
        <f t="array" ref="N14">'Total Rev Req'!N15*Allocator</f>
        <v>-232043.49333119096</v>
      </c>
      <c r="O14" s="55" cm="1">
        <f t="array" ref="O14">'Total Rev Req'!O15*Allocator</f>
        <v>-229720.61112164214</v>
      </c>
      <c r="P14" s="55" cm="1">
        <f t="array" ref="P14">'Total Rev Req'!P15*Allocator</f>
        <v>-227547.89061609557</v>
      </c>
      <c r="Q14" s="55" cm="1">
        <f t="array" ref="Q14">'Total Rev Req'!Q15*Allocator</f>
        <v>-225331.60875004565</v>
      </c>
      <c r="R14" s="55" cm="1">
        <f t="array" ref="R14">'Total Rev Req'!R15*Allocator</f>
        <v>-223257.30847167861</v>
      </c>
      <c r="S14" s="55" cm="1">
        <f t="array" ref="S14">'Total Rev Req'!S15*Allocator</f>
        <v>-221132.56536137208</v>
      </c>
      <c r="T14" s="55" cm="1">
        <f t="array" ref="T14">'Total Rev Req'!T15*Allocator</f>
        <v>-219142.96858719556</v>
      </c>
      <c r="U14" s="55" cm="1">
        <f t="array" ref="U14">'Total Rev Req'!U15*Allocator</f>
        <v>-217444.23063594563</v>
      </c>
      <c r="V14" s="55" cm="1">
        <f t="array" ref="V14">'Total Rev Req'!V15*Allocator</f>
        <v>-112624.15596633086</v>
      </c>
      <c r="W14" s="55" cm="1">
        <f t="array" ref="W14">'Total Rev Req'!W15*Allocator</f>
        <v>-8527.9603543749454</v>
      </c>
      <c r="X14" s="55" cm="1">
        <f t="array" ref="X14">'Total Rev Req'!X15*Allocator</f>
        <v>-8485.470549500722</v>
      </c>
      <c r="Y14" s="55" cm="1">
        <f t="array" ref="Y14">'Total Rev Req'!Y15*Allocator</f>
        <v>-8445.4763506498402</v>
      </c>
      <c r="Z14" s="55" cm="1">
        <f t="array" ref="Z14">'Total Rev Req'!Z15*Allocator</f>
        <v>-8402.986545775615</v>
      </c>
    </row>
    <row r="15" spans="1:26">
      <c r="A15" s="7" t="str">
        <f>'Total Rev Req'!A16</f>
        <v>Deferred SIT</v>
      </c>
      <c r="B15" s="55" cm="1">
        <f t="array" ref="B15">'Total Rev Req'!B16*Allocator</f>
        <v>-1384788.8929187499</v>
      </c>
      <c r="C15" s="55" cm="1">
        <f t="array" ref="C15">'Total Rev Req'!C16*Allocator</f>
        <v>54482.438861645038</v>
      </c>
      <c r="D15" s="55" cm="1">
        <f t="array" ref="D15">'Total Rev Req'!D16*Allocator</f>
        <v>29202.985179035037</v>
      </c>
      <c r="E15" s="55" cm="1">
        <f t="array" ref="E15">'Total Rev Req'!E16*Allocator</f>
        <v>5882.455951535002</v>
      </c>
      <c r="F15" s="55" cm="1">
        <f t="array" ref="F15">'Total Rev Req'!F16*Allocator</f>
        <v>-15758.995171585002</v>
      </c>
      <c r="G15" s="55" cm="1">
        <f t="array" ref="G15">'Total Rev Req'!G16*Allocator</f>
        <v>-35721.368190324982</v>
      </c>
      <c r="H15" s="55" cm="1">
        <f t="array" ref="H15">'Total Rev Req'!H16*Allocator</f>
        <v>-54237.868396959959</v>
      </c>
      <c r="I15" s="55" cm="1">
        <f t="array" ref="I15">'Total Rev Req'!I16*Allocator</f>
        <v>-71308.495791489986</v>
      </c>
      <c r="J15" s="55" cm="1">
        <f t="array" ref="J15">'Total Rev Req'!J16*Allocator</f>
        <v>-74106.959298789967</v>
      </c>
      <c r="K15" s="55" cm="1">
        <f t="array" ref="K15">'Total Rev Req'!K16*Allocator</f>
        <v>-74153.600357244984</v>
      </c>
      <c r="L15" s="55" cm="1">
        <f t="array" ref="L15">'Total Rev Req'!L16*Allocator</f>
        <v>-74106.959298789967</v>
      </c>
      <c r="M15" s="55" cm="1">
        <f t="array" ref="M15">'Total Rev Req'!M16*Allocator</f>
        <v>-79893.88160724497</v>
      </c>
      <c r="N15" s="55" cm="1">
        <f t="array" ref="N15">'Total Rev Req'!N16*Allocator</f>
        <v>217153.65890121003</v>
      </c>
      <c r="O15" s="55" cm="1">
        <f t="array" ref="O15">'Total Rev Req'!O16*Allocator</f>
        <v>216428.20349275501</v>
      </c>
      <c r="P15" s="55" cm="1">
        <f t="array" ref="P15">'Total Rev Req'!P16*Allocator</f>
        <v>215848.63205121004</v>
      </c>
      <c r="Q15" s="55" cm="1">
        <f t="array" ref="Q15">'Total Rev Req'!Q16*Allocator</f>
        <v>215220.86579275501</v>
      </c>
      <c r="R15" s="55" cm="1">
        <f t="array" ref="R15">'Total Rev Req'!R16*Allocator</f>
        <v>214731.46895121003</v>
      </c>
      <c r="S15" s="55" cm="1">
        <f t="array" ref="S15">'Total Rev Req'!S16*Allocator</f>
        <v>214187.61516775502</v>
      </c>
      <c r="T15" s="55" cm="1">
        <f t="array" ref="T15">'Total Rev Req'!T16*Allocator</f>
        <v>213775.86867621003</v>
      </c>
      <c r="U15" s="55" cm="1">
        <f t="array" ref="U15">'Total Rev Req'!U16*Allocator</f>
        <v>213654.08211775502</v>
      </c>
      <c r="V15" s="55" cm="1">
        <f t="array" ref="V15">'Total Rev Req'!V16*Allocator</f>
        <v>109643.26933810502</v>
      </c>
      <c r="W15" s="55" cm="1">
        <f t="array" ref="W15">'Total Rev Req'!W16*Allocator</f>
        <v>5588.32035</v>
      </c>
      <c r="X15" s="55" cm="1">
        <f t="array" ref="X15">'Total Rev Req'!X16*Allocator</f>
        <v>5587.0679249999994</v>
      </c>
      <c r="Y15" s="55" cm="1">
        <f t="array" ref="Y15">'Total Rev Req'!Y16*Allocator</f>
        <v>5588.32035</v>
      </c>
      <c r="Z15" s="55" cm="1">
        <f t="array" ref="Z15">'Total Rev Req'!Z16*Allocator</f>
        <v>5587.0679249999994</v>
      </c>
    </row>
    <row r="16" spans="1:26">
      <c r="A16" s="7" t="str">
        <f>'Total Rev Req'!A17</f>
        <v>Current FIT</v>
      </c>
      <c r="B16" s="55" cm="1">
        <f t="array" ref="B16">'Total Rev Req'!B17*Allocator</f>
        <v>3976050.7609022353</v>
      </c>
      <c r="C16" s="55" cm="1">
        <f t="array" ref="C16">'Total Rev Req'!C17*Allocator</f>
        <v>-1719419.4167210911</v>
      </c>
      <c r="D16" s="55" cm="1">
        <f t="array" ref="D16">'Total Rev Req'!D17*Allocator</f>
        <v>-1583999.5390396239</v>
      </c>
      <c r="E16" s="55" cm="1">
        <f t="array" ref="E16">'Total Rev Req'!E17*Allocator</f>
        <v>-1457078.6627679483</v>
      </c>
      <c r="F16" s="55" cm="1">
        <f t="array" ref="F16">'Total Rev Req'!F17*Allocator</f>
        <v>-1337492.1614660518</v>
      </c>
      <c r="G16" s="55" cm="1">
        <f t="array" ref="G16">'Total Rev Req'!G17*Allocator</f>
        <v>-1225189.7198602678</v>
      </c>
      <c r="H16" s="55" cm="1">
        <f t="array" ref="H16">'Total Rev Req'!H17*Allocator</f>
        <v>-1119199.4182707614</v>
      </c>
      <c r="I16" s="55" cm="1">
        <f t="array" ref="I16">'Total Rev Req'!I17*Allocator</f>
        <v>-1019477.9296563198</v>
      </c>
      <c r="J16" s="55" cm="1">
        <f t="array" ref="J16">'Total Rev Req'!J17*Allocator</f>
        <v>-976670.16931500391</v>
      </c>
      <c r="K16" s="55" cm="1">
        <f t="array" ref="K16">'Total Rev Req'!K17*Allocator</f>
        <v>-944821.19975592114</v>
      </c>
      <c r="L16" s="55" cm="1">
        <f t="array" ref="L16">'Total Rev Req'!L17*Allocator</f>
        <v>-913342.26960579702</v>
      </c>
      <c r="M16" s="55" cm="1">
        <f t="array" ref="M16">'Total Rev Req'!M17*Allocator</f>
        <v>-914150.93899944227</v>
      </c>
      <c r="N16" s="55" cm="1">
        <f t="array" ref="N16">'Total Rev Req'!N17*Allocator</f>
        <v>-923966.50884510914</v>
      </c>
      <c r="O16" s="55" cm="1">
        <f t="array" ref="O16">'Total Rev Req'!O17*Allocator</f>
        <v>-914717.09902627009</v>
      </c>
      <c r="P16" s="55" cm="1">
        <f t="array" ref="P16">'Total Rev Req'!P17*Allocator</f>
        <v>-906065.61325786391</v>
      </c>
      <c r="Q16" s="55" cm="1">
        <f t="array" ref="Q16">'Total Rev Req'!Q17*Allocator</f>
        <v>-897240.6719117685</v>
      </c>
      <c r="R16" s="55" cm="1">
        <f t="array" ref="R16">'Total Rev Req'!R17*Allocator</f>
        <v>-888981.08247452555</v>
      </c>
      <c r="S16" s="55" cm="1">
        <f t="array" ref="S16">'Total Rev Req'!S17*Allocator</f>
        <v>-880520.63635022682</v>
      </c>
      <c r="T16" s="55" cm="1">
        <f t="array" ref="T16">'Total Rev Req'!T17*Allocator</f>
        <v>-872598.32506687799</v>
      </c>
      <c r="U16" s="55" cm="1">
        <f t="array" ref="U16">'Total Rev Req'!U17*Allocator</f>
        <v>-865834.17515805538</v>
      </c>
      <c r="V16" s="55" cm="1">
        <f t="array" ref="V16">'Total Rev Req'!V17*Allocator</f>
        <v>-448454.49749937054</v>
      </c>
      <c r="W16" s="55" cm="1">
        <f t="array" ref="W16">'Total Rev Req'!W17*Allocator</f>
        <v>-33957.210534470782</v>
      </c>
      <c r="X16" s="55" cm="1">
        <f t="array" ref="X16">'Total Rev Req'!X17*Allocator</f>
        <v>-33788.021749611769</v>
      </c>
      <c r="Y16" s="55" cm="1">
        <f t="array" ref="Y16">'Total Rev Req'!Y17*Allocator</f>
        <v>-33628.77013795996</v>
      </c>
      <c r="Z16" s="55" cm="1">
        <f t="array" ref="Z16">'Total Rev Req'!Z17*Allocator</f>
        <v>-33459.581353100941</v>
      </c>
    </row>
    <row r="17" spans="1:26">
      <c r="A17" s="7" t="str">
        <f>'Total Rev Req'!A18</f>
        <v>Deferred FIT</v>
      </c>
      <c r="B17" s="55" cm="1">
        <f t="array" ref="B17">'Total Rev Req'!B18*Allocator</f>
        <v>-5514046.2699870626</v>
      </c>
      <c r="C17" s="55" cm="1">
        <f t="array" ref="C17">'Total Rev Req'!C18*Allocator</f>
        <v>216941.86768905466</v>
      </c>
      <c r="D17" s="55" cm="1">
        <f t="array" ref="D17">'Total Rev Req'!D18*Allocator</f>
        <v>116282.42566240278</v>
      </c>
      <c r="E17" s="55" cm="1">
        <f t="array" ref="E17">'Total Rev Req'!E18*Allocator</f>
        <v>23423.161800177655</v>
      </c>
      <c r="F17" s="55" cm="1">
        <f t="array" ref="F17">'Total Rev Req'!F18*Allocator</f>
        <v>-62750.235063967164</v>
      </c>
      <c r="G17" s="55" cm="1">
        <f t="array" ref="G17">'Total Rev Req'!G18*Allocator</f>
        <v>-142237.76493003167</v>
      </c>
      <c r="H17" s="55" cm="1">
        <f t="array" ref="H17">'Total Rev Req'!H18*Allocator</f>
        <v>-215968.02043663824</v>
      </c>
      <c r="I17" s="55" cm="1">
        <f t="array" ref="I17">'Total Rev Req'!I18*Allocator</f>
        <v>-283941.00158378703</v>
      </c>
      <c r="J17" s="55" cm="1">
        <f t="array" ref="J17">'Total Rev Req'!J18*Allocator</f>
        <v>-295084.11324725399</v>
      </c>
      <c r="K17" s="55" cm="1">
        <f t="array" ref="K17">'Total Rev Req'!K18*Allocator</f>
        <v>-295269.83177497837</v>
      </c>
      <c r="L17" s="55" cm="1">
        <f t="array" ref="L17">'Total Rev Req'!L18*Allocator</f>
        <v>-295084.11324725399</v>
      </c>
      <c r="M17" s="55" cm="1">
        <f t="array" ref="M17">'Total Rev Req'!M18*Allocator</f>
        <v>-318126.87271247833</v>
      </c>
      <c r="N17" s="55" cm="1">
        <f t="array" ref="N17">'Total Rev Req'!N18*Allocator</f>
        <v>864677.15693074593</v>
      </c>
      <c r="O17" s="55" cm="1">
        <f t="array" ref="O17">'Total Rev Req'!O18*Allocator</f>
        <v>861788.48941652151</v>
      </c>
      <c r="P17" s="55" cm="1">
        <f t="array" ref="P17">'Total Rev Req'!P18*Allocator</f>
        <v>859480.71256924595</v>
      </c>
      <c r="Q17" s="55" cm="1">
        <f t="array" ref="Q17">'Total Rev Req'!Q18*Allocator</f>
        <v>856981.03033352143</v>
      </c>
      <c r="R17" s="55" cm="1">
        <f t="array" ref="R17">'Total Rev Req'!R18*Allocator</f>
        <v>855032.31682024593</v>
      </c>
      <c r="S17" s="55" cm="1">
        <f t="array" ref="S17">'Total Rev Req'!S18*Allocator</f>
        <v>852866.76296477136</v>
      </c>
      <c r="T17" s="55" cm="1">
        <f t="array" ref="T17">'Total Rev Req'!T18*Allocator</f>
        <v>851227.24287799583</v>
      </c>
      <c r="U17" s="55" cm="1">
        <f t="array" ref="U17">'Total Rev Req'!U18*Allocator</f>
        <v>850742.30490527162</v>
      </c>
      <c r="V17" s="55" cm="1">
        <f t="array" ref="V17">'Total Rev Req'!V18*Allocator</f>
        <v>436585.00108899793</v>
      </c>
      <c r="W17" s="55" cm="1">
        <f t="array" ref="W17">'Total Rev Req'!W18*Allocator</f>
        <v>22251.9527265</v>
      </c>
      <c r="X17" s="55" cm="1">
        <f t="array" ref="X17">'Total Rev Req'!X18*Allocator</f>
        <v>22246.965735749996</v>
      </c>
      <c r="Y17" s="55" cm="1">
        <f t="array" ref="Y17">'Total Rev Req'!Y18*Allocator</f>
        <v>22251.9527265</v>
      </c>
      <c r="Z17" s="55" cm="1">
        <f t="array" ref="Z17">'Total Rev Req'!Z18*Allocator</f>
        <v>22246.965735749996</v>
      </c>
    </row>
    <row r="18" spans="1:26">
      <c r="A18" s="7" t="str">
        <f>'Total Rev Req'!A19</f>
        <v>Total Expenses</v>
      </c>
      <c r="B18" s="22" cm="1">
        <f t="array" ref="B18">'Total Rev Req'!B19*Allocator</f>
        <v>3749155.8437549314</v>
      </c>
      <c r="C18" s="22" cm="1">
        <f t="array" ref="C18">'Total Rev Req'!C19*Allocator</f>
        <v>3790168.8964060475</v>
      </c>
      <c r="D18" s="22" cm="1">
        <f t="array" ref="D18">'Total Rev Req'!D19*Allocator</f>
        <v>3830307.2257348672</v>
      </c>
      <c r="E18" s="22" cm="1">
        <f t="array" ref="E18">'Total Rev Req'!E19*Allocator</f>
        <v>3869638.6147294613</v>
      </c>
      <c r="F18" s="22" cm="1">
        <f t="array" ref="F18">'Total Rev Req'!F19*Allocator</f>
        <v>3908221.1630938947</v>
      </c>
      <c r="G18" s="22" cm="1">
        <f t="array" ref="G18">'Total Rev Req'!G19*Allocator</f>
        <v>3946112.9705322324</v>
      </c>
      <c r="H18" s="22" cm="1">
        <f t="array" ref="H18">'Total Rev Req'!H19*Allocator</f>
        <v>3983364.0673451964</v>
      </c>
      <c r="I18" s="22" cm="1">
        <f t="array" ref="I18">'Total Rev Req'!I19*Allocator</f>
        <v>4020024.4838335062</v>
      </c>
      <c r="J18" s="22" cm="1">
        <f t="array" ref="J18">'Total Rev Req'!J19*Allocator</f>
        <v>4056588.0674817115</v>
      </c>
      <c r="K18" s="22" cm="1">
        <f t="array" ref="K18">'Total Rev Req'!K19*Allocator</f>
        <v>4093150.0372492471</v>
      </c>
      <c r="L18" s="22" cm="1">
        <f t="array" ref="L18">'Total Rev Req'!L19*Allocator</f>
        <v>4129713.6208974505</v>
      </c>
      <c r="M18" s="22" cm="1">
        <f t="array" ref="M18">'Total Rev Req'!M19*Allocator</f>
        <v>4306498.1279768283</v>
      </c>
      <c r="N18" s="22" cm="1">
        <f t="array" ref="N18">'Total Rev Req'!N19*Allocator</f>
        <v>-74179.186344344169</v>
      </c>
      <c r="O18" s="22" cm="1">
        <f t="array" ref="O18">'Total Rev Req'!O19*Allocator</f>
        <v>-66221.017238635686</v>
      </c>
      <c r="P18" s="22" cm="1">
        <f t="array" ref="P18">'Total Rev Req'!P19*Allocator</f>
        <v>-58284.159253503545</v>
      </c>
      <c r="Q18" s="22" cm="1">
        <f t="array" ref="Q18">'Total Rev Req'!Q19*Allocator</f>
        <v>-50370.384535537683</v>
      </c>
      <c r="R18" s="22" cm="1">
        <f t="array" ref="R18">'Total Rev Req'!R19*Allocator</f>
        <v>-42474.605174748227</v>
      </c>
      <c r="S18" s="22" cm="1">
        <f t="array" ref="S18">'Total Rev Req'!S19*Allocator</f>
        <v>-34598.823579072487</v>
      </c>
      <c r="T18" s="22" cm="1">
        <f t="array" ref="T18">'Total Rev Req'!T19*Allocator</f>
        <v>-26738.182099867729</v>
      </c>
      <c r="U18" s="22" cm="1">
        <f t="array" ref="U18">'Total Rev Req'!U19*Allocator</f>
        <v>-18882.018770974362</v>
      </c>
      <c r="V18" s="22" cm="1">
        <f t="array" ref="V18">'Total Rev Req'!V19*Allocator</f>
        <v>-14850.383038598462</v>
      </c>
      <c r="W18" s="22" cm="1">
        <f t="array" ref="W18">'Total Rev Req'!W19*Allocator</f>
        <v>-14644.897812345727</v>
      </c>
      <c r="X18" s="22" cm="1">
        <f t="array" ref="X18">'Total Rev Req'!X19*Allocator</f>
        <v>-14439.458638362499</v>
      </c>
      <c r="Y18" s="22" cm="1">
        <f t="array" ref="Y18">'Total Rev Req'!Y19*Allocator</f>
        <v>-14233.973412109801</v>
      </c>
      <c r="Z18" s="22" cm="1">
        <f t="array" ref="Z18">'Total Rev Req'!Z19*Allocator</f>
        <v>-14028.534238126558</v>
      </c>
    </row>
    <row r="19" spans="1:26">
      <c r="A19" s="7"/>
    </row>
    <row r="20" spans="1:26">
      <c r="A20" s="7" t="str">
        <f>'Total Rev Req'!A23</f>
        <v>Rate Base</v>
      </c>
      <c r="B20" s="55" cm="1">
        <f t="array" ref="B20">'Total Rev Req'!B23*Allocator</f>
        <v>68866876.829572469</v>
      </c>
      <c r="C20" s="55" cm="1">
        <f t="array" ref="C20">'Total Rev Req'!C23*Allocator</f>
        <v>62961994.189688452</v>
      </c>
      <c r="D20" s="55" cm="1">
        <f t="array" ref="D20">'Total Rev Req'!D23*Allocator</f>
        <v>57183050.445513673</v>
      </c>
      <c r="E20" s="55" cm="1">
        <f t="array" ref="E20">'Total Rev Req'!E23*Allocator</f>
        <v>51520286.494428635</v>
      </c>
      <c r="F20" s="55" cm="1">
        <f t="array" ref="F20">'Total Rev Req'!F23*Allocator</f>
        <v>45965337.391330853</v>
      </c>
      <c r="G20" s="55" cm="1">
        <f t="array" ref="G20">'Total Rev Req'!G23*Allocator</f>
        <v>40509838.191117875</v>
      </c>
      <c r="H20" s="55" cm="1">
        <f t="array" ref="H20">'Total Rev Req'!H23*Allocator</f>
        <v>35146585.746618137</v>
      </c>
      <c r="I20" s="55" cm="1">
        <f t="array" ref="I20">'Total Rev Req'!I23*Allocator</f>
        <v>29868376.910660073</v>
      </c>
      <c r="J20" s="55" cm="1">
        <f t="array" ref="J20">'Total Rev Req'!J23*Allocator</f>
        <v>24604109.649872787</v>
      </c>
      <c r="K20" s="55" cm="1">
        <f t="array" ref="K20">'Total Rev Req'!K23*Allocator</f>
        <v>19340074.74867167</v>
      </c>
      <c r="L20" s="55" cm="1">
        <f t="array" ref="L20">'Total Rev Req'!L23*Allocator</f>
        <v>14075807.487884378</v>
      </c>
      <c r="M20" s="55" cm="1">
        <f t="array" ref="M20">'Total Rev Req'!M23*Allocator</f>
        <v>11132036.575537439</v>
      </c>
      <c r="N20" s="55" cm="1">
        <f t="array" ref="N20">'Total Rev Req'!N23*Allocator</f>
        <v>10050205.75970548</v>
      </c>
      <c r="O20" s="55" cm="1">
        <f t="array" ref="O20">'Total Rev Req'!O23*Allocator</f>
        <v>8971989.0667962059</v>
      </c>
      <c r="P20" s="55" cm="1">
        <f t="array" ref="P20">'Total Rev Req'!P23*Allocator</f>
        <v>7896659.72217575</v>
      </c>
      <c r="Q20" s="55" cm="1">
        <f t="array" ref="Q20">'Total Rev Req'!Q23*Allocator</f>
        <v>6824457.8260494741</v>
      </c>
      <c r="R20" s="55" cm="1">
        <f t="array" ref="R20">'Total Rev Req'!R23*Allocator</f>
        <v>5754694.0402780175</v>
      </c>
      <c r="S20" s="55" cm="1">
        <f t="array" ref="S20">'Total Rev Req'!S23*Allocator</f>
        <v>4687639.6621454908</v>
      </c>
      <c r="T20" s="55" cm="1">
        <f t="array" ref="T20">'Total Rev Req'!T23*Allocator</f>
        <v>3622636.5505912853</v>
      </c>
      <c r="U20" s="55" cm="1">
        <f t="array" ref="U20">'Total Rev Req'!U23*Allocator</f>
        <v>2558240.1635682583</v>
      </c>
      <c r="V20" s="55" cm="1">
        <f t="array" ref="V20">'Total Rev Req'!V23*Allocator</f>
        <v>2012011.8931411558</v>
      </c>
      <c r="W20" s="55" cm="1">
        <f t="array" ref="W20">'Total Rev Req'!W23*Allocator</f>
        <v>1984171.6200646556</v>
      </c>
      <c r="X20" s="55" cm="1">
        <f t="array" ref="X20">'Total Rev Req'!X23*Allocator</f>
        <v>1956337.5864039056</v>
      </c>
      <c r="Y20" s="55" cm="1">
        <f t="array" ref="Y20">'Total Rev Req'!Y23*Allocator</f>
        <v>1928497.3133274056</v>
      </c>
      <c r="Z20" s="55" cm="1">
        <f t="array" ref="Z20">'Total Rev Req'!Z23*Allocator</f>
        <v>1900663.2796666555</v>
      </c>
    </row>
    <row r="21" spans="1:26">
      <c r="A21" s="7" t="str">
        <f>'Total Rev Req'!A24</f>
        <v>Return on Rate Base</v>
      </c>
      <c r="B21" s="55" cm="1">
        <f t="array" ref="B21">'Total Rev Req'!B24*Allocator</f>
        <v>5102409.7108946936</v>
      </c>
      <c r="C21" s="55" cm="1">
        <f t="array" ref="C21">'Total Rev Req'!C24*Allocator</f>
        <v>4664911.5708527192</v>
      </c>
      <c r="D21" s="55" cm="1">
        <f t="array" ref="D21">'Total Rev Req'!D24*Allocator</f>
        <v>4236744.3584501147</v>
      </c>
      <c r="E21" s="55" cm="1">
        <f t="array" ref="E21">'Total Rev Req'!E24*Allocator</f>
        <v>3817185.0128735011</v>
      </c>
      <c r="F21" s="55" cm="1">
        <f t="array" ref="F21">'Total Rev Req'!F24*Allocator</f>
        <v>3405613.7677114042</v>
      </c>
      <c r="G21" s="55" cm="1">
        <f t="array" ref="G21">'Total Rev Req'!G24*Allocator</f>
        <v>3001410.8565523541</v>
      </c>
      <c r="H21" s="55" cm="1">
        <f t="array" ref="H21">'Total Rev Req'!H24*Allocator</f>
        <v>2604042.5916531389</v>
      </c>
      <c r="I21" s="55" cm="1">
        <f t="array" ref="I21">'Total Rev Req'!I24*Allocator</f>
        <v>2212975.2852705475</v>
      </c>
      <c r="J21" s="55" cm="1">
        <f t="array" ref="J21">'Total Rev Req'!J24*Allocator</f>
        <v>1822940.9229070756</v>
      </c>
      <c r="K21" s="55" cm="1">
        <f t="array" ref="K21">'Total Rev Req'!K24*Allocator</f>
        <v>1432923.776277255</v>
      </c>
      <c r="L21" s="55" cm="1">
        <f t="array" ref="L21">'Total Rev Req'!L24*Allocator</f>
        <v>1042889.4139137827</v>
      </c>
      <c r="M21" s="55" cm="1">
        <f t="array" ref="M21">'Total Rev Req'!M24*Allocator</f>
        <v>824782.74229892588</v>
      </c>
      <c r="N21" s="55" cm="1">
        <f t="array" ref="N21">'Total Rev Req'!N24*Allocator</f>
        <v>744628.91052423196</v>
      </c>
      <c r="O21" s="55" cm="1">
        <f t="array" ref="O21">'Total Rev Req'!O24*Allocator</f>
        <v>664742.85241295991</v>
      </c>
      <c r="P21" s="55" cm="1">
        <f t="array" ref="P21">'Total Rev Req'!P24*Allocator</f>
        <v>585070.72056966799</v>
      </c>
      <c r="Q21" s="55" cm="1">
        <f t="array" ref="Q21">'Total Rev Req'!Q24*Allocator</f>
        <v>505630.30423754296</v>
      </c>
      <c r="R21" s="55" cm="1">
        <f t="array" ref="R21">'Total Rev Req'!R24*Allocator</f>
        <v>426370.52972516313</v>
      </c>
      <c r="S21" s="55" cm="1">
        <f t="array" ref="S21">'Total Rev Req'!S24*Allocator</f>
        <v>347311.49769573135</v>
      </c>
      <c r="T21" s="55" cm="1">
        <f t="array" ref="T21">'Total Rev Req'!T24*Allocator</f>
        <v>268404.44587784249</v>
      </c>
      <c r="U21" s="55" cm="1">
        <f t="array" ref="U21">'Total Rev Req'!U24*Allocator</f>
        <v>189542.34683380145</v>
      </c>
      <c r="V21" s="55" cm="1">
        <f t="array" ref="V21">'Total Rev Req'!V24*Allocator</f>
        <v>149071.79611767479</v>
      </c>
      <c r="W21" s="55" cm="1">
        <f t="array" ref="W21">'Total Rev Req'!W24*Allocator</f>
        <v>147009.08489510784</v>
      </c>
      <c r="X21" s="55" cm="1">
        <f t="array" ref="X21">'Total Rev Req'!X24*Allocator</f>
        <v>144946.83595654418</v>
      </c>
      <c r="Y21" s="55" cm="1">
        <f t="array" ref="Y21">'Total Rev Req'!Y24*Allocator</f>
        <v>142884.12473397725</v>
      </c>
      <c r="Z21" s="55" cm="1">
        <f t="array" ref="Z21">'Total Rev Req'!Z24*Allocator</f>
        <v>140821.87579541357</v>
      </c>
    </row>
    <row r="22" spans="1:26">
      <c r="A22" s="7"/>
    </row>
    <row r="23" spans="1:26">
      <c r="A23" s="7" t="str">
        <f>'Total Rev Req'!A26</f>
        <v>Operating Income Deficiency</v>
      </c>
      <c r="B23" s="55">
        <f t="shared" ref="B23:U23" si="0">B21+B18</f>
        <v>8851565.554649625</v>
      </c>
      <c r="C23" s="55">
        <f t="shared" si="0"/>
        <v>8455080.4672587663</v>
      </c>
      <c r="D23" s="55">
        <f t="shared" si="0"/>
        <v>8067051.5841849819</v>
      </c>
      <c r="E23" s="55">
        <f t="shared" si="0"/>
        <v>7686823.6276029628</v>
      </c>
      <c r="F23" s="55">
        <f t="shared" si="0"/>
        <v>7313834.9308052994</v>
      </c>
      <c r="G23" s="55">
        <f t="shared" si="0"/>
        <v>6947523.827084586</v>
      </c>
      <c r="H23" s="55">
        <f t="shared" si="0"/>
        <v>6587406.6589983348</v>
      </c>
      <c r="I23" s="55">
        <f t="shared" si="0"/>
        <v>6232999.7691040542</v>
      </c>
      <c r="J23" s="55">
        <f t="shared" si="0"/>
        <v>5879528.9903887874</v>
      </c>
      <c r="K23" s="55">
        <f t="shared" si="0"/>
        <v>5526073.8135265019</v>
      </c>
      <c r="L23" s="55">
        <f t="shared" si="0"/>
        <v>5172603.0348112332</v>
      </c>
      <c r="M23" s="55">
        <f t="shared" si="0"/>
        <v>5131280.8702757545</v>
      </c>
      <c r="N23" s="55">
        <f t="shared" si="0"/>
        <v>670449.72417988779</v>
      </c>
      <c r="O23" s="55">
        <f t="shared" si="0"/>
        <v>598521.83517432422</v>
      </c>
      <c r="P23" s="55">
        <f t="shared" si="0"/>
        <v>526786.56131616444</v>
      </c>
      <c r="Q23" s="55">
        <f t="shared" si="0"/>
        <v>455259.91970200528</v>
      </c>
      <c r="R23" s="55">
        <f t="shared" si="0"/>
        <v>383895.9245504149</v>
      </c>
      <c r="S23" s="55">
        <f t="shared" si="0"/>
        <v>312712.67411665886</v>
      </c>
      <c r="T23" s="55">
        <f t="shared" si="0"/>
        <v>241666.26377797476</v>
      </c>
      <c r="U23" s="55">
        <f t="shared" si="0"/>
        <v>170660.32806282709</v>
      </c>
      <c r="V23" s="55">
        <f t="shared" ref="V23:Z23" si="1">V21+V18</f>
        <v>134221.41307907633</v>
      </c>
      <c r="W23" s="55">
        <f t="shared" si="1"/>
        <v>132364.1870827621</v>
      </c>
      <c r="X23" s="55">
        <f t="shared" si="1"/>
        <v>130507.37731818168</v>
      </c>
      <c r="Y23" s="55">
        <f t="shared" si="1"/>
        <v>128650.15132186745</v>
      </c>
      <c r="Z23" s="55">
        <f t="shared" si="1"/>
        <v>126793.341557287</v>
      </c>
    </row>
    <row r="24" spans="1:26">
      <c r="A24" s="7" t="str">
        <f>'Total Rev Req'!A27</f>
        <v>Gross Up Factor</v>
      </c>
      <c r="B24" s="106">
        <f t="shared" ref="B24:Z24" si="2">GRCF</f>
        <v>1.33849291</v>
      </c>
      <c r="C24" s="106">
        <f t="shared" si="2"/>
        <v>1.33849291</v>
      </c>
      <c r="D24" s="106">
        <f t="shared" si="2"/>
        <v>1.33849291</v>
      </c>
      <c r="E24" s="106">
        <f t="shared" si="2"/>
        <v>1.33849291</v>
      </c>
      <c r="F24" s="106">
        <f t="shared" si="2"/>
        <v>1.33849291</v>
      </c>
      <c r="G24" s="106">
        <f t="shared" si="2"/>
        <v>1.33849291</v>
      </c>
      <c r="H24" s="106">
        <f t="shared" si="2"/>
        <v>1.33849291</v>
      </c>
      <c r="I24" s="106">
        <f t="shared" si="2"/>
        <v>1.33849291</v>
      </c>
      <c r="J24" s="106">
        <f t="shared" si="2"/>
        <v>1.33849291</v>
      </c>
      <c r="K24" s="106">
        <f t="shared" si="2"/>
        <v>1.33849291</v>
      </c>
      <c r="L24" s="106">
        <f t="shared" si="2"/>
        <v>1.33849291</v>
      </c>
      <c r="M24" s="106">
        <f t="shared" si="2"/>
        <v>1.33849291</v>
      </c>
      <c r="N24" s="106">
        <f t="shared" si="2"/>
        <v>1.33849291</v>
      </c>
      <c r="O24" s="106">
        <f t="shared" si="2"/>
        <v>1.33849291</v>
      </c>
      <c r="P24" s="106">
        <f t="shared" si="2"/>
        <v>1.33849291</v>
      </c>
      <c r="Q24" s="106">
        <f t="shared" si="2"/>
        <v>1.33849291</v>
      </c>
      <c r="R24" s="106">
        <f t="shared" si="2"/>
        <v>1.33849291</v>
      </c>
      <c r="S24" s="106">
        <f t="shared" si="2"/>
        <v>1.33849291</v>
      </c>
      <c r="T24" s="106">
        <f t="shared" si="2"/>
        <v>1.33849291</v>
      </c>
      <c r="U24" s="106">
        <f t="shared" si="2"/>
        <v>1.33849291</v>
      </c>
      <c r="V24" s="106">
        <f t="shared" si="2"/>
        <v>1.33849291</v>
      </c>
      <c r="W24" s="106">
        <f t="shared" si="2"/>
        <v>1.33849291</v>
      </c>
      <c r="X24" s="106">
        <f t="shared" si="2"/>
        <v>1.33849291</v>
      </c>
      <c r="Y24" s="106">
        <f t="shared" si="2"/>
        <v>1.33849291</v>
      </c>
      <c r="Z24" s="106">
        <f t="shared" si="2"/>
        <v>1.33849291</v>
      </c>
    </row>
    <row r="25" spans="1:26" s="84" customFormat="1" ht="13">
      <c r="A25" s="111" t="str">
        <f>'Total Rev Req'!A28</f>
        <v>Revenue Requirement</v>
      </c>
      <c r="B25" s="112">
        <f t="shared" ref="B25:U25" si="3">B23*B24</f>
        <v>11847757.73729874</v>
      </c>
      <c r="C25" s="112">
        <f t="shared" si="3"/>
        <v>11317065.258905346</v>
      </c>
      <c r="D25" s="112">
        <f t="shared" si="3"/>
        <v>10797691.350035867</v>
      </c>
      <c r="E25" s="112">
        <f t="shared" si="3"/>
        <v>10288758.925967047</v>
      </c>
      <c r="F25" s="112">
        <f t="shared" si="3"/>
        <v>9789516.1997932345</v>
      </c>
      <c r="G25" s="112">
        <f>G23*G24</f>
        <v>9299211.3846087847</v>
      </c>
      <c r="H25" s="112">
        <f t="shared" si="3"/>
        <v>8817197.1083560586</v>
      </c>
      <c r="I25" s="112">
        <f t="shared" si="3"/>
        <v>8342825.9989774134</v>
      </c>
      <c r="J25" s="112">
        <f t="shared" si="3"/>
        <v>7869707.8677748507</v>
      </c>
      <c r="K25" s="112">
        <f t="shared" si="3"/>
        <v>7396610.6195418853</v>
      </c>
      <c r="L25" s="112">
        <f t="shared" si="3"/>
        <v>6923492.4883393189</v>
      </c>
      <c r="M25" s="112">
        <f t="shared" si="3"/>
        <v>6868183.0640827268</v>
      </c>
      <c r="N25" s="112">
        <f t="shared" si="3"/>
        <v>897392.20232623536</v>
      </c>
      <c r="O25" s="112">
        <f t="shared" si="3"/>
        <v>801117.23286102165</v>
      </c>
      <c r="P25" s="112">
        <f t="shared" si="3"/>
        <v>705100.07740496635</v>
      </c>
      <c r="Q25" s="112">
        <f t="shared" si="3"/>
        <v>609362.17472830345</v>
      </c>
      <c r="R25" s="112">
        <f t="shared" si="3"/>
        <v>513841.9731886253</v>
      </c>
      <c r="S25" s="112">
        <f t="shared" si="3"/>
        <v>418563.69717228843</v>
      </c>
      <c r="T25" s="112">
        <f t="shared" si="3"/>
        <v>323468.58065300906</v>
      </c>
      <c r="U25" s="112">
        <f t="shared" si="3"/>
        <v>228427.6391303681</v>
      </c>
      <c r="V25" s="112">
        <f t="shared" ref="V25:Z25" si="4">V23*V24</f>
        <v>179654.40977652493</v>
      </c>
      <c r="W25" s="112">
        <f t="shared" si="4"/>
        <v>177168.52594819065</v>
      </c>
      <c r="X25" s="112">
        <f t="shared" si="4"/>
        <v>174683.19924308101</v>
      </c>
      <c r="Y25" s="112">
        <f t="shared" si="4"/>
        <v>172197.31541474673</v>
      </c>
      <c r="Z25" s="112">
        <f t="shared" si="4"/>
        <v>169711.98870963702</v>
      </c>
    </row>
    <row r="26" spans="1:26" s="84" customFormat="1" ht="13">
      <c r="A26" s="111"/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190"/>
      <c r="W26" s="190"/>
      <c r="X26" s="190"/>
      <c r="Y26" s="190"/>
      <c r="Z26" s="190"/>
    </row>
    <row r="27" spans="1:26" s="84" customFormat="1" ht="13">
      <c r="A27" s="111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</row>
    <row r="28" spans="1:26" s="39" customFormat="1">
      <c r="A28" s="97"/>
    </row>
    <row r="29" spans="1:26" s="39" customFormat="1">
      <c r="A29" s="97" t="str">
        <f>'Total Rev Req'!A32</f>
        <v>Net Revenue Requirement</v>
      </c>
      <c r="B29" s="39">
        <f>B25</f>
        <v>11847757.73729874</v>
      </c>
      <c r="C29" s="39">
        <f t="shared" ref="C29:Z29" si="5">C25</f>
        <v>11317065.258905346</v>
      </c>
      <c r="D29" s="39">
        <f t="shared" si="5"/>
        <v>10797691.350035867</v>
      </c>
      <c r="E29" s="39">
        <f t="shared" si="5"/>
        <v>10288758.925967047</v>
      </c>
      <c r="F29" s="39">
        <f t="shared" si="5"/>
        <v>9789516.1997932345</v>
      </c>
      <c r="G29" s="39">
        <f t="shared" si="5"/>
        <v>9299211.3846087847</v>
      </c>
      <c r="H29" s="39">
        <f t="shared" si="5"/>
        <v>8817197.1083560586</v>
      </c>
      <c r="I29" s="39">
        <f t="shared" si="5"/>
        <v>8342825.9989774134</v>
      </c>
      <c r="J29" s="39">
        <f t="shared" si="5"/>
        <v>7869707.8677748507</v>
      </c>
      <c r="K29" s="39">
        <f t="shared" si="5"/>
        <v>7396610.6195418853</v>
      </c>
      <c r="L29" s="39">
        <f t="shared" si="5"/>
        <v>6923492.4883393189</v>
      </c>
      <c r="M29" s="39">
        <f t="shared" si="5"/>
        <v>6868183.0640827268</v>
      </c>
      <c r="N29" s="39">
        <f t="shared" si="5"/>
        <v>897392.20232623536</v>
      </c>
      <c r="O29" s="39">
        <f t="shared" si="5"/>
        <v>801117.23286102165</v>
      </c>
      <c r="P29" s="39">
        <f t="shared" si="5"/>
        <v>705100.07740496635</v>
      </c>
      <c r="Q29" s="39">
        <f t="shared" si="5"/>
        <v>609362.17472830345</v>
      </c>
      <c r="R29" s="39">
        <f t="shared" si="5"/>
        <v>513841.9731886253</v>
      </c>
      <c r="S29" s="39">
        <f t="shared" si="5"/>
        <v>418563.69717228843</v>
      </c>
      <c r="T29" s="39">
        <f t="shared" si="5"/>
        <v>323468.58065300906</v>
      </c>
      <c r="U29" s="39">
        <f t="shared" si="5"/>
        <v>228427.6391303681</v>
      </c>
      <c r="V29" s="39">
        <f t="shared" si="5"/>
        <v>179654.40977652493</v>
      </c>
      <c r="W29" s="39">
        <f t="shared" si="5"/>
        <v>177168.52594819065</v>
      </c>
      <c r="X29" s="39">
        <f t="shared" si="5"/>
        <v>174683.19924308101</v>
      </c>
      <c r="Y29" s="39">
        <f t="shared" si="5"/>
        <v>172197.31541474673</v>
      </c>
      <c r="Z29" s="39">
        <f t="shared" si="5"/>
        <v>169711.98870963702</v>
      </c>
    </row>
    <row r="30" spans="1:26" s="39" customFormat="1">
      <c r="A30" s="97" t="s">
        <v>268</v>
      </c>
      <c r="B30" s="39">
        <f>B29-B6</f>
        <v>11807814.948737588</v>
      </c>
    </row>
    <row r="31" spans="1:26" s="39" customFormat="1">
      <c r="A31" s="97"/>
    </row>
    <row r="32" spans="1:26" s="39" customFormat="1">
      <c r="A32" s="97" t="str">
        <f>'Total Rev Req'!A34</f>
        <v>Total Present Value Rev Requirement 10 Yr</v>
      </c>
      <c r="B32" s="39">
        <f>NPV(WACC,B29:K29)</f>
        <v>67999478.441579387</v>
      </c>
    </row>
    <row r="33" spans="1:26" s="39" customFormat="1">
      <c r="A33" s="97" t="str">
        <f>'Total Rev Req'!A35</f>
        <v>Avg Revenue Rrequirement 10 Yr</v>
      </c>
      <c r="B33" s="39">
        <f>AVERAGE(B29:K29)</f>
        <v>9576634.2451259214</v>
      </c>
    </row>
    <row r="34" spans="1:26" s="39" customFormat="1" ht="13">
      <c r="A34" s="111"/>
    </row>
    <row r="35" spans="1:26" s="39" customFormat="1" ht="13">
      <c r="A35" s="111"/>
    </row>
    <row r="36" spans="1:26" ht="13">
      <c r="A36" s="84" t="s">
        <v>112</v>
      </c>
    </row>
    <row r="37" spans="1:26">
      <c r="A37" s="107" t="s">
        <v>66</v>
      </c>
      <c r="B37" s="100">
        <f t="shared" ref="B37:Z37" si="6">B25</f>
        <v>11847757.73729874</v>
      </c>
      <c r="C37" s="100">
        <f t="shared" si="6"/>
        <v>11317065.258905346</v>
      </c>
      <c r="D37" s="100">
        <f t="shared" si="6"/>
        <v>10797691.350035867</v>
      </c>
      <c r="E37" s="100">
        <f t="shared" si="6"/>
        <v>10288758.925967047</v>
      </c>
      <c r="F37" s="100">
        <f t="shared" si="6"/>
        <v>9789516.1997932345</v>
      </c>
      <c r="G37" s="100">
        <f t="shared" si="6"/>
        <v>9299211.3846087847</v>
      </c>
      <c r="H37" s="100">
        <f t="shared" si="6"/>
        <v>8817197.1083560586</v>
      </c>
      <c r="I37" s="100">
        <f t="shared" si="6"/>
        <v>8342825.9989774134</v>
      </c>
      <c r="J37" s="100">
        <f t="shared" si="6"/>
        <v>7869707.8677748507</v>
      </c>
      <c r="K37" s="100">
        <f t="shared" si="6"/>
        <v>7396610.6195418853</v>
      </c>
      <c r="L37" s="100">
        <f t="shared" si="6"/>
        <v>6923492.4883393189</v>
      </c>
      <c r="M37" s="100">
        <f t="shared" si="6"/>
        <v>6868183.0640827268</v>
      </c>
      <c r="N37" s="100">
        <f t="shared" si="6"/>
        <v>897392.20232623536</v>
      </c>
      <c r="O37" s="100">
        <f t="shared" si="6"/>
        <v>801117.23286102165</v>
      </c>
      <c r="P37" s="100">
        <f t="shared" si="6"/>
        <v>705100.07740496635</v>
      </c>
      <c r="Q37" s="100">
        <f t="shared" si="6"/>
        <v>609362.17472830345</v>
      </c>
      <c r="R37" s="100">
        <f t="shared" si="6"/>
        <v>513841.9731886253</v>
      </c>
      <c r="S37" s="100">
        <f t="shared" si="6"/>
        <v>418563.69717228843</v>
      </c>
      <c r="T37" s="100">
        <f t="shared" si="6"/>
        <v>323468.58065300906</v>
      </c>
      <c r="U37" s="100">
        <f t="shared" si="6"/>
        <v>228427.6391303681</v>
      </c>
      <c r="V37" s="100">
        <f t="shared" si="6"/>
        <v>179654.40977652493</v>
      </c>
      <c r="W37" s="100">
        <f t="shared" si="6"/>
        <v>177168.52594819065</v>
      </c>
      <c r="X37" s="100">
        <f t="shared" si="6"/>
        <v>174683.19924308101</v>
      </c>
      <c r="Y37" s="100">
        <f t="shared" si="6"/>
        <v>172197.31541474673</v>
      </c>
      <c r="Z37" s="100">
        <f t="shared" si="6"/>
        <v>169711.98870963702</v>
      </c>
    </row>
    <row r="38" spans="1:26">
      <c r="A38" s="1" t="s">
        <v>104</v>
      </c>
      <c r="B38" s="3">
        <f t="shared" ref="B38:Z38" si="7">B12+B13</f>
        <v>5673401.1218944853</v>
      </c>
      <c r="C38" s="3">
        <f t="shared" si="7"/>
        <v>5669976.2899633525</v>
      </c>
      <c r="D38" s="3">
        <f t="shared" si="7"/>
        <v>5666624.502591731</v>
      </c>
      <c r="E38" s="3">
        <f t="shared" si="7"/>
        <v>5663340.099500102</v>
      </c>
      <c r="F38" s="3">
        <f t="shared" si="7"/>
        <v>5660118.229020305</v>
      </c>
      <c r="G38" s="3">
        <f t="shared" si="7"/>
        <v>5656954.0394841814</v>
      </c>
      <c r="H38" s="3">
        <f t="shared" si="7"/>
        <v>5653843.3530663718</v>
      </c>
      <c r="I38" s="3">
        <f t="shared" si="7"/>
        <v>5650781.9919415163</v>
      </c>
      <c r="J38" s="3">
        <f t="shared" si="7"/>
        <v>5647728.716930259</v>
      </c>
      <c r="K38" s="3">
        <f t="shared" si="7"/>
        <v>5644675.5766875623</v>
      </c>
      <c r="L38" s="3">
        <f t="shared" si="7"/>
        <v>5641622.3016763059</v>
      </c>
      <c r="M38" s="3">
        <f t="shared" si="7"/>
        <v>5848248.2478804775</v>
      </c>
      <c r="N38" s="3">
        <f t="shared" si="7"/>
        <v>0</v>
      </c>
      <c r="O38" s="3">
        <f t="shared" si="7"/>
        <v>0</v>
      </c>
      <c r="P38" s="3">
        <f t="shared" si="7"/>
        <v>0</v>
      </c>
      <c r="Q38" s="3">
        <f t="shared" si="7"/>
        <v>0</v>
      </c>
      <c r="R38" s="3">
        <f t="shared" si="7"/>
        <v>0</v>
      </c>
      <c r="S38" s="3">
        <f t="shared" si="7"/>
        <v>0</v>
      </c>
      <c r="T38" s="3">
        <f t="shared" si="7"/>
        <v>0</v>
      </c>
      <c r="U38" s="3">
        <f t="shared" si="7"/>
        <v>0</v>
      </c>
      <c r="V38" s="3">
        <f t="shared" si="7"/>
        <v>0</v>
      </c>
      <c r="W38" s="3">
        <f t="shared" si="7"/>
        <v>0</v>
      </c>
      <c r="X38" s="3">
        <f t="shared" si="7"/>
        <v>0</v>
      </c>
      <c r="Y38" s="3">
        <f t="shared" si="7"/>
        <v>0</v>
      </c>
      <c r="Z38" s="3">
        <f t="shared" si="7"/>
        <v>0</v>
      </c>
    </row>
    <row r="39" spans="1:26">
      <c r="A39" s="1" t="s">
        <v>67</v>
      </c>
      <c r="B39" s="38">
        <f t="shared" ref="B39:Z39" si="8">(B25-B23)+B14+B16+B15+B17</f>
        <v>1071946.9045095602</v>
      </c>
      <c r="C39" s="38">
        <f t="shared" si="8"/>
        <v>982177.39808927523</v>
      </c>
      <c r="D39" s="38">
        <f t="shared" si="8"/>
        <v>894322.48899402074</v>
      </c>
      <c r="E39" s="38">
        <f t="shared" si="8"/>
        <v>808233.81359344395</v>
      </c>
      <c r="F39" s="38">
        <f t="shared" si="8"/>
        <v>723784.20306152501</v>
      </c>
      <c r="G39" s="38">
        <f t="shared" si="8"/>
        <v>640846.48857225012</v>
      </c>
      <c r="H39" s="38">
        <f t="shared" si="8"/>
        <v>559311.16363654821</v>
      </c>
      <c r="I39" s="38">
        <f t="shared" si="8"/>
        <v>479068.72176535043</v>
      </c>
      <c r="J39" s="38">
        <f t="shared" si="8"/>
        <v>399038.22793751518</v>
      </c>
      <c r="K39" s="38">
        <f t="shared" si="8"/>
        <v>319011.26657706773</v>
      </c>
      <c r="L39" s="38">
        <f t="shared" si="8"/>
        <v>238980.77274922997</v>
      </c>
      <c r="M39" s="38">
        <f t="shared" si="8"/>
        <v>195152.07390332274</v>
      </c>
      <c r="N39" s="38">
        <f t="shared" si="8"/>
        <v>152763.29180200351</v>
      </c>
      <c r="O39" s="38">
        <f t="shared" si="8"/>
        <v>136374.38044806174</v>
      </c>
      <c r="P39" s="38">
        <f t="shared" si="8"/>
        <v>120029.35683529847</v>
      </c>
      <c r="Q39" s="38">
        <f t="shared" si="8"/>
        <v>103731.87049076043</v>
      </c>
      <c r="R39" s="38">
        <f t="shared" si="8"/>
        <v>87471.443463462172</v>
      </c>
      <c r="S39" s="38">
        <f t="shared" si="8"/>
        <v>71252.199476557085</v>
      </c>
      <c r="T39" s="38">
        <f t="shared" si="8"/>
        <v>55064.134775166633</v>
      </c>
      <c r="U39" s="38">
        <f t="shared" si="8"/>
        <v>38885.292296566535</v>
      </c>
      <c r="V39" s="38">
        <f t="shared" si="8"/>
        <v>30582.613658850198</v>
      </c>
      <c r="W39" s="38">
        <f t="shared" si="8"/>
        <v>30159.441053082825</v>
      </c>
      <c r="X39" s="38">
        <f t="shared" si="8"/>
        <v>29736.363286536831</v>
      </c>
      <c r="Y39" s="38">
        <f t="shared" si="8"/>
        <v>29313.190680769476</v>
      </c>
      <c r="Z39" s="38">
        <f t="shared" si="8"/>
        <v>28890.11291422346</v>
      </c>
    </row>
    <row r="40" spans="1:26">
      <c r="A40" s="45" t="s">
        <v>7</v>
      </c>
      <c r="B40" s="46">
        <f>B38+B39</f>
        <v>6745348.0264040455</v>
      </c>
      <c r="C40" s="46">
        <f t="shared" ref="C40:U40" si="9">C38+C39</f>
        <v>6652153.6880526282</v>
      </c>
      <c r="D40" s="46">
        <f t="shared" si="9"/>
        <v>6560946.991585752</v>
      </c>
      <c r="E40" s="46">
        <f t="shared" si="9"/>
        <v>6471573.9130935464</v>
      </c>
      <c r="F40" s="46">
        <f t="shared" si="9"/>
        <v>6383902.4320818298</v>
      </c>
      <c r="G40" s="46">
        <f t="shared" si="9"/>
        <v>6297800.5280564316</v>
      </c>
      <c r="H40" s="46">
        <f t="shared" si="9"/>
        <v>6213154.5167029202</v>
      </c>
      <c r="I40" s="46">
        <f t="shared" si="9"/>
        <v>6129850.7137068668</v>
      </c>
      <c r="J40" s="46">
        <f t="shared" si="9"/>
        <v>6046766.9448677739</v>
      </c>
      <c r="K40" s="46">
        <f t="shared" si="9"/>
        <v>5963686.8432646301</v>
      </c>
      <c r="L40" s="46">
        <f t="shared" si="9"/>
        <v>5880603.0744255362</v>
      </c>
      <c r="M40" s="46">
        <f t="shared" si="9"/>
        <v>6043400.3217838006</v>
      </c>
      <c r="N40" s="46">
        <f t="shared" si="9"/>
        <v>152763.29180200351</v>
      </c>
      <c r="O40" s="46">
        <f t="shared" si="9"/>
        <v>136374.38044806174</v>
      </c>
      <c r="P40" s="46">
        <f t="shared" si="9"/>
        <v>120029.35683529847</v>
      </c>
      <c r="Q40" s="46">
        <f t="shared" si="9"/>
        <v>103731.87049076043</v>
      </c>
      <c r="R40" s="46">
        <f t="shared" si="9"/>
        <v>87471.443463462172</v>
      </c>
      <c r="S40" s="46">
        <f t="shared" si="9"/>
        <v>71252.199476557085</v>
      </c>
      <c r="T40" s="46">
        <f t="shared" si="9"/>
        <v>55064.134775166633</v>
      </c>
      <c r="U40" s="46">
        <f t="shared" si="9"/>
        <v>38885.292296566535</v>
      </c>
      <c r="V40" s="46">
        <f t="shared" ref="V40:Z40" si="10">V38+V39</f>
        <v>30582.613658850198</v>
      </c>
      <c r="W40" s="46">
        <f t="shared" si="10"/>
        <v>30159.441053082825</v>
      </c>
      <c r="X40" s="46">
        <f t="shared" si="10"/>
        <v>29736.363286536831</v>
      </c>
      <c r="Y40" s="46">
        <f t="shared" si="10"/>
        <v>29313.190680769476</v>
      </c>
      <c r="Z40" s="46">
        <f t="shared" si="10"/>
        <v>28890.11291422346</v>
      </c>
    </row>
    <row r="41" spans="1:26">
      <c r="A41" s="4" t="s">
        <v>103</v>
      </c>
      <c r="B41" s="39">
        <f>B37-B40</f>
        <v>5102409.7108946946</v>
      </c>
      <c r="C41" s="39">
        <f t="shared" ref="C41:Z41" si="11">C37-C40</f>
        <v>4664911.5708527174</v>
      </c>
      <c r="D41" s="39">
        <f t="shared" si="11"/>
        <v>4236744.3584501147</v>
      </c>
      <c r="E41" s="39">
        <f t="shared" si="11"/>
        <v>3817185.0128735006</v>
      </c>
      <c r="F41" s="39">
        <f t="shared" si="11"/>
        <v>3405613.7677114047</v>
      </c>
      <c r="G41" s="39">
        <f t="shared" si="11"/>
        <v>3001410.8565523531</v>
      </c>
      <c r="H41" s="39">
        <f t="shared" si="11"/>
        <v>2604042.5916531384</v>
      </c>
      <c r="I41" s="39">
        <f t="shared" si="11"/>
        <v>2212975.2852705466</v>
      </c>
      <c r="J41" s="39">
        <f t="shared" si="11"/>
        <v>1822940.9229070768</v>
      </c>
      <c r="K41" s="39">
        <f t="shared" si="11"/>
        <v>1432923.7762772553</v>
      </c>
      <c r="L41" s="39">
        <f t="shared" si="11"/>
        <v>1042889.4139137827</v>
      </c>
      <c r="M41" s="39">
        <f t="shared" si="11"/>
        <v>824782.74229892623</v>
      </c>
      <c r="N41" s="39">
        <f t="shared" si="11"/>
        <v>744628.91052423185</v>
      </c>
      <c r="O41" s="39">
        <f t="shared" si="11"/>
        <v>664742.85241295991</v>
      </c>
      <c r="P41" s="39">
        <f t="shared" si="11"/>
        <v>585070.72056966787</v>
      </c>
      <c r="Q41" s="39">
        <f t="shared" si="11"/>
        <v>505630.30423754302</v>
      </c>
      <c r="R41" s="39">
        <f t="shared" si="11"/>
        <v>426370.52972516313</v>
      </c>
      <c r="S41" s="39">
        <f t="shared" si="11"/>
        <v>347311.49769573135</v>
      </c>
      <c r="T41" s="39">
        <f t="shared" si="11"/>
        <v>268404.44587784243</v>
      </c>
      <c r="U41" s="39">
        <f t="shared" si="11"/>
        <v>189542.34683380157</v>
      </c>
      <c r="V41" s="39">
        <f t="shared" si="11"/>
        <v>149071.79611767473</v>
      </c>
      <c r="W41" s="39">
        <f t="shared" si="11"/>
        <v>147009.08489510784</v>
      </c>
      <c r="X41" s="39">
        <f t="shared" si="11"/>
        <v>144946.83595654418</v>
      </c>
      <c r="Y41" s="39">
        <f t="shared" si="11"/>
        <v>142884.12473397725</v>
      </c>
      <c r="Z41" s="39">
        <f t="shared" si="11"/>
        <v>140821.87579541357</v>
      </c>
    </row>
    <row r="42" spans="1:26">
      <c r="A42" s="42" t="s">
        <v>47</v>
      </c>
      <c r="B42" s="44">
        <f t="shared" ref="B42:Z42" si="12">B20*WACD</f>
        <v>2036636.7856594198</v>
      </c>
      <c r="C42" s="44">
        <f t="shared" si="12"/>
        <v>1862008.5499525655</v>
      </c>
      <c r="D42" s="44">
        <f t="shared" si="12"/>
        <v>1691104.7722080129</v>
      </c>
      <c r="E42" s="44">
        <f t="shared" si="12"/>
        <v>1523636.8412921531</v>
      </c>
      <c r="F42" s="44">
        <f t="shared" si="12"/>
        <v>1359357.3762333195</v>
      </c>
      <c r="G42" s="44">
        <f t="shared" si="12"/>
        <v>1198018.9960598466</v>
      </c>
      <c r="H42" s="44">
        <f t="shared" si="12"/>
        <v>1039408.6782683553</v>
      </c>
      <c r="I42" s="44">
        <f t="shared" si="12"/>
        <v>883313.40035546676</v>
      </c>
      <c r="J42" s="44">
        <f t="shared" si="12"/>
        <v>727630.42406202166</v>
      </c>
      <c r="K42" s="44">
        <f t="shared" si="12"/>
        <v>571954.31946223357</v>
      </c>
      <c r="L42" s="44">
        <f t="shared" si="12"/>
        <v>416271.34316878824</v>
      </c>
      <c r="M42" s="44">
        <f t="shared" si="12"/>
        <v>329213.6398918269</v>
      </c>
      <c r="N42" s="44">
        <f t="shared" si="12"/>
        <v>297220.08164123434</v>
      </c>
      <c r="O42" s="44">
        <f t="shared" si="12"/>
        <v>265333.40577054775</v>
      </c>
      <c r="P42" s="44">
        <f t="shared" si="12"/>
        <v>233532.11898687563</v>
      </c>
      <c r="Q42" s="44">
        <f t="shared" si="12"/>
        <v>201823.32190132455</v>
      </c>
      <c r="R42" s="44">
        <f t="shared" si="12"/>
        <v>170186.62835037123</v>
      </c>
      <c r="S42" s="44">
        <f t="shared" si="12"/>
        <v>138630.06155292885</v>
      </c>
      <c r="T42" s="44">
        <f t="shared" si="12"/>
        <v>107134.157953281</v>
      </c>
      <c r="U42" s="44">
        <f t="shared" si="12"/>
        <v>75656.197340971121</v>
      </c>
      <c r="V42" s="44">
        <f t="shared" si="12"/>
        <v>59502.298106190552</v>
      </c>
      <c r="W42" s="44">
        <f t="shared" si="12"/>
        <v>58678.962899473932</v>
      </c>
      <c r="X42" s="44">
        <f t="shared" si="12"/>
        <v>57855.81221431867</v>
      </c>
      <c r="Y42" s="44">
        <f t="shared" si="12"/>
        <v>57032.477007602058</v>
      </c>
      <c r="Z42" s="44">
        <f t="shared" si="12"/>
        <v>56209.326322446781</v>
      </c>
    </row>
    <row r="43" spans="1:26">
      <c r="A43" s="4" t="s">
        <v>69</v>
      </c>
      <c r="B43" s="39">
        <f>B41-B42</f>
        <v>3065772.9252352747</v>
      </c>
      <c r="C43" s="39">
        <f>C41-C42</f>
        <v>2802903.0209001517</v>
      </c>
      <c r="D43" s="39">
        <f t="shared" ref="D43:U43" si="13">D41-D42</f>
        <v>2545639.5862421021</v>
      </c>
      <c r="E43" s="39">
        <f t="shared" si="13"/>
        <v>2293548.1715813475</v>
      </c>
      <c r="F43" s="39">
        <f t="shared" si="13"/>
        <v>2046256.3914780852</v>
      </c>
      <c r="G43" s="39">
        <f t="shared" si="13"/>
        <v>1803391.8604925065</v>
      </c>
      <c r="H43" s="39">
        <f t="shared" si="13"/>
        <v>1564633.9133847831</v>
      </c>
      <c r="I43" s="39">
        <f t="shared" si="13"/>
        <v>1329661.8849150799</v>
      </c>
      <c r="J43" s="39">
        <f t="shared" si="13"/>
        <v>1095310.4988450552</v>
      </c>
      <c r="K43" s="39">
        <f t="shared" si="13"/>
        <v>860969.45681502169</v>
      </c>
      <c r="L43" s="39">
        <f t="shared" si="13"/>
        <v>626618.07074499445</v>
      </c>
      <c r="M43" s="39">
        <f t="shared" si="13"/>
        <v>495569.10240709933</v>
      </c>
      <c r="N43" s="39">
        <f t="shared" si="13"/>
        <v>447408.82888299751</v>
      </c>
      <c r="O43" s="39">
        <f t="shared" si="13"/>
        <v>399409.44664241216</v>
      </c>
      <c r="P43" s="39">
        <f t="shared" si="13"/>
        <v>351538.60158279224</v>
      </c>
      <c r="Q43" s="39">
        <f t="shared" si="13"/>
        <v>303806.98233621847</v>
      </c>
      <c r="R43" s="39">
        <f t="shared" si="13"/>
        <v>256183.90137479189</v>
      </c>
      <c r="S43" s="39">
        <f t="shared" si="13"/>
        <v>208681.4361428025</v>
      </c>
      <c r="T43" s="39">
        <f t="shared" si="13"/>
        <v>161270.28792456142</v>
      </c>
      <c r="U43" s="39">
        <f t="shared" si="13"/>
        <v>113886.14949283045</v>
      </c>
      <c r="V43" s="39">
        <f t="shared" ref="V43:Z43" si="14">V41-V42</f>
        <v>89569.498011484189</v>
      </c>
      <c r="W43" s="39">
        <f t="shared" si="14"/>
        <v>88330.121995633905</v>
      </c>
      <c r="X43" s="39">
        <f t="shared" si="14"/>
        <v>87091.023742225516</v>
      </c>
      <c r="Y43" s="39">
        <f t="shared" si="14"/>
        <v>85851.647726375202</v>
      </c>
      <c r="Z43" s="39">
        <f t="shared" si="14"/>
        <v>84612.549472966784</v>
      </c>
    </row>
    <row r="44" spans="1:26">
      <c r="A44" s="42" t="s">
        <v>68</v>
      </c>
      <c r="B44" s="43">
        <f t="shared" ref="B44:Z44" si="15">B20*EquityWeighting</f>
        <v>31769667.619018372</v>
      </c>
      <c r="C44" s="43">
        <f t="shared" si="15"/>
        <v>29045627.159587078</v>
      </c>
      <c r="D44" s="43">
        <f t="shared" si="15"/>
        <v>26379684.831524368</v>
      </c>
      <c r="E44" s="43">
        <f t="shared" si="15"/>
        <v>23767338.565609816</v>
      </c>
      <c r="F44" s="43">
        <f t="shared" si="15"/>
        <v>21204729.445368748</v>
      </c>
      <c r="G44" s="43">
        <f t="shared" si="15"/>
        <v>18687998.554326497</v>
      </c>
      <c r="H44" s="43">
        <f t="shared" si="15"/>
        <v>16213822.936629878</v>
      </c>
      <c r="I44" s="43">
        <f t="shared" si="15"/>
        <v>13778879.636425706</v>
      </c>
      <c r="J44" s="43">
        <f t="shared" si="15"/>
        <v>11350367.863679314</v>
      </c>
      <c r="K44" s="43">
        <f t="shared" si="15"/>
        <v>8921963.2830572147</v>
      </c>
      <c r="L44" s="43">
        <f t="shared" si="15"/>
        <v>6493451.5103108212</v>
      </c>
      <c r="M44" s="43">
        <f t="shared" si="15"/>
        <v>5135431.1130269319</v>
      </c>
      <c r="N44" s="43">
        <f t="shared" si="15"/>
        <v>4636360.9210673319</v>
      </c>
      <c r="O44" s="43">
        <f t="shared" si="15"/>
        <v>4138957.9962944258</v>
      </c>
      <c r="P44" s="43">
        <f t="shared" si="15"/>
        <v>3642887.0630341172</v>
      </c>
      <c r="Q44" s="43">
        <f t="shared" si="15"/>
        <v>3148258.8843131433</v>
      </c>
      <c r="R44" s="43">
        <f t="shared" si="15"/>
        <v>2654755.454661055</v>
      </c>
      <c r="S44" s="43">
        <f t="shared" si="15"/>
        <v>2162501.9289409579</v>
      </c>
      <c r="T44" s="43">
        <f t="shared" si="15"/>
        <v>1671194.6935187718</v>
      </c>
      <c r="U44" s="43">
        <f t="shared" si="15"/>
        <v>1180167.352257309</v>
      </c>
      <c r="V44" s="43">
        <f t="shared" si="15"/>
        <v>928181.32654387807</v>
      </c>
      <c r="W44" s="43">
        <f t="shared" si="15"/>
        <v>915338.0517682269</v>
      </c>
      <c r="X44" s="43">
        <f t="shared" si="15"/>
        <v>902497.6553598498</v>
      </c>
      <c r="Y44" s="43">
        <f t="shared" si="15"/>
        <v>889654.38058419875</v>
      </c>
      <c r="Z44" s="43">
        <f t="shared" si="15"/>
        <v>876813.98417582153</v>
      </c>
    </row>
    <row r="45" spans="1:26">
      <c r="A45" s="4" t="s">
        <v>102</v>
      </c>
      <c r="B45" s="182">
        <f>ROUND(B43/B44,4)</f>
        <v>9.6500000000000002E-2</v>
      </c>
      <c r="C45" s="182">
        <f t="shared" ref="C45:Z45" si="16">ROUND(C43/C44,4)</f>
        <v>9.6500000000000002E-2</v>
      </c>
      <c r="D45" s="182">
        <f t="shared" si="16"/>
        <v>9.6500000000000002E-2</v>
      </c>
      <c r="E45" s="182">
        <f t="shared" si="16"/>
        <v>9.6500000000000002E-2</v>
      </c>
      <c r="F45" s="182">
        <f t="shared" si="16"/>
        <v>9.6500000000000002E-2</v>
      </c>
      <c r="G45" s="182">
        <f t="shared" si="16"/>
        <v>9.6500000000000002E-2</v>
      </c>
      <c r="H45" s="182">
        <f t="shared" si="16"/>
        <v>9.6500000000000002E-2</v>
      </c>
      <c r="I45" s="182">
        <f t="shared" si="16"/>
        <v>9.6500000000000002E-2</v>
      </c>
      <c r="J45" s="182">
        <f t="shared" si="16"/>
        <v>9.6500000000000002E-2</v>
      </c>
      <c r="K45" s="182">
        <f t="shared" si="16"/>
        <v>9.6500000000000002E-2</v>
      </c>
      <c r="L45" s="182">
        <f t="shared" si="16"/>
        <v>9.6500000000000002E-2</v>
      </c>
      <c r="M45" s="182">
        <f t="shared" si="16"/>
        <v>9.6500000000000002E-2</v>
      </c>
      <c r="N45" s="182">
        <f t="shared" si="16"/>
        <v>9.6500000000000002E-2</v>
      </c>
      <c r="O45" s="182">
        <f t="shared" si="16"/>
        <v>9.6500000000000002E-2</v>
      </c>
      <c r="P45" s="182">
        <f t="shared" si="16"/>
        <v>9.6500000000000002E-2</v>
      </c>
      <c r="Q45" s="182">
        <f t="shared" si="16"/>
        <v>9.6500000000000002E-2</v>
      </c>
      <c r="R45" s="182">
        <f t="shared" si="16"/>
        <v>9.6500000000000002E-2</v>
      </c>
      <c r="S45" s="182">
        <f t="shared" si="16"/>
        <v>9.6500000000000002E-2</v>
      </c>
      <c r="T45" s="182">
        <f t="shared" si="16"/>
        <v>9.6500000000000002E-2</v>
      </c>
      <c r="U45" s="182">
        <f t="shared" si="16"/>
        <v>9.6500000000000002E-2</v>
      </c>
      <c r="V45" s="182">
        <f t="shared" si="16"/>
        <v>9.6500000000000002E-2</v>
      </c>
      <c r="W45" s="182">
        <f t="shared" si="16"/>
        <v>9.6500000000000002E-2</v>
      </c>
      <c r="X45" s="182">
        <f t="shared" si="16"/>
        <v>9.6500000000000002E-2</v>
      </c>
      <c r="Y45" s="182">
        <f t="shared" si="16"/>
        <v>9.6500000000000002E-2</v>
      </c>
      <c r="Z45" s="182">
        <f t="shared" si="16"/>
        <v>9.6500000000000002E-2</v>
      </c>
    </row>
    <row r="46" spans="1:26">
      <c r="B46" s="1" t="b">
        <f t="shared" ref="B46:U46" si="17">B45=ROE</f>
        <v>1</v>
      </c>
      <c r="C46" s="1" t="b">
        <f t="shared" si="17"/>
        <v>1</v>
      </c>
      <c r="D46" s="1" t="b">
        <f t="shared" si="17"/>
        <v>1</v>
      </c>
      <c r="E46" s="1" t="b">
        <f t="shared" si="17"/>
        <v>1</v>
      </c>
      <c r="F46" s="1" t="b">
        <f t="shared" si="17"/>
        <v>1</v>
      </c>
      <c r="G46" s="1" t="b">
        <f t="shared" si="17"/>
        <v>1</v>
      </c>
      <c r="H46" s="1" t="b">
        <f t="shared" si="17"/>
        <v>1</v>
      </c>
      <c r="I46" s="1" t="b">
        <f t="shared" si="17"/>
        <v>1</v>
      </c>
      <c r="J46" s="1" t="b">
        <f t="shared" si="17"/>
        <v>1</v>
      </c>
      <c r="K46" s="1" t="b">
        <f t="shared" si="17"/>
        <v>1</v>
      </c>
      <c r="L46" s="1" t="b">
        <f t="shared" si="17"/>
        <v>1</v>
      </c>
      <c r="M46" s="1" t="b">
        <f t="shared" si="17"/>
        <v>1</v>
      </c>
      <c r="N46" s="1" t="b">
        <f t="shared" si="17"/>
        <v>1</v>
      </c>
      <c r="O46" s="1" t="b">
        <f t="shared" si="17"/>
        <v>1</v>
      </c>
      <c r="P46" s="1" t="b">
        <f t="shared" si="17"/>
        <v>1</v>
      </c>
      <c r="Q46" s="1" t="b">
        <f t="shared" si="17"/>
        <v>1</v>
      </c>
      <c r="R46" s="1" t="b">
        <f t="shared" si="17"/>
        <v>1</v>
      </c>
      <c r="S46" s="1" t="b">
        <f t="shared" si="17"/>
        <v>1</v>
      </c>
      <c r="T46" s="1" t="b">
        <f t="shared" si="17"/>
        <v>1</v>
      </c>
      <c r="U46" s="1" t="b">
        <f t="shared" si="17"/>
        <v>1</v>
      </c>
      <c r="V46" s="1" t="b">
        <f t="shared" ref="V46:Z46" si="18">V45=ROE</f>
        <v>1</v>
      </c>
      <c r="W46" s="1" t="b">
        <f t="shared" si="18"/>
        <v>1</v>
      </c>
      <c r="X46" s="1" t="b">
        <f t="shared" si="18"/>
        <v>1</v>
      </c>
      <c r="Y46" s="1" t="b">
        <f t="shared" si="18"/>
        <v>1</v>
      </c>
      <c r="Z46" s="1" t="b">
        <f t="shared" si="18"/>
        <v>1</v>
      </c>
    </row>
    <row r="47" spans="1:26">
      <c r="A47" s="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</row>
    <row r="48" spans="1:26">
      <c r="A48" s="4" t="s">
        <v>108</v>
      </c>
      <c r="B48" s="38">
        <f t="shared" ref="B48:Z48" si="19">B12</f>
        <v>39942.788561152032</v>
      </c>
      <c r="C48" s="38">
        <f t="shared" si="19"/>
        <v>36517.956630019296</v>
      </c>
      <c r="D48" s="38">
        <f t="shared" si="19"/>
        <v>33166.169258397931</v>
      </c>
      <c r="E48" s="38">
        <f t="shared" si="19"/>
        <v>29881.766166768608</v>
      </c>
      <c r="F48" s="38">
        <f t="shared" si="19"/>
        <v>26659.895686971897</v>
      </c>
      <c r="G48" s="38">
        <f t="shared" si="19"/>
        <v>23495.706150848368</v>
      </c>
      <c r="H48" s="38">
        <f t="shared" si="19"/>
        <v>20385.01973303852</v>
      </c>
      <c r="I48" s="38">
        <f t="shared" si="19"/>
        <v>17323.658608182843</v>
      </c>
      <c r="J48" s="38">
        <f t="shared" si="19"/>
        <v>14270.383596926216</v>
      </c>
      <c r="K48" s="38">
        <f t="shared" si="19"/>
        <v>11217.243354229568</v>
      </c>
      <c r="L48" s="38">
        <f t="shared" si="19"/>
        <v>8163.9683429729394</v>
      </c>
      <c r="M48" s="38">
        <f t="shared" si="19"/>
        <v>6456.5812138117153</v>
      </c>
      <c r="N48" s="38">
        <f t="shared" si="19"/>
        <v>0</v>
      </c>
      <c r="O48" s="38">
        <f t="shared" si="19"/>
        <v>0</v>
      </c>
      <c r="P48" s="38">
        <f t="shared" si="19"/>
        <v>0</v>
      </c>
      <c r="Q48" s="38">
        <f t="shared" si="19"/>
        <v>0</v>
      </c>
      <c r="R48" s="38">
        <f t="shared" si="19"/>
        <v>0</v>
      </c>
      <c r="S48" s="38">
        <f t="shared" si="19"/>
        <v>0</v>
      </c>
      <c r="T48" s="38">
        <f t="shared" si="19"/>
        <v>0</v>
      </c>
      <c r="U48" s="38">
        <f t="shared" si="19"/>
        <v>0</v>
      </c>
      <c r="V48" s="38">
        <f t="shared" si="19"/>
        <v>0</v>
      </c>
      <c r="W48" s="38">
        <f t="shared" si="19"/>
        <v>0</v>
      </c>
      <c r="X48" s="38">
        <f t="shared" si="19"/>
        <v>0</v>
      </c>
      <c r="Y48" s="38">
        <f t="shared" si="19"/>
        <v>0</v>
      </c>
      <c r="Z48" s="38">
        <f t="shared" si="19"/>
        <v>0</v>
      </c>
    </row>
    <row r="49" spans="1:26">
      <c r="A49" s="4" t="s">
        <v>109</v>
      </c>
      <c r="B49" s="38">
        <f t="shared" ref="B49:Z49" si="20">B13</f>
        <v>5633458.333333333</v>
      </c>
      <c r="C49" s="38">
        <f t="shared" si="20"/>
        <v>5633458.333333333</v>
      </c>
      <c r="D49" s="38">
        <f t="shared" si="20"/>
        <v>5633458.333333333</v>
      </c>
      <c r="E49" s="38">
        <f t="shared" si="20"/>
        <v>5633458.333333333</v>
      </c>
      <c r="F49" s="38">
        <f t="shared" si="20"/>
        <v>5633458.333333333</v>
      </c>
      <c r="G49" s="38">
        <f t="shared" si="20"/>
        <v>5633458.333333333</v>
      </c>
      <c r="H49" s="38">
        <f t="shared" si="20"/>
        <v>5633458.333333333</v>
      </c>
      <c r="I49" s="38">
        <f t="shared" si="20"/>
        <v>5633458.333333333</v>
      </c>
      <c r="J49" s="38">
        <f t="shared" si="20"/>
        <v>5633458.333333333</v>
      </c>
      <c r="K49" s="38">
        <f t="shared" si="20"/>
        <v>5633458.333333333</v>
      </c>
      <c r="L49" s="38">
        <f t="shared" si="20"/>
        <v>5633458.333333333</v>
      </c>
      <c r="M49" s="38">
        <f t="shared" si="20"/>
        <v>5841791.666666666</v>
      </c>
      <c r="N49" s="38">
        <f t="shared" si="20"/>
        <v>0</v>
      </c>
      <c r="O49" s="38">
        <f t="shared" si="20"/>
        <v>0</v>
      </c>
      <c r="P49" s="38">
        <f t="shared" si="20"/>
        <v>0</v>
      </c>
      <c r="Q49" s="38">
        <f t="shared" si="20"/>
        <v>0</v>
      </c>
      <c r="R49" s="38">
        <f t="shared" si="20"/>
        <v>0</v>
      </c>
      <c r="S49" s="38">
        <f t="shared" si="20"/>
        <v>0</v>
      </c>
      <c r="T49" s="38">
        <f t="shared" si="20"/>
        <v>0</v>
      </c>
      <c r="U49" s="38">
        <f t="shared" si="20"/>
        <v>0</v>
      </c>
      <c r="V49" s="38">
        <f t="shared" si="20"/>
        <v>0</v>
      </c>
      <c r="W49" s="38">
        <f t="shared" si="20"/>
        <v>0</v>
      </c>
      <c r="X49" s="38">
        <f t="shared" si="20"/>
        <v>0</v>
      </c>
      <c r="Y49" s="38">
        <f t="shared" si="20"/>
        <v>0</v>
      </c>
      <c r="Z49" s="38">
        <f t="shared" si="20"/>
        <v>0</v>
      </c>
    </row>
    <row r="50" spans="1:26">
      <c r="A50" s="4" t="s">
        <v>111</v>
      </c>
      <c r="B50" s="3">
        <f t="shared" ref="B50:Z50" si="21">B25-SUM(B48:B49,B51)</f>
        <v>1071946.9045095611</v>
      </c>
      <c r="C50" s="3">
        <f t="shared" si="21"/>
        <v>982177.3980892729</v>
      </c>
      <c r="D50" s="3">
        <f t="shared" si="21"/>
        <v>894322.48899402097</v>
      </c>
      <c r="E50" s="3">
        <f t="shared" si="21"/>
        <v>808233.81359344348</v>
      </c>
      <c r="F50" s="3">
        <f t="shared" si="21"/>
        <v>723784.20306152478</v>
      </c>
      <c r="G50" s="3">
        <f t="shared" si="21"/>
        <v>640846.48857224919</v>
      </c>
      <c r="H50" s="3">
        <f t="shared" si="21"/>
        <v>559311.16363654844</v>
      </c>
      <c r="I50" s="3">
        <f t="shared" si="21"/>
        <v>479068.72176534962</v>
      </c>
      <c r="J50" s="3">
        <f t="shared" si="21"/>
        <v>399038.22793751583</v>
      </c>
      <c r="K50" s="3">
        <f t="shared" si="21"/>
        <v>319011.26657706778</v>
      </c>
      <c r="L50" s="3">
        <f t="shared" si="21"/>
        <v>238980.77274923027</v>
      </c>
      <c r="M50" s="3">
        <f t="shared" si="21"/>
        <v>195152.07390332315</v>
      </c>
      <c r="N50" s="3">
        <f t="shared" si="21"/>
        <v>152763.2918020034</v>
      </c>
      <c r="O50" s="3">
        <f t="shared" si="21"/>
        <v>136374.38044806174</v>
      </c>
      <c r="P50" s="3">
        <f t="shared" si="21"/>
        <v>120029.35683529836</v>
      </c>
      <c r="Q50" s="3">
        <f t="shared" si="21"/>
        <v>103731.87049076048</v>
      </c>
      <c r="R50" s="3">
        <f t="shared" si="21"/>
        <v>87471.443463462172</v>
      </c>
      <c r="S50" s="3">
        <f t="shared" si="21"/>
        <v>71252.199476557085</v>
      </c>
      <c r="T50" s="3">
        <f t="shared" si="21"/>
        <v>55064.134775166574</v>
      </c>
      <c r="U50" s="3">
        <f t="shared" si="21"/>
        <v>38885.292296566651</v>
      </c>
      <c r="V50" s="3">
        <f t="shared" si="21"/>
        <v>30582.613658850139</v>
      </c>
      <c r="W50" s="3">
        <f t="shared" si="21"/>
        <v>30159.441053082817</v>
      </c>
      <c r="X50" s="3">
        <f t="shared" si="21"/>
        <v>29736.363286536827</v>
      </c>
      <c r="Y50" s="3">
        <f t="shared" si="21"/>
        <v>29313.190680769476</v>
      </c>
      <c r="Z50" s="3">
        <f t="shared" si="21"/>
        <v>28890.112914223457</v>
      </c>
    </row>
    <row r="51" spans="1:26">
      <c r="A51" s="4" t="s">
        <v>110</v>
      </c>
      <c r="B51" s="48">
        <f t="shared" ref="B51:Z51" si="22">B21</f>
        <v>5102409.7108946936</v>
      </c>
      <c r="C51" s="48">
        <f t="shared" si="22"/>
        <v>4664911.5708527192</v>
      </c>
      <c r="D51" s="48">
        <f t="shared" si="22"/>
        <v>4236744.3584501147</v>
      </c>
      <c r="E51" s="48">
        <f t="shared" si="22"/>
        <v>3817185.0128735011</v>
      </c>
      <c r="F51" s="48">
        <f t="shared" si="22"/>
        <v>3405613.7677114042</v>
      </c>
      <c r="G51" s="48">
        <f t="shared" si="22"/>
        <v>3001410.8565523541</v>
      </c>
      <c r="H51" s="48">
        <f t="shared" si="22"/>
        <v>2604042.5916531389</v>
      </c>
      <c r="I51" s="48">
        <f t="shared" si="22"/>
        <v>2212975.2852705475</v>
      </c>
      <c r="J51" s="48">
        <f t="shared" si="22"/>
        <v>1822940.9229070756</v>
      </c>
      <c r="K51" s="48">
        <f t="shared" si="22"/>
        <v>1432923.776277255</v>
      </c>
      <c r="L51" s="48">
        <f t="shared" si="22"/>
        <v>1042889.4139137827</v>
      </c>
      <c r="M51" s="48">
        <f t="shared" si="22"/>
        <v>824782.74229892588</v>
      </c>
      <c r="N51" s="48">
        <f t="shared" si="22"/>
        <v>744628.91052423196</v>
      </c>
      <c r="O51" s="48">
        <f t="shared" si="22"/>
        <v>664742.85241295991</v>
      </c>
      <c r="P51" s="48">
        <f t="shared" si="22"/>
        <v>585070.72056966799</v>
      </c>
      <c r="Q51" s="48">
        <f t="shared" si="22"/>
        <v>505630.30423754296</v>
      </c>
      <c r="R51" s="48">
        <f t="shared" si="22"/>
        <v>426370.52972516313</v>
      </c>
      <c r="S51" s="48">
        <f t="shared" si="22"/>
        <v>347311.49769573135</v>
      </c>
      <c r="T51" s="48">
        <f t="shared" si="22"/>
        <v>268404.44587784249</v>
      </c>
      <c r="U51" s="48">
        <f t="shared" si="22"/>
        <v>189542.34683380145</v>
      </c>
      <c r="V51" s="48">
        <f t="shared" si="22"/>
        <v>149071.79611767479</v>
      </c>
      <c r="W51" s="48">
        <f t="shared" si="22"/>
        <v>147009.08489510784</v>
      </c>
      <c r="X51" s="48">
        <f t="shared" si="22"/>
        <v>144946.83595654418</v>
      </c>
      <c r="Y51" s="48">
        <f t="shared" si="22"/>
        <v>142884.12473397725</v>
      </c>
      <c r="Z51" s="48">
        <f t="shared" si="22"/>
        <v>140821.87579541357</v>
      </c>
    </row>
    <row r="52" spans="1:26">
      <c r="B52" s="39">
        <f t="shared" ref="B52:Z52" si="23">SUM(B48:B51)-B25</f>
        <v>0</v>
      </c>
      <c r="C52" s="39">
        <f t="shared" si="23"/>
        <v>0</v>
      </c>
      <c r="D52" s="39">
        <f t="shared" si="23"/>
        <v>0</v>
      </c>
      <c r="E52" s="39">
        <f t="shared" si="23"/>
        <v>0</v>
      </c>
      <c r="F52" s="39">
        <f t="shared" si="23"/>
        <v>0</v>
      </c>
      <c r="G52" s="39">
        <f t="shared" si="23"/>
        <v>0</v>
      </c>
      <c r="H52" s="39">
        <f t="shared" si="23"/>
        <v>0</v>
      </c>
      <c r="I52" s="39">
        <f t="shared" si="23"/>
        <v>0</v>
      </c>
      <c r="J52" s="39">
        <f t="shared" si="23"/>
        <v>0</v>
      </c>
      <c r="K52" s="39">
        <f t="shared" si="23"/>
        <v>0</v>
      </c>
      <c r="L52" s="39">
        <f t="shared" si="23"/>
        <v>0</v>
      </c>
      <c r="M52" s="39">
        <f t="shared" si="23"/>
        <v>0</v>
      </c>
      <c r="N52" s="39">
        <f t="shared" si="23"/>
        <v>0</v>
      </c>
      <c r="O52" s="39">
        <f t="shared" si="23"/>
        <v>0</v>
      </c>
      <c r="P52" s="39">
        <f t="shared" si="23"/>
        <v>0</v>
      </c>
      <c r="Q52" s="39">
        <f t="shared" si="23"/>
        <v>0</v>
      </c>
      <c r="R52" s="39">
        <f t="shared" si="23"/>
        <v>0</v>
      </c>
      <c r="S52" s="39">
        <f t="shared" si="23"/>
        <v>0</v>
      </c>
      <c r="T52" s="39">
        <f t="shared" si="23"/>
        <v>0</v>
      </c>
      <c r="U52" s="39">
        <f t="shared" si="23"/>
        <v>0</v>
      </c>
      <c r="V52" s="39">
        <f t="shared" si="23"/>
        <v>0</v>
      </c>
      <c r="W52" s="39">
        <f t="shared" si="23"/>
        <v>0</v>
      </c>
      <c r="X52" s="39">
        <f t="shared" si="23"/>
        <v>0</v>
      </c>
      <c r="Y52" s="39">
        <f t="shared" si="23"/>
        <v>0</v>
      </c>
      <c r="Z52" s="39">
        <f t="shared" si="23"/>
        <v>0</v>
      </c>
    </row>
  </sheetData>
  <mergeCells count="2">
    <mergeCell ref="A1:J1"/>
    <mergeCell ref="A2:J2"/>
  </mergeCells>
  <phoneticPr fontId="19" type="noConversion"/>
  <pageMargins left="0.7" right="0.7" top="0.75" bottom="0.75" header="0.3" footer="0.3"/>
  <pageSetup orientation="portrait" r:id="rId1"/>
  <headerFooter>
    <oddHeader>&amp;RCase No. 2026-00001
Exhibit NMC-R8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zoomScaleNormal="100" workbookViewId="0">
      <selection activeCell="C10" sqref="C10"/>
    </sheetView>
  </sheetViews>
  <sheetFormatPr defaultRowHeight="12.5"/>
  <cols>
    <col min="1" max="1" width="5" bestFit="1" customWidth="1"/>
    <col min="2" max="2" width="5.26953125" customWidth="1"/>
    <col min="3" max="3" width="40.54296875" bestFit="1" customWidth="1"/>
    <col min="4" max="14" width="13.90625" bestFit="1" customWidth="1"/>
    <col min="15" max="24" width="12.81640625" bestFit="1" customWidth="1"/>
  </cols>
  <sheetData>
    <row r="1" spans="1:38">
      <c r="A1" t="s">
        <v>53</v>
      </c>
    </row>
    <row r="2" spans="1:38" ht="13">
      <c r="A2" s="25" t="s">
        <v>41</v>
      </c>
      <c r="B2" s="25"/>
      <c r="C2" s="25"/>
      <c r="D2" s="129" t="str">
        <f>'50% Rev Req'!B3</f>
        <v>Year 1</v>
      </c>
      <c r="E2" s="129" t="str">
        <f>'50% Rev Req'!C3</f>
        <v>Year 2</v>
      </c>
      <c r="F2" s="129" t="str">
        <f>'50% Rev Req'!D3</f>
        <v>Year 3</v>
      </c>
      <c r="G2" s="129" t="str">
        <f>'50% Rev Req'!E3</f>
        <v>Year 4</v>
      </c>
      <c r="H2" s="129" t="str">
        <f>'50% Rev Req'!F3</f>
        <v>Year 5</v>
      </c>
      <c r="I2" s="129" t="str">
        <f>'50% Rev Req'!G3</f>
        <v>Year 6</v>
      </c>
      <c r="J2" s="129" t="str">
        <f>'50% Rev Req'!H3</f>
        <v>Year 7</v>
      </c>
      <c r="K2" s="129" t="str">
        <f>'50% Rev Req'!I3</f>
        <v>Year 8</v>
      </c>
      <c r="L2" s="129" t="str">
        <f>'50% Rev Req'!J3</f>
        <v>Year 9</v>
      </c>
      <c r="M2" s="129" t="str">
        <f>'50% Rev Req'!K3</f>
        <v>Year 10</v>
      </c>
      <c r="N2" s="129" t="str">
        <f>'50% Rev Req'!L3</f>
        <v>Year 11</v>
      </c>
      <c r="O2" s="129" t="str">
        <f>'50% Rev Req'!M3</f>
        <v>Year 12</v>
      </c>
      <c r="P2" s="129" t="str">
        <f>'50% Rev Req'!N3</f>
        <v>Year 13</v>
      </c>
      <c r="Q2" s="129" t="str">
        <f>'50% Rev Req'!O3</f>
        <v>Year 14</v>
      </c>
      <c r="R2" s="129" t="str">
        <f>'50% Rev Req'!P3</f>
        <v>Year 15</v>
      </c>
      <c r="S2" s="129" t="str">
        <f>'50% Rev Req'!Q3</f>
        <v>Year 16</v>
      </c>
      <c r="T2" s="129" t="str">
        <f>'50% Rev Req'!R3</f>
        <v>Year 17</v>
      </c>
      <c r="U2" s="129" t="str">
        <f>'50% Rev Req'!S3</f>
        <v>Year 18</v>
      </c>
      <c r="V2" s="129" t="str">
        <f>'50% Rev Req'!T3</f>
        <v>Year 19</v>
      </c>
      <c r="W2" s="129" t="str">
        <f>'50% Rev Req'!U3</f>
        <v>Year 20</v>
      </c>
      <c r="X2" s="129" t="str">
        <f>'50% Rev Req'!V3</f>
        <v>Year 21</v>
      </c>
      <c r="Y2" s="129" t="str">
        <f>'50% Rev Req'!W3</f>
        <v>Year 22</v>
      </c>
      <c r="Z2" s="129" t="str">
        <f>'50% Rev Req'!X3</f>
        <v>Year 23</v>
      </c>
      <c r="AA2" s="129" t="str">
        <f>'50% Rev Req'!Y3</f>
        <v>Year 24</v>
      </c>
      <c r="AB2" s="129" t="str">
        <f>'50% Rev Req'!Z3</f>
        <v>Year 25</v>
      </c>
      <c r="AC2" s="129" t="e">
        <f>'50% Rev Req'!#REF!</f>
        <v>#REF!</v>
      </c>
      <c r="AD2" s="129" t="e">
        <f>'50% Rev Req'!#REF!</f>
        <v>#REF!</v>
      </c>
      <c r="AE2" s="129" t="e">
        <f>'50% Rev Req'!#REF!</f>
        <v>#REF!</v>
      </c>
      <c r="AF2" s="129" t="e">
        <f>'50% Rev Req'!#REF!</f>
        <v>#REF!</v>
      </c>
      <c r="AG2" s="129" t="e">
        <f>'50% Rev Req'!#REF!</f>
        <v>#REF!</v>
      </c>
      <c r="AH2" s="129" t="e">
        <f>'50% Rev Req'!#REF!</f>
        <v>#REF!</v>
      </c>
      <c r="AI2" s="129" t="e">
        <f>'50% Rev Req'!#REF!</f>
        <v>#REF!</v>
      </c>
      <c r="AJ2" s="129" t="e">
        <f>'50% Rev Req'!#REF!</f>
        <v>#REF!</v>
      </c>
      <c r="AK2" s="129" t="e">
        <f>'50% Rev Req'!#REF!</f>
        <v>#REF!</v>
      </c>
      <c r="AL2" s="129" t="e">
        <f>'50% Rev Req'!#REF!</f>
        <v>#REF!</v>
      </c>
    </row>
    <row r="3" spans="1:38" ht="13">
      <c r="A3" s="56" t="s">
        <v>42</v>
      </c>
      <c r="B3" s="56"/>
      <c r="C3" s="56" t="s">
        <v>43</v>
      </c>
      <c r="D3" s="128">
        <f>'50% Rev Req'!B4</f>
        <v>2029</v>
      </c>
      <c r="E3" s="128">
        <f>'50% Rev Req'!C4</f>
        <v>2030</v>
      </c>
      <c r="F3" s="128">
        <f>'50% Rev Req'!D4</f>
        <v>2031</v>
      </c>
      <c r="G3" s="128">
        <f>'50% Rev Req'!E4</f>
        <v>2032</v>
      </c>
      <c r="H3" s="128">
        <f>'50% Rev Req'!F4</f>
        <v>2033</v>
      </c>
      <c r="I3" s="128">
        <f>'50% Rev Req'!G4</f>
        <v>2034</v>
      </c>
      <c r="J3" s="128">
        <f>'50% Rev Req'!H4</f>
        <v>2035</v>
      </c>
      <c r="K3" s="128">
        <f>'50% Rev Req'!I4</f>
        <v>2036</v>
      </c>
      <c r="L3" s="128">
        <f>'50% Rev Req'!J4</f>
        <v>2037</v>
      </c>
      <c r="M3" s="128">
        <f>'50% Rev Req'!K4</f>
        <v>2038</v>
      </c>
      <c r="N3" s="128">
        <f>'50% Rev Req'!L4</f>
        <v>2039</v>
      </c>
      <c r="O3" s="128">
        <f>'50% Rev Req'!M4</f>
        <v>2040</v>
      </c>
      <c r="P3" s="128">
        <f>'50% Rev Req'!N4</f>
        <v>2041</v>
      </c>
      <c r="Q3" s="128">
        <f>'50% Rev Req'!O4</f>
        <v>2042</v>
      </c>
      <c r="R3" s="128">
        <f>'50% Rev Req'!P4</f>
        <v>2043</v>
      </c>
      <c r="S3" s="128">
        <f>'50% Rev Req'!Q4</f>
        <v>2044</v>
      </c>
      <c r="T3" s="128">
        <f>'50% Rev Req'!R4</f>
        <v>2045</v>
      </c>
      <c r="U3" s="128">
        <f>'50% Rev Req'!S4</f>
        <v>2046</v>
      </c>
      <c r="V3" s="128">
        <f>'50% Rev Req'!T4</f>
        <v>2047</v>
      </c>
      <c r="W3" s="128">
        <f>'50% Rev Req'!U4</f>
        <v>2048</v>
      </c>
      <c r="X3" s="128">
        <f>'50% Rev Req'!V4</f>
        <v>2049</v>
      </c>
      <c r="Y3" s="128">
        <f>'50% Rev Req'!W4</f>
        <v>2050</v>
      </c>
      <c r="Z3" s="128">
        <f>'50% Rev Req'!X4</f>
        <v>2051</v>
      </c>
      <c r="AA3" s="128">
        <f>'50% Rev Req'!Y4</f>
        <v>2052</v>
      </c>
      <c r="AB3" s="128">
        <f>'50% Rev Req'!Z4</f>
        <v>2053</v>
      </c>
      <c r="AC3" s="128" t="e">
        <f>'50% Rev Req'!#REF!</f>
        <v>#REF!</v>
      </c>
      <c r="AD3" s="128" t="e">
        <f>'50% Rev Req'!#REF!</f>
        <v>#REF!</v>
      </c>
      <c r="AE3" s="128" t="e">
        <f>'50% Rev Req'!#REF!</f>
        <v>#REF!</v>
      </c>
      <c r="AF3" s="128" t="e">
        <f>'50% Rev Req'!#REF!</f>
        <v>#REF!</v>
      </c>
      <c r="AG3" s="128" t="e">
        <f>'50% Rev Req'!#REF!</f>
        <v>#REF!</v>
      </c>
      <c r="AH3" s="128" t="e">
        <f>'50% Rev Req'!#REF!</f>
        <v>#REF!</v>
      </c>
      <c r="AI3" s="128" t="e">
        <f>'50% Rev Req'!#REF!</f>
        <v>#REF!</v>
      </c>
      <c r="AJ3" s="128" t="e">
        <f>'50% Rev Req'!#REF!</f>
        <v>#REF!</v>
      </c>
      <c r="AK3" s="128" t="e">
        <f>'50% Rev Req'!#REF!</f>
        <v>#REF!</v>
      </c>
      <c r="AL3" s="128" t="e">
        <f>'50% Rev Req'!#REF!</f>
        <v>#REF!</v>
      </c>
    </row>
    <row r="4" spans="1:38" ht="13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'Total Rev Req'!B13</f>
        <v>79885.577122304065</v>
      </c>
      <c r="E6" s="124">
        <f>'Total Rev Req'!C13</f>
        <v>73035.913260038593</v>
      </c>
      <c r="F6" s="124">
        <f>'Total Rev Req'!D13</f>
        <v>66332.338516795862</v>
      </c>
      <c r="G6" s="124">
        <f>'Total Rev Req'!E13</f>
        <v>59763.532333537216</v>
      </c>
      <c r="H6" s="124">
        <f>'Total Rev Req'!F13</f>
        <v>53319.791373943794</v>
      </c>
      <c r="I6" s="124">
        <f>'Total Rev Req'!G13</f>
        <v>46991.412301696735</v>
      </c>
      <c r="J6" s="124">
        <f>'Total Rev Req'!H13</f>
        <v>40770.03946607704</v>
      </c>
      <c r="K6" s="124">
        <f>'Total Rev Req'!I13</f>
        <v>34647.317216365685</v>
      </c>
      <c r="L6" s="124">
        <f>'Total Rev Req'!J13</f>
        <v>28540.767193852433</v>
      </c>
      <c r="M6" s="124">
        <f>'Total Rev Req'!K13</f>
        <v>22434.486708459135</v>
      </c>
      <c r="N6" s="124">
        <f>'Total Rev Req'!L13</f>
        <v>16327.936685945879</v>
      </c>
      <c r="O6" s="124">
        <f>'Total Rev Req'!M13</f>
        <v>12913.162427623431</v>
      </c>
      <c r="P6" s="124">
        <f>'Total Rev Req'!N13</f>
        <v>0</v>
      </c>
      <c r="Q6" s="124">
        <f>'Total Rev Req'!O13</f>
        <v>0</v>
      </c>
      <c r="R6" s="124">
        <f>'Total Rev Req'!P13</f>
        <v>0</v>
      </c>
      <c r="S6" s="124">
        <f>'Total Rev Req'!Q13</f>
        <v>0</v>
      </c>
      <c r="T6" s="124">
        <f>'Total Rev Req'!R13</f>
        <v>0</v>
      </c>
      <c r="U6" s="124">
        <f>'Total Rev Req'!S13</f>
        <v>0</v>
      </c>
      <c r="V6" s="124">
        <f>'Total Rev Req'!T13</f>
        <v>0</v>
      </c>
      <c r="W6" s="124">
        <f>'Total Rev Req'!U13</f>
        <v>0</v>
      </c>
      <c r="X6" s="124">
        <f>'Total Rev Req'!V13</f>
        <v>0</v>
      </c>
      <c r="Y6" s="124">
        <f>'Total Rev Req'!W13</f>
        <v>0</v>
      </c>
      <c r="Z6" s="124">
        <f>'Total Rev Req'!X13</f>
        <v>0</v>
      </c>
      <c r="AA6" s="124">
        <f>'Total Rev Req'!Y13</f>
        <v>0</v>
      </c>
      <c r="AB6" s="124">
        <f>'Total Rev Req'!Z13</f>
        <v>0</v>
      </c>
      <c r="AC6" s="124">
        <f>'Total Rev Req'!AA13</f>
        <v>0</v>
      </c>
      <c r="AD6" s="124">
        <f>'Total Rev Req'!AB13</f>
        <v>0</v>
      </c>
      <c r="AE6" s="124">
        <f>'Total Rev Req'!AC13</f>
        <v>0</v>
      </c>
      <c r="AF6" s="124">
        <f>'Total Rev Req'!AD13</f>
        <v>0</v>
      </c>
      <c r="AG6" s="124">
        <f>'Total Rev Req'!AE13</f>
        <v>0</v>
      </c>
      <c r="AH6" s="124">
        <f>'Total Rev Req'!AF13</f>
        <v>0</v>
      </c>
      <c r="AI6" s="124">
        <f>'Total Rev Req'!AG13</f>
        <v>0</v>
      </c>
      <c r="AJ6" s="124">
        <f>'Total Rev Req'!AH13</f>
        <v>0</v>
      </c>
      <c r="AK6" s="124">
        <f>'Total Rev Req'!AI13</f>
        <v>0</v>
      </c>
      <c r="AL6" s="124">
        <f>'Total Rev Req'!AJ13</f>
        <v>0</v>
      </c>
    </row>
    <row r="7" spans="1:38">
      <c r="A7" s="27">
        <v>3</v>
      </c>
      <c r="B7" s="24"/>
      <c r="C7" s="24" t="s">
        <v>45</v>
      </c>
      <c r="D7" s="124">
        <f>'Total Rev Req'!B14</f>
        <v>11266916.666666666</v>
      </c>
      <c r="E7" s="124">
        <f>'Total Rev Req'!C14</f>
        <v>11266916.666666666</v>
      </c>
      <c r="F7" s="124">
        <f>'Total Rev Req'!D14</f>
        <v>11266916.666666666</v>
      </c>
      <c r="G7" s="124">
        <f>'Total Rev Req'!E14</f>
        <v>11266916.666666666</v>
      </c>
      <c r="H7" s="124">
        <f>'Total Rev Req'!F14</f>
        <v>11266916.666666666</v>
      </c>
      <c r="I7" s="124">
        <f>'Total Rev Req'!G14</f>
        <v>11266916.666666666</v>
      </c>
      <c r="J7" s="124">
        <f>'Total Rev Req'!H14</f>
        <v>11266916.666666666</v>
      </c>
      <c r="K7" s="124">
        <f>'Total Rev Req'!I14</f>
        <v>11266916.666666666</v>
      </c>
      <c r="L7" s="124">
        <f>'Total Rev Req'!J14</f>
        <v>11266916.666666666</v>
      </c>
      <c r="M7" s="124">
        <f>'Total Rev Req'!K14</f>
        <v>11266916.666666666</v>
      </c>
      <c r="N7" s="124">
        <f>'Total Rev Req'!L14</f>
        <v>11266916.666666666</v>
      </c>
      <c r="O7" s="124">
        <f>'Total Rev Req'!M14</f>
        <v>11683583.333333332</v>
      </c>
      <c r="P7" s="124">
        <f>'Total Rev Req'!N14</f>
        <v>0</v>
      </c>
      <c r="Q7" s="124">
        <f>'Total Rev Req'!O14</f>
        <v>0</v>
      </c>
      <c r="R7" s="124">
        <f>'Total Rev Req'!P14</f>
        <v>0</v>
      </c>
      <c r="S7" s="124">
        <f>'Total Rev Req'!Q14</f>
        <v>0</v>
      </c>
      <c r="T7" s="124">
        <f>'Total Rev Req'!R14</f>
        <v>0</v>
      </c>
      <c r="U7" s="124">
        <f>'Total Rev Req'!S14</f>
        <v>0</v>
      </c>
      <c r="V7" s="124">
        <f>'Total Rev Req'!T14</f>
        <v>0</v>
      </c>
      <c r="W7" s="124">
        <f>'Total Rev Req'!U14</f>
        <v>0</v>
      </c>
      <c r="X7" s="124">
        <f>'Total Rev Req'!V14</f>
        <v>0</v>
      </c>
      <c r="Y7" s="124">
        <f>'Total Rev Req'!W14</f>
        <v>0</v>
      </c>
      <c r="Z7" s="124">
        <f>'Total Rev Req'!X14</f>
        <v>0</v>
      </c>
      <c r="AA7" s="124">
        <f>'Total Rev Req'!Y14</f>
        <v>0</v>
      </c>
      <c r="AB7" s="124">
        <f>'Total Rev Req'!Z14</f>
        <v>0</v>
      </c>
      <c r="AC7" s="124">
        <f>'Total Rev Req'!AA14</f>
        <v>0</v>
      </c>
      <c r="AD7" s="124">
        <f>'Total Rev Req'!AB14</f>
        <v>0</v>
      </c>
      <c r="AE7" s="124">
        <f>'Total Rev Req'!AC14</f>
        <v>0</v>
      </c>
      <c r="AF7" s="124">
        <f>'Total Rev Req'!AD14</f>
        <v>0</v>
      </c>
      <c r="AG7" s="124">
        <f>'Total Rev Req'!AE14</f>
        <v>0</v>
      </c>
      <c r="AH7" s="124">
        <f>'Total Rev Req'!AF14</f>
        <v>0</v>
      </c>
      <c r="AI7" s="124">
        <f>'Total Rev Req'!AG14</f>
        <v>0</v>
      </c>
      <c r="AJ7" s="124">
        <f>'Total Rev Req'!AH14</f>
        <v>0</v>
      </c>
      <c r="AK7" s="124">
        <f>'Total Rev Req'!AI14</f>
        <v>0</v>
      </c>
      <c r="AL7" s="124">
        <f>'Total Rev Req'!AJ14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'Total Rev Req'!B23*(WACD)</f>
        <v>4073273.5713188397</v>
      </c>
      <c r="E9" s="125">
        <f>'Total Rev Req'!C23*(WACD)</f>
        <v>3724017.0999051309</v>
      </c>
      <c r="F9" s="125">
        <f>'Total Rev Req'!D23*(WACD)</f>
        <v>3382209.5444160257</v>
      </c>
      <c r="G9" s="125">
        <f>'Total Rev Req'!E23*(WACD)</f>
        <v>3047273.6825843062</v>
      </c>
      <c r="H9" s="125">
        <f>'Total Rev Req'!F23*(WACD)</f>
        <v>2718714.752466639</v>
      </c>
      <c r="I9" s="125">
        <f>'Total Rev Req'!G23*(WACD)</f>
        <v>2396037.9921196932</v>
      </c>
      <c r="J9" s="125">
        <f>'Total Rev Req'!H23*(WACD)</f>
        <v>2078817.3565367106</v>
      </c>
      <c r="K9" s="125">
        <f>'Total Rev Req'!I23*(WACD)</f>
        <v>1766626.8007109335</v>
      </c>
      <c r="L9" s="125">
        <f>'Total Rev Req'!J23*(WACD)</f>
        <v>1455260.8481240433</v>
      </c>
      <c r="M9" s="125">
        <f>'Total Rev Req'!K23*(WACD)</f>
        <v>1143908.6389244671</v>
      </c>
      <c r="N9" s="125">
        <f>'Total Rev Req'!L23*(WACD)</f>
        <v>832542.68633757648</v>
      </c>
      <c r="O9" s="125">
        <f>'Total Rev Req'!M23*(WACD)</f>
        <v>658427.27978365379</v>
      </c>
      <c r="P9" s="125">
        <f>'Total Rev Req'!N23*(WACD)</f>
        <v>594440.16328246868</v>
      </c>
      <c r="Q9" s="125">
        <f>'Total Rev Req'!O23*(WACD)</f>
        <v>530666.81154109549</v>
      </c>
      <c r="R9" s="125">
        <f>'Total Rev Req'!P23*(WACD)</f>
        <v>467064.23797375127</v>
      </c>
      <c r="S9" s="125">
        <f>'Total Rev Req'!Q23*(WACD)</f>
        <v>403646.64380264911</v>
      </c>
      <c r="T9" s="125">
        <f>'Total Rev Req'!R23*(WACD)</f>
        <v>340373.25670074247</v>
      </c>
      <c r="U9" s="125">
        <f>'Total Rev Req'!S23*(WACD)</f>
        <v>277260.1231058577</v>
      </c>
      <c r="V9" s="125">
        <f>'Total Rev Req'!T23*(WACD)</f>
        <v>214268.315906562</v>
      </c>
      <c r="W9" s="125">
        <f>'Total Rev Req'!U23*(WACD)</f>
        <v>151312.39468194224</v>
      </c>
      <c r="X9" s="125">
        <f>'Total Rev Req'!V23*(WACD)</f>
        <v>119004.5962123811</v>
      </c>
      <c r="Y9" s="125">
        <f>'Total Rev Req'!W23*(WACD)</f>
        <v>117357.92579894786</v>
      </c>
      <c r="Z9" s="125">
        <f>'Total Rev Req'!X23*(WACD)</f>
        <v>115711.62442863734</v>
      </c>
      <c r="AA9" s="125">
        <f>'Total Rev Req'!Y23*(WACD)</f>
        <v>114064.95401520412</v>
      </c>
      <c r="AB9" s="125">
        <f>'Total Rev Req'!Z23*(WACD)</f>
        <v>112418.65264489356</v>
      </c>
      <c r="AC9" s="125">
        <f>'Total Rev Req'!AA23*(WACD)</f>
        <v>0</v>
      </c>
      <c r="AD9" s="125">
        <f>'Total Rev Req'!AB23*(WACD)</f>
        <v>0</v>
      </c>
      <c r="AE9" s="125">
        <f>'Total Rev Req'!AC23*(WACD)</f>
        <v>0</v>
      </c>
      <c r="AF9" s="125">
        <f>'Total Rev Req'!AD23*(WACD)</f>
        <v>0</v>
      </c>
      <c r="AG9" s="125">
        <f>'Total Rev Req'!AE23*(WACD)</f>
        <v>0</v>
      </c>
      <c r="AH9" s="125">
        <f>'Total Rev Req'!AF23*(WACD)</f>
        <v>0</v>
      </c>
      <c r="AI9" s="125">
        <f>'Total Rev Req'!AG23*(WACD)</f>
        <v>0</v>
      </c>
      <c r="AJ9" s="125">
        <f>'Total Rev Req'!AH23*(WACD)</f>
        <v>0</v>
      </c>
      <c r="AK9" s="125">
        <f>'Total Rev Req'!AI23*(WACD)</f>
        <v>0</v>
      </c>
      <c r="AL9" s="125">
        <f>'Total Rev Req'!AJ23*(WACD)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 ht="13">
      <c r="A11" s="25">
        <v>6</v>
      </c>
      <c r="B11" s="24"/>
      <c r="C11" s="26" t="s">
        <v>48</v>
      </c>
      <c r="D11" s="31">
        <f>D4-D6-D7-D8-D9+D5</f>
        <v>-15420075.815107811</v>
      </c>
      <c r="E11" s="31">
        <f>E4-E6-E7-E8-E9</f>
        <v>-15063969.679831836</v>
      </c>
      <c r="F11" s="31">
        <f>F4-F6-F7-F8-F9</f>
        <v>-14715458.549599487</v>
      </c>
      <c r="G11" s="31">
        <f>G4-G6-G7-G8-G9</f>
        <v>-14373953.88158451</v>
      </c>
      <c r="H11" s="31">
        <f t="shared" ref="H11:X11" si="0">H4-H6-H7-H8-H9</f>
        <v>-14038951.210507249</v>
      </c>
      <c r="I11" s="31">
        <f t="shared" si="0"/>
        <v>-13709946.071088057</v>
      </c>
      <c r="J11" s="31">
        <f t="shared" si="0"/>
        <v>-13386504.062669454</v>
      </c>
      <c r="K11" s="31">
        <f t="shared" si="0"/>
        <v>-13068190.784593966</v>
      </c>
      <c r="L11" s="31">
        <f t="shared" si="0"/>
        <v>-12750718.281984562</v>
      </c>
      <c r="M11" s="31">
        <f t="shared" si="0"/>
        <v>-12433259.792299591</v>
      </c>
      <c r="N11" s="31">
        <f t="shared" si="0"/>
        <v>-12115787.289690189</v>
      </c>
      <c r="O11" s="31">
        <f t="shared" si="0"/>
        <v>-12354923.775544608</v>
      </c>
      <c r="P11" s="31">
        <f t="shared" si="0"/>
        <v>-594440.16328246868</v>
      </c>
      <c r="Q11" s="31">
        <f t="shared" si="0"/>
        <v>-530666.81154109549</v>
      </c>
      <c r="R11" s="31">
        <f t="shared" si="0"/>
        <v>-467064.23797375127</v>
      </c>
      <c r="S11" s="31">
        <f t="shared" si="0"/>
        <v>-403646.64380264911</v>
      </c>
      <c r="T11" s="31">
        <f t="shared" si="0"/>
        <v>-340373.25670074247</v>
      </c>
      <c r="U11" s="31">
        <f t="shared" si="0"/>
        <v>-277260.1231058577</v>
      </c>
      <c r="V11" s="31">
        <f t="shared" si="0"/>
        <v>-214268.315906562</v>
      </c>
      <c r="W11" s="31">
        <f t="shared" si="0"/>
        <v>-151312.39468194224</v>
      </c>
      <c r="X11" s="31">
        <f t="shared" si="0"/>
        <v>-119004.5962123811</v>
      </c>
      <c r="Y11" s="31">
        <f t="shared" ref="Y11:AK11" si="1">Y4-Y6-Y7-Y8-Y9</f>
        <v>-117357.92579894786</v>
      </c>
      <c r="Z11" s="31">
        <f t="shared" si="1"/>
        <v>-115711.62442863734</v>
      </c>
      <c r="AA11" s="31">
        <f t="shared" si="1"/>
        <v>-114064.95401520412</v>
      </c>
      <c r="AB11" s="31">
        <f t="shared" si="1"/>
        <v>-112418.65264489356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coal'!C62-'Rate Base - coal'!C19)*1000</f>
        <v>55284304.166666664</v>
      </c>
      <c r="E14" s="124">
        <f>-('Rate Base - coal'!D62-'Rate Base - coal'!D19)*1000</f>
        <v>-2175077.9033333347</v>
      </c>
      <c r="F14" s="124">
        <f>-('Rate Base - coal'!E62-'Rate Base - coal'!E19)*1000</f>
        <v>-1165857.6433333347</v>
      </c>
      <c r="G14" s="124">
        <f>-('Rate Base - coal'!F62-'Rate Base - coal'!F19)*1000</f>
        <v>-234842.6433333334</v>
      </c>
      <c r="H14" s="124">
        <f>-('Rate Base - coal'!G62-'Rate Base - coal'!G19)*1000</f>
        <v>629139.27666666673</v>
      </c>
      <c r="I14" s="124">
        <f>-('Rate Base - coal'!H62-'Rate Base - coal'!H19)*1000</f>
        <v>1426088.1166666658</v>
      </c>
      <c r="J14" s="124">
        <f>-('Rate Base - coal'!I62-'Rate Base - coal'!I19)*1000</f>
        <v>2165314.026666665</v>
      </c>
      <c r="K14" s="124">
        <f>-('Rate Base - coal'!J62-'Rate Base - coal'!J19)*1000</f>
        <v>2846817.0066666664</v>
      </c>
      <c r="L14" s="124">
        <f>-('Rate Base - coal'!K62-'Rate Base - coal'!K19)*1000</f>
        <v>2958538.8066666657</v>
      </c>
      <c r="M14" s="124">
        <f>-('Rate Base - coal'!L62-'Rate Base - coal'!L19)*1000</f>
        <v>2960400.836666666</v>
      </c>
      <c r="N14" s="124">
        <f>-('Rate Base - coal'!M62-'Rate Base - coal'!M19)*1000</f>
        <v>2958538.8066666657</v>
      </c>
      <c r="O14" s="124">
        <f>-('Rate Base - coal'!N62-'Rate Base - coal'!N19)*1000</f>
        <v>3189567.503333332</v>
      </c>
      <c r="P14" s="124">
        <f>-('Rate Base - coal'!O62-'Rate Base - coal'!O19)*1000</f>
        <v>-8669327.8600000013</v>
      </c>
      <c r="Q14" s="124">
        <f>-('Rate Base - coal'!P62-'Rate Base - coal'!P19)*1000</f>
        <v>-8640365.8300000001</v>
      </c>
      <c r="R14" s="124">
        <f>-('Rate Base - coal'!Q62-'Rate Base - coal'!Q19)*1000</f>
        <v>-8617227.8600000013</v>
      </c>
      <c r="S14" s="124">
        <f>-('Rate Base - coal'!R62-'Rate Base - coal'!R19)*1000</f>
        <v>-8592165.8300000001</v>
      </c>
      <c r="T14" s="124">
        <f>-('Rate Base - coal'!S62-'Rate Base - coal'!S19)*1000</f>
        <v>-8572627.8600000013</v>
      </c>
      <c r="U14" s="124">
        <f>-('Rate Base - coal'!T62-'Rate Base - coal'!T19)*1000</f>
        <v>-8550915.8300000001</v>
      </c>
      <c r="V14" s="124">
        <f>-('Rate Base - coal'!U62-'Rate Base - coal'!U19)*1000</f>
        <v>-8534477.8600000013</v>
      </c>
      <c r="W14" s="124">
        <f>-('Rate Base - coal'!V62-'Rate Base - coal'!V19)*1000</f>
        <v>-8529615.8300000001</v>
      </c>
      <c r="X14" s="124">
        <f>-('Rate Base - coal'!W62-'Rate Base - coal'!W19)*1000</f>
        <v>-4377238.9300000006</v>
      </c>
      <c r="Y14" s="124">
        <f>-('Rate Base - coal'!X62-'Rate Base - coal'!X19)*1000</f>
        <v>-223100</v>
      </c>
      <c r="Z14" s="124">
        <f>-('Rate Base - coal'!Y62-'Rate Base - coal'!Y19)*1000</f>
        <v>-223049.99999999997</v>
      </c>
      <c r="AA14" s="124">
        <f>-('Rate Base - coal'!Z62-'Rate Base - coal'!Z19)*1000</f>
        <v>-223100</v>
      </c>
      <c r="AB14" s="124">
        <f>-('Rate Base - coal'!AA62-'Rate Base - coal'!AA19)*1000</f>
        <v>-223049.99999999997</v>
      </c>
      <c r="AC14" s="124">
        <f>-('Rate Base - coal'!AB62-'Rate Base - coal'!AB19)*1000</f>
        <v>0</v>
      </c>
      <c r="AD14" s="124">
        <f>-('Rate Base - coal'!AC62-'Rate Base - coal'!AC19)*1000</f>
        <v>0</v>
      </c>
      <c r="AE14" s="124">
        <f>-('Rate Base - coal'!AD62-'Rate Base - coal'!AD19)*1000</f>
        <v>0</v>
      </c>
      <c r="AF14" s="124">
        <f>-('Rate Base - coal'!AE62-'Rate Base - coal'!AE19)*1000</f>
        <v>0</v>
      </c>
      <c r="AG14" s="124">
        <f>-('Rate Base - coal'!AF62-'Rate Base - coal'!AF19)*1000</f>
        <v>0</v>
      </c>
      <c r="AH14" s="124">
        <f>-('Rate Base - coal'!AG62-'Rate Base - coal'!AG19)*1000</f>
        <v>0</v>
      </c>
      <c r="AI14" s="124">
        <f>-('Rate Base - coal'!AH62-'Rate Base - coal'!AH19)*1000</f>
        <v>0</v>
      </c>
      <c r="AJ14" s="124">
        <f>-('Rate Base - coal'!AI62-'Rate Base - coal'!AI19)*1000</f>
        <v>0</v>
      </c>
      <c r="AK14" s="124">
        <f>-('Rate Base - coal'!AJ62-'Rate Base - coal'!AJ19)*1000</f>
        <v>0</v>
      </c>
      <c r="AL14" s="124">
        <f>-('Rate Base - coal'!AK62-'Rate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39864228.351558849</v>
      </c>
      <c r="E16" s="33">
        <f>SUM(E11:E14)</f>
        <v>-17239047.583165172</v>
      </c>
      <c r="F16" s="33">
        <f>SUM(F11:F14)</f>
        <v>-15881316.192932822</v>
      </c>
      <c r="G16" s="33">
        <f>SUM(G11:G14)</f>
        <v>-14608796.524917843</v>
      </c>
      <c r="H16" s="33">
        <f t="shared" ref="H16:X16" si="2">SUM(H11:H14)</f>
        <v>-13409811.933840582</v>
      </c>
      <c r="I16" s="33">
        <f t="shared" si="2"/>
        <v>-12283857.954421392</v>
      </c>
      <c r="J16" s="33">
        <f t="shared" si="2"/>
        <v>-11221190.036002789</v>
      </c>
      <c r="K16" s="33">
        <f t="shared" si="2"/>
        <v>-10221373.7779273</v>
      </c>
      <c r="L16" s="33">
        <f t="shared" si="2"/>
        <v>-9792179.4753178954</v>
      </c>
      <c r="M16" s="33">
        <f t="shared" si="2"/>
        <v>-9472858.955632925</v>
      </c>
      <c r="N16" s="33">
        <f t="shared" si="2"/>
        <v>-9157248.4830235243</v>
      </c>
      <c r="O16" s="33">
        <f t="shared" si="2"/>
        <v>-9165356.272211276</v>
      </c>
      <c r="P16" s="33">
        <f t="shared" si="2"/>
        <v>-9263768.0232824702</v>
      </c>
      <c r="Q16" s="33">
        <f t="shared" si="2"/>
        <v>-9171032.6415410955</v>
      </c>
      <c r="R16" s="33">
        <f t="shared" si="2"/>
        <v>-9084292.0979737528</v>
      </c>
      <c r="S16" s="33">
        <f t="shared" si="2"/>
        <v>-8995812.4738026485</v>
      </c>
      <c r="T16" s="33">
        <f t="shared" si="2"/>
        <v>-8913001.1167007443</v>
      </c>
      <c r="U16" s="33">
        <f t="shared" si="2"/>
        <v>-8828175.9531058576</v>
      </c>
      <c r="V16" s="33">
        <f t="shared" si="2"/>
        <v>-8748746.1759065632</v>
      </c>
      <c r="W16" s="33">
        <f t="shared" si="2"/>
        <v>-8680928.2246819418</v>
      </c>
      <c r="X16" s="33">
        <f t="shared" si="2"/>
        <v>-4496243.5262123821</v>
      </c>
      <c r="Y16" s="33">
        <f t="shared" ref="Y16:AK16" si="3">SUM(Y11:Y14)</f>
        <v>-340457.92579894786</v>
      </c>
      <c r="Z16" s="33">
        <f t="shared" si="3"/>
        <v>-338761.62442863733</v>
      </c>
      <c r="AA16" s="33">
        <f t="shared" si="3"/>
        <v>-337164.9540152041</v>
      </c>
      <c r="AB16" s="33">
        <f t="shared" si="3"/>
        <v>-335468.6526448935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5.0097000000000003E-2</v>
      </c>
      <c r="E18" s="126">
        <f>Input!$B$34</f>
        <v>5.0097000000000003E-2</v>
      </c>
      <c r="F18" s="126">
        <f>Input!$B$34</f>
        <v>5.0097000000000003E-2</v>
      </c>
      <c r="G18" s="126">
        <f>Input!$B$34</f>
        <v>5.0097000000000003E-2</v>
      </c>
      <c r="H18" s="126">
        <f>Input!$B$34</f>
        <v>5.0097000000000003E-2</v>
      </c>
      <c r="I18" s="126">
        <f>Input!$B$34</f>
        <v>5.0097000000000003E-2</v>
      </c>
      <c r="J18" s="126">
        <f>Input!$B$34</f>
        <v>5.0097000000000003E-2</v>
      </c>
      <c r="K18" s="126">
        <f>Input!$B$34</f>
        <v>5.0097000000000003E-2</v>
      </c>
      <c r="L18" s="126">
        <f>Input!$B$34</f>
        <v>5.0097000000000003E-2</v>
      </c>
      <c r="M18" s="126">
        <f>Input!$B$34</f>
        <v>5.0097000000000003E-2</v>
      </c>
      <c r="N18" s="126">
        <f>Input!$B$34</f>
        <v>5.0097000000000003E-2</v>
      </c>
      <c r="O18" s="126">
        <f>Input!$B$34</f>
        <v>5.0097000000000003E-2</v>
      </c>
      <c r="P18" s="126">
        <f>Input!$B$34</f>
        <v>5.0097000000000003E-2</v>
      </c>
      <c r="Q18" s="126">
        <f>Input!$B$34</f>
        <v>5.0097000000000003E-2</v>
      </c>
      <c r="R18" s="126">
        <f>Input!$B$34</f>
        <v>5.0097000000000003E-2</v>
      </c>
      <c r="S18" s="126">
        <f>Input!$B$34</f>
        <v>5.0097000000000003E-2</v>
      </c>
      <c r="T18" s="126">
        <f>Input!$B$34</f>
        <v>5.0097000000000003E-2</v>
      </c>
      <c r="U18" s="126">
        <f>Input!$B$34</f>
        <v>5.0097000000000003E-2</v>
      </c>
      <c r="V18" s="126">
        <f>Input!$B$34</f>
        <v>5.0097000000000003E-2</v>
      </c>
      <c r="W18" s="126">
        <f>Input!$B$34</f>
        <v>5.0097000000000003E-2</v>
      </c>
      <c r="X18" s="126">
        <f>Input!$B$34</f>
        <v>5.0097000000000003E-2</v>
      </c>
      <c r="Y18" s="126">
        <f>Input!$B$34</f>
        <v>5.0097000000000003E-2</v>
      </c>
      <c r="Z18" s="126">
        <f>Input!$B$34</f>
        <v>5.0097000000000003E-2</v>
      </c>
      <c r="AA18" s="126">
        <f>Input!$B$34</f>
        <v>5.0097000000000003E-2</v>
      </c>
      <c r="AB18" s="126">
        <f>Input!$B$34</f>
        <v>5.0097000000000003E-2</v>
      </c>
      <c r="AC18" s="126">
        <f>Input!$B$34</f>
        <v>5.0097000000000003E-2</v>
      </c>
      <c r="AD18" s="126">
        <f>Input!$B$34</f>
        <v>5.0097000000000003E-2</v>
      </c>
      <c r="AE18" s="126">
        <f>Input!$B$34</f>
        <v>5.0097000000000003E-2</v>
      </c>
      <c r="AF18" s="126">
        <f>Input!$B$34</f>
        <v>5.0097000000000003E-2</v>
      </c>
      <c r="AG18" s="126">
        <f>Input!$B$34</f>
        <v>5.0097000000000003E-2</v>
      </c>
      <c r="AH18" s="126">
        <f>Input!$B$34</f>
        <v>5.0097000000000003E-2</v>
      </c>
      <c r="AI18" s="126">
        <f>Input!$B$34</f>
        <v>5.0097000000000003E-2</v>
      </c>
      <c r="AJ18" s="126">
        <f>Input!$B$34</f>
        <v>5.0097000000000003E-2</v>
      </c>
      <c r="AK18" s="126">
        <f>Input!$B$34</f>
        <v>5.0097000000000003E-2</v>
      </c>
      <c r="AL18" s="126">
        <f>Input!$B$34</f>
        <v>5.0097000000000003E-2</v>
      </c>
    </row>
    <row r="19" spans="1:38">
      <c r="A19" s="24"/>
      <c r="B19" s="24"/>
      <c r="C19" s="24"/>
    </row>
    <row r="20" spans="1:38" s="84" customFormat="1" ht="13">
      <c r="A20" s="130">
        <v>11</v>
      </c>
      <c r="B20" s="131"/>
      <c r="C20" s="131" t="s">
        <v>159</v>
      </c>
      <c r="D20" s="132">
        <f>D16*D18</f>
        <v>1997078.2477280437</v>
      </c>
      <c r="E20" s="132">
        <f>E16*E18</f>
        <v>-863624.56677382567</v>
      </c>
      <c r="F20" s="132">
        <f>F16*F18</f>
        <v>-795606.29731735564</v>
      </c>
      <c r="G20" s="132">
        <f>G16*G18</f>
        <v>-731856.87950880919</v>
      </c>
      <c r="H20" s="132">
        <f t="shared" ref="H20:X20" si="4">H16*H18</f>
        <v>-671791.34844961169</v>
      </c>
      <c r="I20" s="132">
        <f t="shared" si="4"/>
        <v>-615384.43194264849</v>
      </c>
      <c r="J20" s="132">
        <f t="shared" si="4"/>
        <v>-562147.95723363175</v>
      </c>
      <c r="K20" s="132">
        <f t="shared" si="4"/>
        <v>-512060.16215282399</v>
      </c>
      <c r="L20" s="132">
        <f t="shared" si="4"/>
        <v>-490558.81517500064</v>
      </c>
      <c r="M20" s="132">
        <f t="shared" si="4"/>
        <v>-474561.81510034268</v>
      </c>
      <c r="N20" s="132">
        <f t="shared" si="4"/>
        <v>-458750.67725402949</v>
      </c>
      <c r="O20" s="132">
        <f t="shared" si="4"/>
        <v>-459156.85316896834</v>
      </c>
      <c r="P20" s="132">
        <f t="shared" si="4"/>
        <v>-464086.98666238191</v>
      </c>
      <c r="Q20" s="132">
        <f t="shared" si="4"/>
        <v>-459441.22224328428</v>
      </c>
      <c r="R20" s="132">
        <f t="shared" si="4"/>
        <v>-455095.78123219113</v>
      </c>
      <c r="S20" s="132">
        <f t="shared" si="4"/>
        <v>-450663.2175000913</v>
      </c>
      <c r="T20" s="132">
        <f t="shared" si="4"/>
        <v>-446514.61694335722</v>
      </c>
      <c r="U20" s="132">
        <f t="shared" si="4"/>
        <v>-442265.13072274416</v>
      </c>
      <c r="V20" s="132">
        <f t="shared" si="4"/>
        <v>-438285.93717439112</v>
      </c>
      <c r="W20" s="132">
        <f t="shared" si="4"/>
        <v>-434888.46127189125</v>
      </c>
      <c r="X20" s="132">
        <f t="shared" si="4"/>
        <v>-225248.31193266172</v>
      </c>
      <c r="Y20" s="132">
        <f t="shared" ref="Y20:AK20" si="5">Y16*Y18</f>
        <v>-17055.920708749891</v>
      </c>
      <c r="Z20" s="132">
        <f t="shared" si="5"/>
        <v>-16970.941099001444</v>
      </c>
      <c r="AA20" s="132">
        <f t="shared" si="5"/>
        <v>-16890.95270129968</v>
      </c>
      <c r="AB20" s="132">
        <f t="shared" si="5"/>
        <v>-16805.97309155123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'Total Rev Req'!B28</f>
        <v>23695515.47459748</v>
      </c>
      <c r="E22" s="124">
        <f>'Total Rev Req'!C28</f>
        <v>22634130.517810691</v>
      </c>
      <c r="F22" s="124">
        <f>'Total Rev Req'!D28</f>
        <v>21595382.700071733</v>
      </c>
      <c r="G22" s="124">
        <f>'Total Rev Req'!E28</f>
        <v>20577517.851934094</v>
      </c>
      <c r="H22" s="124">
        <f>'Total Rev Req'!F28</f>
        <v>19579032.399586469</v>
      </c>
      <c r="I22" s="124">
        <f>'Total Rev Req'!G28</f>
        <v>18598422.769217569</v>
      </c>
      <c r="J22" s="124">
        <f>'Total Rev Req'!H28</f>
        <v>17634394.216712117</v>
      </c>
      <c r="K22" s="124">
        <f>'Total Rev Req'!I28</f>
        <v>16685651.997954827</v>
      </c>
      <c r="L22" s="124">
        <f>'Total Rev Req'!J28</f>
        <v>15739415.735549701</v>
      </c>
      <c r="M22" s="124">
        <f>'Total Rev Req'!K28</f>
        <v>14793221.239083771</v>
      </c>
      <c r="N22" s="124">
        <f>'Total Rev Req'!L28</f>
        <v>13846984.976678638</v>
      </c>
      <c r="O22" s="124">
        <f>'Total Rev Req'!M28</f>
        <v>13736366.128165454</v>
      </c>
      <c r="P22" s="124">
        <f>'Total Rev Req'!N28</f>
        <v>1794784.4046524707</v>
      </c>
      <c r="Q22" s="124">
        <f>'Total Rev Req'!O28</f>
        <v>1602234.4657220433</v>
      </c>
      <c r="R22" s="124">
        <f>'Total Rev Req'!P28</f>
        <v>1410200.1548099327</v>
      </c>
      <c r="S22" s="124">
        <f>'Total Rev Req'!Q28</f>
        <v>1218724.3494566069</v>
      </c>
      <c r="T22" s="124">
        <f>'Total Rev Req'!R28</f>
        <v>1027683.9463772506</v>
      </c>
      <c r="U22" s="124">
        <f>'Total Rev Req'!S28</f>
        <v>837127.39434457687</v>
      </c>
      <c r="V22" s="124">
        <f>'Total Rev Req'!T28</f>
        <v>646937.16130601813</v>
      </c>
      <c r="W22" s="124">
        <f>'Total Rev Req'!U28</f>
        <v>456855.2782607362</v>
      </c>
      <c r="X22" s="124">
        <f>'Total Rev Req'!V28</f>
        <v>359308.81955304986</v>
      </c>
      <c r="Y22" s="124">
        <f>'Total Rev Req'!W28</f>
        <v>354337.05189638131</v>
      </c>
      <c r="Z22" s="124">
        <f>'Total Rev Req'!X28</f>
        <v>349366.39848616201</v>
      </c>
      <c r="AA22" s="124">
        <f>'Total Rev Req'!Y28</f>
        <v>344394.63082949346</v>
      </c>
      <c r="AB22" s="124">
        <f>'Total Rev Req'!Z28</f>
        <v>339423.97741927404</v>
      </c>
      <c r="AC22" s="124">
        <f>'Total Rev Req'!AA28</f>
        <v>0</v>
      </c>
      <c r="AD22" s="124">
        <f>'Total Rev Req'!AB28</f>
        <v>0</v>
      </c>
      <c r="AE22" s="124">
        <f>'Total Rev Req'!AC28</f>
        <v>0</v>
      </c>
      <c r="AF22" s="124">
        <f>'Total Rev Req'!AD28</f>
        <v>0</v>
      </c>
      <c r="AG22" s="124">
        <f>'Total Rev Req'!AE28</f>
        <v>0</v>
      </c>
      <c r="AH22" s="124">
        <f>'Total Rev Req'!AF28</f>
        <v>0</v>
      </c>
      <c r="AI22" s="124">
        <f>'Total Rev Req'!AG28</f>
        <v>0</v>
      </c>
      <c r="AJ22" s="124">
        <f>'Total Rev Req'!AH28</f>
        <v>0</v>
      </c>
      <c r="AK22" s="124">
        <f>'Total Rev Req'!AI28</f>
        <v>0</v>
      </c>
      <c r="AL22" s="124">
        <f>'Total Rev Req'!AJ28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8275439.6594896689</v>
      </c>
      <c r="E24" s="127">
        <f t="shared" si="6"/>
        <v>7570160.8379788548</v>
      </c>
      <c r="F24" s="127">
        <f t="shared" si="6"/>
        <v>6879924.1504722461</v>
      </c>
      <c r="G24" s="127">
        <f t="shared" si="6"/>
        <v>6203563.9703495838</v>
      </c>
      <c r="H24" s="127">
        <f t="shared" si="6"/>
        <v>5540081.1890792195</v>
      </c>
      <c r="I24" s="127">
        <f t="shared" si="6"/>
        <v>4888476.6981295124</v>
      </c>
      <c r="J24" s="127">
        <f t="shared" si="6"/>
        <v>4247890.1540426631</v>
      </c>
      <c r="K24" s="127">
        <f t="shared" si="6"/>
        <v>3617461.2133608609</v>
      </c>
      <c r="L24" s="127">
        <f t="shared" si="6"/>
        <v>2988697.4535651393</v>
      </c>
      <c r="M24" s="127">
        <f t="shared" si="6"/>
        <v>2359961.4467841797</v>
      </c>
      <c r="N24" s="127">
        <f t="shared" si="6"/>
        <v>1731197.6869884487</v>
      </c>
      <c r="O24" s="127">
        <f t="shared" si="6"/>
        <v>1381442.3526208457</v>
      </c>
      <c r="P24" s="127">
        <f t="shared" si="6"/>
        <v>1200344.241370002</v>
      </c>
      <c r="Q24" s="127">
        <f t="shared" si="6"/>
        <v>1071567.6541809477</v>
      </c>
      <c r="R24" s="127">
        <f t="shared" si="6"/>
        <v>943135.91683618142</v>
      </c>
      <c r="S24" s="127">
        <f t="shared" si="6"/>
        <v>815077.70565395779</v>
      </c>
      <c r="T24" s="127">
        <f t="shared" si="6"/>
        <v>687310.68967650807</v>
      </c>
      <c r="U24" s="127">
        <f t="shared" si="6"/>
        <v>559867.27123871911</v>
      </c>
      <c r="V24" s="127">
        <f t="shared" si="6"/>
        <v>432668.8453994561</v>
      </c>
      <c r="W24" s="127">
        <f t="shared" si="6"/>
        <v>305542.88357879396</v>
      </c>
      <c r="X24" s="127">
        <f t="shared" si="6"/>
        <v>240304.22334066877</v>
      </c>
      <c r="Y24" s="127">
        <f t="shared" ref="Y24:AK24" si="7">Y22+Y11</f>
        <v>236979.12609743344</v>
      </c>
      <c r="Z24" s="127">
        <f t="shared" si="7"/>
        <v>233654.77405752469</v>
      </c>
      <c r="AA24" s="127">
        <f t="shared" si="7"/>
        <v>230329.67681428936</v>
      </c>
      <c r="AB24" s="127">
        <f t="shared" si="7"/>
        <v>227005.32477438048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63559743.826156333</v>
      </c>
      <c r="E26" s="127">
        <f t="shared" si="8"/>
        <v>5395082.9346455187</v>
      </c>
      <c r="F26" s="127">
        <f t="shared" si="8"/>
        <v>5714066.5071389116</v>
      </c>
      <c r="G26" s="127">
        <f t="shared" si="8"/>
        <v>5968721.3270162512</v>
      </c>
      <c r="H26" s="127">
        <f t="shared" si="8"/>
        <v>6169220.4657458868</v>
      </c>
      <c r="I26" s="127">
        <f t="shared" si="8"/>
        <v>6314564.8147961777</v>
      </c>
      <c r="J26" s="127">
        <f t="shared" si="8"/>
        <v>6413204.1807093285</v>
      </c>
      <c r="K26" s="127">
        <f t="shared" si="8"/>
        <v>6464278.2200275268</v>
      </c>
      <c r="L26" s="127">
        <f t="shared" si="8"/>
        <v>5947236.260231806</v>
      </c>
      <c r="M26" s="127">
        <f t="shared" si="8"/>
        <v>5320362.2834508456</v>
      </c>
      <c r="N26" s="127">
        <f t="shared" si="8"/>
        <v>4689736.4936551135</v>
      </c>
      <c r="O26" s="127">
        <f t="shared" si="8"/>
        <v>4571009.8559541777</v>
      </c>
      <c r="P26" s="127">
        <f t="shared" si="8"/>
        <v>-7468983.6186299995</v>
      </c>
      <c r="Q26" s="127">
        <f t="shared" si="8"/>
        <v>-7568798.1758190524</v>
      </c>
      <c r="R26" s="127">
        <f t="shared" si="8"/>
        <v>-7674091.9431638196</v>
      </c>
      <c r="S26" s="127">
        <f t="shared" si="8"/>
        <v>-7777088.1243460421</v>
      </c>
      <c r="T26" s="127">
        <f t="shared" si="8"/>
        <v>-7885317.1703234939</v>
      </c>
      <c r="U26" s="127">
        <f t="shared" si="8"/>
        <v>-7991048.558761281</v>
      </c>
      <c r="V26" s="127">
        <f t="shared" si="8"/>
        <v>-8101809.0146005452</v>
      </c>
      <c r="W26" s="127">
        <f t="shared" si="8"/>
        <v>-8224072.946421206</v>
      </c>
      <c r="X26" s="127">
        <f t="shared" si="8"/>
        <v>-4136934.7066593324</v>
      </c>
      <c r="Y26" s="127">
        <f t="shared" ref="Y26:AK26" si="9">Y16+Y22</f>
        <v>13879.126097433444</v>
      </c>
      <c r="Z26" s="127">
        <f t="shared" si="9"/>
        <v>10604.774057524686</v>
      </c>
      <c r="AA26" s="127">
        <f t="shared" si="9"/>
        <v>7229.6768142893561</v>
      </c>
      <c r="AB26" s="127">
        <f t="shared" si="9"/>
        <v>3955.3247743805405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 ht="13">
      <c r="A28" s="130">
        <v>15</v>
      </c>
      <c r="B28" s="131"/>
      <c r="C28" s="131" t="s">
        <v>190</v>
      </c>
      <c r="D28" s="132">
        <f t="shared" ref="D28:X28" si="10">D18*D26</f>
        <v>3184152.4864589539</v>
      </c>
      <c r="E28" s="132">
        <f t="shared" si="10"/>
        <v>270277.46977693657</v>
      </c>
      <c r="F28" s="132">
        <f t="shared" si="10"/>
        <v>286257.58980813809</v>
      </c>
      <c r="G28" s="132">
        <f t="shared" si="10"/>
        <v>299015.03231953317</v>
      </c>
      <c r="H28" s="132">
        <f t="shared" si="10"/>
        <v>309059.43767247169</v>
      </c>
      <c r="I28" s="132">
        <f t="shared" si="10"/>
        <v>316340.75352684414</v>
      </c>
      <c r="J28" s="132">
        <f t="shared" si="10"/>
        <v>321282.28984099528</v>
      </c>
      <c r="K28" s="132">
        <f t="shared" si="10"/>
        <v>323840.945988719</v>
      </c>
      <c r="L28" s="132">
        <f t="shared" si="10"/>
        <v>297938.69492883282</v>
      </c>
      <c r="M28" s="132">
        <f t="shared" si="10"/>
        <v>266534.18931403704</v>
      </c>
      <c r="N28" s="132">
        <f t="shared" si="10"/>
        <v>234941.72912264024</v>
      </c>
      <c r="O28" s="132">
        <f t="shared" si="10"/>
        <v>228993.88075373645</v>
      </c>
      <c r="P28" s="132">
        <f t="shared" si="10"/>
        <v>-374173.67234250711</v>
      </c>
      <c r="Q28" s="132">
        <f t="shared" si="10"/>
        <v>-379174.0822140071</v>
      </c>
      <c r="R28" s="132">
        <f t="shared" si="10"/>
        <v>-384448.98407667788</v>
      </c>
      <c r="S28" s="132">
        <f t="shared" si="10"/>
        <v>-389608.78376536368</v>
      </c>
      <c r="T28" s="132">
        <f t="shared" si="10"/>
        <v>-395030.73428169609</v>
      </c>
      <c r="U28" s="132">
        <f t="shared" si="10"/>
        <v>-400327.55964826391</v>
      </c>
      <c r="V28" s="132">
        <f t="shared" si="10"/>
        <v>-405876.32620444353</v>
      </c>
      <c r="W28" s="132">
        <f t="shared" si="10"/>
        <v>-412001.38239686319</v>
      </c>
      <c r="X28" s="132">
        <f t="shared" si="10"/>
        <v>-207248.01799951258</v>
      </c>
      <c r="Y28" s="132">
        <f t="shared" ref="Y28:AK28" si="11">Y18*Y26</f>
        <v>695.30258010312332</v>
      </c>
      <c r="Z28" s="132">
        <f t="shared" si="11"/>
        <v>531.26736595981424</v>
      </c>
      <c r="AA28" s="132">
        <f t="shared" si="11"/>
        <v>362.18511936545389</v>
      </c>
      <c r="AB28" s="132">
        <f t="shared" si="11"/>
        <v>198.14990522214194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Exhibit NMC-R8
Page &amp;P of &amp;N</oddHead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Props1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F76639B2-EAF3-49C6-A277-2AE0856F1133}">
  <ds:schemaRefs>
    <ds:schemaRef ds:uri="http://www.w3.org/XML/1998/namespace"/>
    <ds:schemaRef ds:uri="http://purl.org/dc/terms/"/>
    <ds:schemaRef ds:uri="http://schemas.openxmlformats.org/package/2006/metadata/core-properties"/>
    <ds:schemaRef ds:uri="http://purl.org/dc/dcmitype/"/>
    <ds:schemaRef ds:uri="http://purl.org/dc/elements/1.1/"/>
    <ds:schemaRef ds:uri="f88ffb1c-9230-4705-a789-27bae69f5829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b6888f76-1100-40b0-929b-1efe9044426d"/>
  </ds:schemaRefs>
</ds:datastoreItem>
</file>

<file path=customXml/itemProps3.xml><?xml version="1.0" encoding="utf-8"?>
<ds:datastoreItem xmlns:ds="http://schemas.openxmlformats.org/officeDocument/2006/customXml" ds:itemID="{FAE70EDC-EE5B-43D0-B5E7-77663F1510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CBB10A0-7787-4066-A248-68D7ED78DCCE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FB76EEA8-A8AD-4E42-A9E2-E3205547350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Input</vt:lpstr>
      <vt:lpstr>Cash Flow of U2</vt:lpstr>
      <vt:lpstr>GRCF</vt:lpstr>
      <vt:lpstr>Allocators</vt:lpstr>
      <vt:lpstr>CAP Structure</vt:lpstr>
      <vt:lpstr>Rate Base - coal</vt:lpstr>
      <vt:lpstr>Total Rev Req</vt:lpstr>
      <vt:lpstr>50%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'Rate Base - coal'!Print_Area</vt:lpstr>
      <vt:lpstr>'Total Rev Req'!Print_Area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Nicole M Coon</cp:lastModifiedBy>
  <cp:lastPrinted>2018-07-05T12:53:07Z</cp:lastPrinted>
  <dcterms:created xsi:type="dcterms:W3CDTF">2010-08-13T18:09:08Z</dcterms:created>
  <dcterms:modified xsi:type="dcterms:W3CDTF">2026-06-09T19:51:22Z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40b2881a-ec07-4b3e-936f-bee0fcad6f2e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  <property fmtid="{D5CDD505-2E9C-101B-9397-08002B2CF9AE}" pid="16" name="MediaServiceImageTags">
    <vt:lpwstr/>
  </property>
</Properties>
</file>