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7_Testimony\02_Rebuttal\Coon\"/>
    </mc:Choice>
  </mc:AlternateContent>
  <xr:revisionPtr revIDLastSave="0" documentId="13_ncr:1_{6736EA72-4630-4EA2-9EB0-20B5E2331230}" xr6:coauthVersionLast="47" xr6:coauthVersionMax="47" xr10:uidLastSave="{00000000-0000-0000-0000-000000000000}"/>
  <bookViews>
    <workbookView xWindow="-57720" yWindow="-720" windowWidth="29040" windowHeight="157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Req'!$A$2:$V$25</definedName>
    <definedName name="_xlnm.Print_Area" localSheetId="6">'Rate Base - coal'!$A$1:$W$73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coal'!$A$1:$M$72</definedName>
    <definedName name="Z_B2261136_1BD6_4EB8_80BC_AC5217B292C2_.wvu.PrintTitles" localSheetId="6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52" l="1"/>
  <c r="N41" i="25"/>
  <c r="O41" i="25"/>
  <c r="P41" i="25"/>
  <c r="Q4" i="48" s="1"/>
  <c r="Q41" i="25"/>
  <c r="R4" i="48" s="1"/>
  <c r="R41" i="25"/>
  <c r="S41" i="25"/>
  <c r="T41" i="25"/>
  <c r="U41" i="25"/>
  <c r="V41" i="25"/>
  <c r="W41" i="25"/>
  <c r="X41" i="25"/>
  <c r="Y41" i="25"/>
  <c r="Z4" i="48" s="1"/>
  <c r="Z41" i="25"/>
  <c r="O4" i="48"/>
  <c r="P4" i="48"/>
  <c r="S4" i="48"/>
  <c r="T4" i="48"/>
  <c r="U4" i="48"/>
  <c r="V4" i="48"/>
  <c r="W4" i="48"/>
  <c r="X4" i="48"/>
  <c r="Y4" i="48"/>
  <c r="AA4" i="48"/>
  <c r="D29" i="48"/>
  <c r="E29" i="48"/>
  <c r="F29" i="48"/>
  <c r="G29" i="48"/>
  <c r="H29" i="48"/>
  <c r="I29" i="48"/>
  <c r="J29" i="48"/>
  <c r="K29" i="48"/>
  <c r="L29" i="48"/>
  <c r="M29" i="48"/>
  <c r="N29" i="48"/>
  <c r="O29" i="48"/>
  <c r="P29" i="48"/>
  <c r="Q29" i="48"/>
  <c r="R29" i="48"/>
  <c r="S29" i="48"/>
  <c r="T29" i="48"/>
  <c r="U29" i="48"/>
  <c r="V29" i="48"/>
  <c r="W29" i="48"/>
  <c r="X29" i="48"/>
  <c r="Y29" i="48"/>
  <c r="Z29" i="48"/>
  <c r="AA29" i="48"/>
  <c r="E17" i="25" l="1"/>
  <c r="E16" i="25"/>
  <c r="E15" i="25"/>
  <c r="E14" i="25"/>
  <c r="E12" i="25"/>
  <c r="E33" i="43"/>
  <c r="E34" i="43" s="1"/>
  <c r="A33" i="43"/>
  <c r="A34" i="43" s="1"/>
  <c r="A35" i="43" s="1"/>
  <c r="A36" i="43" s="1"/>
  <c r="A37" i="43" s="1"/>
  <c r="A38" i="43" s="1"/>
  <c r="A39" i="43" s="1"/>
  <c r="A40" i="43" s="1"/>
  <c r="A41" i="43" s="1"/>
  <c r="N6" i="9"/>
  <c r="O6" i="9"/>
  <c r="P6" i="9"/>
  <c r="Q6" i="9"/>
  <c r="R6" i="9"/>
  <c r="S6" i="9"/>
  <c r="T6" i="9"/>
  <c r="U6" i="9"/>
  <c r="V6" i="9"/>
  <c r="W6" i="9"/>
  <c r="X6" i="9"/>
  <c r="Y6" i="9"/>
  <c r="Z6" i="9"/>
  <c r="N7" i="9"/>
  <c r="O7" i="9"/>
  <c r="P7" i="9"/>
  <c r="Q7" i="9"/>
  <c r="R7" i="9"/>
  <c r="S7" i="9"/>
  <c r="T7" i="9"/>
  <c r="U7" i="9"/>
  <c r="V7" i="9"/>
  <c r="W7" i="9"/>
  <c r="X7" i="9"/>
  <c r="Y7" i="9"/>
  <c r="Z7" i="9"/>
  <c r="N9" i="9"/>
  <c r="O9" i="9"/>
  <c r="P9" i="9"/>
  <c r="Q9" i="9"/>
  <c r="R9" i="9"/>
  <c r="S9" i="9"/>
  <c r="T9" i="9"/>
  <c r="U9" i="9"/>
  <c r="V9" i="9"/>
  <c r="W9" i="9"/>
  <c r="X9" i="9"/>
  <c r="Y9" i="9"/>
  <c r="Z9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N12" i="9"/>
  <c r="O12" i="9"/>
  <c r="P12" i="9"/>
  <c r="Q12" i="9"/>
  <c r="R12" i="9"/>
  <c r="S12" i="9"/>
  <c r="T12" i="9"/>
  <c r="U12" i="9"/>
  <c r="V12" i="9"/>
  <c r="W12" i="9"/>
  <c r="X12" i="9"/>
  <c r="Y12" i="9"/>
  <c r="Z12" i="9"/>
  <c r="C6" i="52" l="1"/>
  <c r="U13" i="9"/>
  <c r="R13" i="9"/>
  <c r="S13" i="9"/>
  <c r="W13" i="9"/>
  <c r="Q13" i="9"/>
  <c r="P13" i="9"/>
  <c r="T13" i="9"/>
  <c r="V13" i="9"/>
  <c r="O13" i="9"/>
  <c r="Z13" i="9"/>
  <c r="N13" i="9"/>
  <c r="Y13" i="9"/>
  <c r="X13" i="9"/>
  <c r="E35" i="43"/>
  <c r="E36" i="43"/>
  <c r="E37" i="43" l="1"/>
  <c r="E38" i="43" s="1"/>
  <c r="M7" i="9"/>
  <c r="M9" i="9"/>
  <c r="M10" i="9"/>
  <c r="M11" i="9"/>
  <c r="M12" i="9"/>
  <c r="B38" i="25"/>
  <c r="C38" i="25" s="1"/>
  <c r="D38" i="25" s="1"/>
  <c r="E38" i="25" s="1"/>
  <c r="F38" i="25" s="1"/>
  <c r="G38" i="25" s="1"/>
  <c r="H38" i="25" s="1"/>
  <c r="I38" i="25" s="1"/>
  <c r="J38" i="25" s="1"/>
  <c r="K38" i="25" s="1"/>
  <c r="L38" i="25" s="1"/>
  <c r="M38" i="25" s="1"/>
  <c r="N38" i="25" s="1"/>
  <c r="O38" i="25" s="1"/>
  <c r="P38" i="25" s="1"/>
  <c r="Q38" i="25" s="1"/>
  <c r="R38" i="25" s="1"/>
  <c r="S38" i="25" s="1"/>
  <c r="T38" i="25" s="1"/>
  <c r="U38" i="25" s="1"/>
  <c r="V38" i="25" s="1"/>
  <c r="W38" i="25" s="1"/>
  <c r="X38" i="25" s="1"/>
  <c r="Y38" i="25" s="1"/>
  <c r="Z38" i="25" s="1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E40" i="43" l="1"/>
  <c r="E41" i="43" s="1"/>
  <c r="E39" i="43"/>
  <c r="U52" i="9"/>
  <c r="V52" i="9"/>
  <c r="X52" i="9"/>
  <c r="W52" i="9"/>
  <c r="T52" i="9"/>
  <c r="N52" i="9"/>
  <c r="Q52" i="9"/>
  <c r="S52" i="9"/>
  <c r="O52" i="9"/>
  <c r="P52" i="9"/>
  <c r="Y52" i="9"/>
  <c r="Z52" i="9"/>
  <c r="R52" i="9" l="1"/>
  <c r="G6" i="52" l="1"/>
  <c r="F6" i="52"/>
  <c r="E6" i="52"/>
  <c r="D4" i="52"/>
  <c r="H4" i="52" l="1"/>
  <c r="D6" i="52"/>
  <c r="C26" i="48"/>
  <c r="B10" i="25"/>
  <c r="C30" i="48" l="1"/>
  <c r="F30" i="48"/>
  <c r="R30" i="48"/>
  <c r="G30" i="48"/>
  <c r="S30" i="48"/>
  <c r="H30" i="48"/>
  <c r="T30" i="48"/>
  <c r="I30" i="48"/>
  <c r="U30" i="48"/>
  <c r="J30" i="48"/>
  <c r="V30" i="48"/>
  <c r="K30" i="48"/>
  <c r="W30" i="48"/>
  <c r="L30" i="48"/>
  <c r="X30" i="48"/>
  <c r="M30" i="48"/>
  <c r="Y30" i="48"/>
  <c r="N30" i="48"/>
  <c r="Z30" i="48"/>
  <c r="O30" i="48"/>
  <c r="AA30" i="48"/>
  <c r="D30" i="48"/>
  <c r="P30" i="48"/>
  <c r="C29" i="48"/>
  <c r="E30" i="48"/>
  <c r="Q30" i="48"/>
  <c r="C41" i="25" l="1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 s="1"/>
  <c r="M13" i="9" s="1"/>
  <c r="M52" i="9" l="1"/>
  <c r="C53" i="25"/>
  <c r="E53" i="25"/>
  <c r="D53" i="25"/>
  <c r="F53" i="25" l="1"/>
  <c r="G53" i="25" l="1"/>
  <c r="A10" i="9"/>
  <c r="H53" i="25" l="1"/>
  <c r="D16" i="26"/>
  <c r="D14" i="26"/>
  <c r="D12" i="26"/>
  <c r="I53" i="25" l="1"/>
  <c r="F16" i="26"/>
  <c r="H16" i="26" s="1"/>
  <c r="F14" i="26"/>
  <c r="H14" i="26" s="1"/>
  <c r="D18" i="26"/>
  <c r="J53" i="25" l="1"/>
  <c r="F12" i="26"/>
  <c r="K53" i="25" l="1"/>
  <c r="F18" i="26"/>
  <c r="H12" i="26"/>
  <c r="H18" i="26" s="1"/>
  <c r="S21" i="9" l="1"/>
  <c r="T21" i="9"/>
  <c r="M21" i="9"/>
  <c r="N21" i="9"/>
  <c r="O21" i="9"/>
  <c r="U21" i="9"/>
  <c r="X21" i="9"/>
  <c r="Y21" i="9"/>
  <c r="Q21" i="9"/>
  <c r="V21" i="9"/>
  <c r="Z21" i="9"/>
  <c r="W21" i="9"/>
  <c r="R21" i="9"/>
  <c r="P21" i="9"/>
  <c r="M53" i="25"/>
  <c r="L53" i="25"/>
  <c r="E6" i="25" l="1"/>
  <c r="J25" i="48" l="1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 s="1"/>
  <c r="AK2" i="28"/>
  <c r="AK1" i="27" s="1"/>
  <c r="AL2" i="28"/>
  <c r="AL1" i="27" s="1"/>
  <c r="Y2" i="28"/>
  <c r="Y1" i="27" s="1"/>
  <c r="Z2" i="28"/>
  <c r="Z1" i="27" s="1"/>
  <c r="AA2" i="28"/>
  <c r="AA1" i="27" s="1"/>
  <c r="AB2" i="28"/>
  <c r="AB1" i="27" s="1"/>
  <c r="AC2" i="28"/>
  <c r="AC1" i="27" s="1"/>
  <c r="AD2" i="28"/>
  <c r="AD1" i="27" s="1"/>
  <c r="AE2" i="28"/>
  <c r="AE1" i="27" s="1"/>
  <c r="AF2" i="28"/>
  <c r="AF1" i="27" s="1"/>
  <c r="AG2" i="28"/>
  <c r="AG1" i="27" s="1"/>
  <c r="AH2" i="28"/>
  <c r="AH1" i="27" s="1"/>
  <c r="AI2" i="28"/>
  <c r="AI1" i="27" s="1"/>
  <c r="AL6" i="28" l="1"/>
  <c r="AK6" i="28"/>
  <c r="AJ6" i="27"/>
  <c r="AI6" i="27"/>
  <c r="AH6" i="28"/>
  <c r="AL6" i="27" l="1"/>
  <c r="AI6" i="28"/>
  <c r="AK6" i="27"/>
  <c r="AJ6" i="28"/>
  <c r="AH6" i="27"/>
  <c r="B34" i="25" l="1"/>
  <c r="E40" i="44"/>
  <c r="A36" i="44"/>
  <c r="D14" i="43"/>
  <c r="A11" i="43"/>
  <c r="A12" i="43" s="1"/>
  <c r="A14" i="43" s="1"/>
  <c r="A16" i="43" s="1"/>
  <c r="A19" i="43" s="1"/>
  <c r="A21" i="43" s="1"/>
  <c r="A23" i="43" s="1"/>
  <c r="A25" i="43" s="1"/>
  <c r="D7" i="43"/>
  <c r="AF18" i="28" l="1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E13" i="25"/>
  <c r="D16" i="43"/>
  <c r="D19" i="43" s="1"/>
  <c r="AH5" i="45" l="1" a="1"/>
  <c r="AH5" i="45" s="1"/>
  <c r="AB6" i="45" a="1"/>
  <c r="AB6" i="45" s="1"/>
  <c r="V8" i="45" a="1"/>
  <c r="V8" i="45" s="1"/>
  <c r="AD8" i="45" a="1"/>
  <c r="AD8" i="45" s="1"/>
  <c r="W9" i="45" a="1"/>
  <c r="W9" i="45" s="1"/>
  <c r="AE9" i="45" a="1"/>
  <c r="AE9" i="45" s="1"/>
  <c r="X10" i="45" a="1"/>
  <c r="X10" i="45" s="1"/>
  <c r="AF10" i="45" a="1"/>
  <c r="AF10" i="45" s="1"/>
  <c r="Z11" i="45" a="1"/>
  <c r="Z11" i="45" s="1"/>
  <c r="AJ11" i="45" a="1"/>
  <c r="AJ11" i="45" s="1"/>
  <c r="AG6" i="45" a="1"/>
  <c r="AG6" i="45" s="1"/>
  <c r="AH8" i="45" a="1"/>
  <c r="AH8" i="45" s="1"/>
  <c r="AI9" i="45" a="1"/>
  <c r="AI9" i="45" s="1"/>
  <c r="V11" i="45" a="1"/>
  <c r="V11" i="45" s="1"/>
  <c r="AJ12" i="45" a="1"/>
  <c r="AJ12" i="45" s="1"/>
  <c r="AJ39" i="45" s="1"/>
  <c r="AH6" i="45" a="1"/>
  <c r="AH6" i="45" s="1"/>
  <c r="AB9" i="45" a="1"/>
  <c r="AB9" i="45" s="1"/>
  <c r="AC10" i="45" a="1"/>
  <c r="AC10" i="45" s="1"/>
  <c r="AF11" i="45" a="1"/>
  <c r="AF11" i="45" s="1"/>
  <c r="AF5" i="45" a="1"/>
  <c r="AF5" i="45" s="1"/>
  <c r="AB8" i="45" a="1"/>
  <c r="AB8" i="45" s="1"/>
  <c r="AC9" i="45" a="1"/>
  <c r="AC9" i="45" s="1"/>
  <c r="X11" i="45" a="1"/>
  <c r="X11" i="45" s="1"/>
  <c r="AG5" i="45" a="1"/>
  <c r="AG5" i="45" s="1"/>
  <c r="AJ6" i="45" a="1"/>
  <c r="AJ6" i="45" s="1"/>
  <c r="V9" i="45" a="1"/>
  <c r="V9" i="45" s="1"/>
  <c r="W10" i="45" a="1"/>
  <c r="W10" i="45" s="1"/>
  <c r="Y11" i="45" a="1"/>
  <c r="Y11" i="45" s="1"/>
  <c r="AI5" i="45" a="1"/>
  <c r="AI5" i="45" s="1"/>
  <c r="AC6" i="45" a="1"/>
  <c r="AC6" i="45" s="1"/>
  <c r="W8" i="45" a="1"/>
  <c r="W8" i="45" s="1"/>
  <c r="AE8" i="45" a="1"/>
  <c r="AE8" i="45" s="1"/>
  <c r="X9" i="45" a="1"/>
  <c r="X9" i="45" s="1"/>
  <c r="AF9" i="45" a="1"/>
  <c r="AF9" i="45" s="1"/>
  <c r="AG10" i="45" a="1"/>
  <c r="AG10" i="45" s="1"/>
  <c r="AB11" i="45" a="1"/>
  <c r="AB11" i="45" s="1"/>
  <c r="AJ5" i="45" a="1"/>
  <c r="AJ5" i="45" s="1"/>
  <c r="AD6" i="45" a="1"/>
  <c r="AD6" i="45" s="1"/>
  <c r="X8" i="45" a="1"/>
  <c r="X8" i="45" s="1"/>
  <c r="AF8" i="45" a="1"/>
  <c r="AF8" i="45" s="1"/>
  <c r="Y9" i="45" a="1"/>
  <c r="Y9" i="45" s="1"/>
  <c r="AG9" i="45" a="1"/>
  <c r="AG9" i="45" s="1"/>
  <c r="Y10" i="45" a="1"/>
  <c r="Y10" i="45" s="1"/>
  <c r="AI10" i="45" a="1"/>
  <c r="AI10" i="45" s="1"/>
  <c r="AC11" i="45" a="1"/>
  <c r="AC11" i="45" s="1"/>
  <c r="V6" i="45" a="1"/>
  <c r="V6" i="45" s="1"/>
  <c r="AF6" i="45" a="1"/>
  <c r="AF6" i="45" s="1"/>
  <c r="Y8" i="45" a="1"/>
  <c r="Y8" i="45" s="1"/>
  <c r="AG8" i="45" a="1"/>
  <c r="AG8" i="45" s="1"/>
  <c r="Z9" i="45" a="1"/>
  <c r="Z9" i="45" s="1"/>
  <c r="AH9" i="45" a="1"/>
  <c r="AH9" i="45" s="1"/>
  <c r="AA10" i="45" a="1"/>
  <c r="AA10" i="45" s="1"/>
  <c r="AJ10" i="45" a="1"/>
  <c r="AJ10" i="45" s="1"/>
  <c r="AD11" i="45" a="1"/>
  <c r="AD11" i="45" s="1"/>
  <c r="AH12" i="45" a="1"/>
  <c r="AH12" i="45" s="1"/>
  <c r="AH39" i="45" s="1"/>
  <c r="X6" i="45" a="1"/>
  <c r="X6" i="45" s="1"/>
  <c r="Z8" i="45" a="1"/>
  <c r="Z8" i="45" s="1"/>
  <c r="AA9" i="45" a="1"/>
  <c r="AA9" i="45" s="1"/>
  <c r="AB10" i="45" a="1"/>
  <c r="AB10" i="45" s="1"/>
  <c r="AE11" i="45" a="1"/>
  <c r="AE11" i="45" s="1"/>
  <c r="Y6" i="45" a="1"/>
  <c r="Y6" i="45" s="1"/>
  <c r="AA8" i="45" a="1"/>
  <c r="AA8" i="45" s="1"/>
  <c r="AI8" i="45" a="1"/>
  <c r="AI8" i="45" s="1"/>
  <c r="AJ9" i="45" a="1"/>
  <c r="AJ9" i="45" s="1"/>
  <c r="W11" i="45" a="1"/>
  <c r="W11" i="45" s="1"/>
  <c r="Z6" i="45" a="1"/>
  <c r="Z6" i="45" s="1"/>
  <c r="AI6" i="45" a="1"/>
  <c r="AI6" i="45" s="1"/>
  <c r="AJ8" i="45" a="1"/>
  <c r="AJ8" i="45" s="1"/>
  <c r="V10" i="45" a="1"/>
  <c r="V10" i="45" s="1"/>
  <c r="AD10" i="45" a="1"/>
  <c r="AD10" i="45" s="1"/>
  <c r="AG11" i="45" a="1"/>
  <c r="AG11" i="45" s="1"/>
  <c r="AA6" i="45" a="1"/>
  <c r="AA6" i="45" s="1"/>
  <c r="AC8" i="45" a="1"/>
  <c r="AC8" i="45" s="1"/>
  <c r="AD9" i="45" a="1"/>
  <c r="AD9" i="45" s="1"/>
  <c r="AE10" i="45" a="1"/>
  <c r="AE10" i="45" s="1"/>
  <c r="AH11" i="45" a="1"/>
  <c r="AH11" i="45" s="1"/>
  <c r="AA11" i="45" a="1"/>
  <c r="AA11" i="45" s="1"/>
  <c r="AI12" i="45" a="1"/>
  <c r="AI12" i="45" s="1"/>
  <c r="AI39" i="45" s="1"/>
  <c r="AI11" i="45" a="1"/>
  <c r="AI11" i="45" s="1"/>
  <c r="W6" i="45" a="1"/>
  <c r="W6" i="45" s="1"/>
  <c r="AH10" i="45" a="1"/>
  <c r="AH10" i="45" s="1"/>
  <c r="AF12" i="45" a="1"/>
  <c r="AF12" i="45" s="1"/>
  <c r="AF39" i="45" s="1"/>
  <c r="AG12" i="45" a="1"/>
  <c r="AG12" i="45" s="1"/>
  <c r="AG39" i="45" s="1"/>
  <c r="AE6" i="45" a="1"/>
  <c r="AE6" i="45" s="1"/>
  <c r="Z10" i="45" a="1"/>
  <c r="Z10" i="45" s="1"/>
  <c r="D21" i="43"/>
  <c r="D23" i="43" s="1"/>
  <c r="D25" i="43" s="1"/>
  <c r="R27" i="9" l="1"/>
  <c r="Z27" i="9"/>
  <c r="Q27" i="9"/>
  <c r="S27" i="9"/>
  <c r="T27" i="9"/>
  <c r="X27" i="9"/>
  <c r="M27" i="9"/>
  <c r="P27" i="9"/>
  <c r="U27" i="9"/>
  <c r="Y27" i="9"/>
  <c r="N27" i="9"/>
  <c r="V27" i="9"/>
  <c r="W27" i="9"/>
  <c r="O27" i="9"/>
  <c r="L27" i="9"/>
  <c r="Z24" i="45"/>
  <c r="AH24" i="45"/>
  <c r="AA24" i="45"/>
  <c r="AI24" i="45"/>
  <c r="AB24" i="45"/>
  <c r="AF24" i="45"/>
  <c r="Y24" i="45"/>
  <c r="AG24" i="45"/>
  <c r="K27" i="9"/>
  <c r="AJ24" i="45"/>
  <c r="G27" i="9"/>
  <c r="AC24" i="45"/>
  <c r="AE24" i="45"/>
  <c r="X24" i="45"/>
  <c r="H27" i="9"/>
  <c r="V24" i="45"/>
  <c r="AD24" i="45"/>
  <c r="I27" i="9"/>
  <c r="W24" i="45"/>
  <c r="J27" i="9"/>
  <c r="K21" i="9" l="1"/>
  <c r="L21" i="9"/>
  <c r="G21" i="9"/>
  <c r="H21" i="9"/>
  <c r="I21" i="9"/>
  <c r="J21" i="9"/>
  <c r="B28" i="48" l="1"/>
  <c r="G23" i="49"/>
  <c r="F23" i="49"/>
  <c r="E23" i="49"/>
  <c r="D23" i="49"/>
  <c r="C23" i="49"/>
  <c r="B23" i="49"/>
  <c r="P28" i="48" l="1" a="1"/>
  <c r="P28" i="48" s="1"/>
  <c r="Q28" i="48" a="1"/>
  <c r="Q28" i="48" s="1"/>
  <c r="O28" i="48" a="1"/>
  <c r="O28" i="48" s="1"/>
  <c r="R28" i="48" a="1"/>
  <c r="R28" i="48" s="1"/>
  <c r="U28" i="48" a="1"/>
  <c r="U28" i="48" s="1"/>
  <c r="W28" i="48" a="1"/>
  <c r="W28" i="48" s="1"/>
  <c r="S28" i="48" a="1"/>
  <c r="S28" i="48" s="1"/>
  <c r="T28" i="48" a="1"/>
  <c r="T28" i="48" s="1"/>
  <c r="V28" i="48" a="1"/>
  <c r="V28" i="48" s="1"/>
  <c r="M28" i="48" a="1"/>
  <c r="M28" i="48" s="1"/>
  <c r="N28" i="48" a="1"/>
  <c r="N28" i="48" s="1"/>
  <c r="K28" i="48" a="1"/>
  <c r="K28" i="48" s="1"/>
  <c r="J28" i="48" a="1"/>
  <c r="J28" i="48" s="1"/>
  <c r="L28" i="48" a="1"/>
  <c r="L28" i="48" s="1"/>
  <c r="I28" i="48" a="1"/>
  <c r="I28" i="48" s="1"/>
  <c r="H28" i="48" a="1"/>
  <c r="H28" i="48" s="1"/>
  <c r="C28" i="48" a="1"/>
  <c r="C28" i="48" s="1"/>
  <c r="G28" i="48" a="1"/>
  <c r="G28" i="48" s="1"/>
  <c r="E28" i="48" a="1"/>
  <c r="E28" i="48" s="1"/>
  <c r="F28" i="48" a="1"/>
  <c r="F28" i="48" s="1"/>
  <c r="D28" i="48" a="1"/>
  <c r="D28" i="48" s="1"/>
  <c r="AA43" i="48" l="1"/>
  <c r="AA47" i="48"/>
  <c r="Z46" i="48"/>
  <c r="X44" i="48"/>
  <c r="W43" i="48"/>
  <c r="Y45" i="48"/>
  <c r="X51" i="48"/>
  <c r="W50" i="48"/>
  <c r="V49" i="48"/>
  <c r="T47" i="48"/>
  <c r="AA54" i="48"/>
  <c r="Z53" i="48"/>
  <c r="U48" i="48"/>
  <c r="Y52" i="48"/>
  <c r="Q44" i="48"/>
  <c r="S46" i="48"/>
  <c r="P43" i="48"/>
  <c r="R45" i="48"/>
  <c r="W49" i="48"/>
  <c r="T46" i="48"/>
  <c r="V48" i="48"/>
  <c r="S45" i="48"/>
  <c r="Y51" i="48"/>
  <c r="X50" i="48"/>
  <c r="AA53" i="48"/>
  <c r="U47" i="48"/>
  <c r="R44" i="48"/>
  <c r="Q43" i="48"/>
  <c r="Z52" i="48"/>
  <c r="U45" i="48"/>
  <c r="Z50" i="48"/>
  <c r="X48" i="48"/>
  <c r="T44" i="48"/>
  <c r="S43" i="48"/>
  <c r="Y49" i="48"/>
  <c r="V46" i="48"/>
  <c r="AA51" i="48"/>
  <c r="W47" i="48"/>
  <c r="U44" i="48"/>
  <c r="T43" i="48"/>
  <c r="V45" i="48"/>
  <c r="Y48" i="48"/>
  <c r="Z49" i="48"/>
  <c r="W46" i="48"/>
  <c r="X47" i="48"/>
  <c r="AA50" i="48"/>
  <c r="Z44" i="48"/>
  <c r="AA45" i="48"/>
  <c r="Y43" i="48"/>
  <c r="Q45" i="48"/>
  <c r="R46" i="48"/>
  <c r="T48" i="48"/>
  <c r="U49" i="48"/>
  <c r="AA55" i="48"/>
  <c r="Y53" i="48"/>
  <c r="V50" i="48"/>
  <c r="P44" i="48"/>
  <c r="O43" i="48"/>
  <c r="S47" i="48"/>
  <c r="Z54" i="48"/>
  <c r="W51" i="48"/>
  <c r="X52" i="48"/>
  <c r="V44" i="48"/>
  <c r="U43" i="48"/>
  <c r="Y47" i="48"/>
  <c r="Z48" i="48"/>
  <c r="W45" i="48"/>
  <c r="AA49" i="48"/>
  <c r="X46" i="48"/>
  <c r="Z45" i="48"/>
  <c r="Y44" i="48"/>
  <c r="X43" i="48"/>
  <c r="AA46" i="48"/>
  <c r="AA44" i="48"/>
  <c r="Z43" i="48"/>
  <c r="AA52" i="48"/>
  <c r="R43" i="48"/>
  <c r="X49" i="48"/>
  <c r="U46" i="48"/>
  <c r="W48" i="48"/>
  <c r="Z51" i="48"/>
  <c r="Y50" i="48"/>
  <c r="V47" i="48"/>
  <c r="S44" i="48"/>
  <c r="T45" i="48"/>
  <c r="AA48" i="48"/>
  <c r="W44" i="48"/>
  <c r="V43" i="48"/>
  <c r="Y46" i="48"/>
  <c r="X45" i="48"/>
  <c r="Z47" i="48"/>
  <c r="N19" i="27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 s="1"/>
  <c r="F2" i="28"/>
  <c r="F1" i="27" s="1"/>
  <c r="G2" i="28"/>
  <c r="G1" i="27" s="1"/>
  <c r="H2" i="28"/>
  <c r="H1" i="27" s="1"/>
  <c r="I2" i="28"/>
  <c r="I1" i="27" s="1"/>
  <c r="J2" i="28"/>
  <c r="J1" i="27" s="1"/>
  <c r="K2" i="28"/>
  <c r="K1" i="27" s="1"/>
  <c r="L2" i="28"/>
  <c r="L1" i="27" s="1"/>
  <c r="M2" i="28"/>
  <c r="M1" i="27" s="1"/>
  <c r="N2" i="28"/>
  <c r="N1" i="27" s="1"/>
  <c r="O2" i="28"/>
  <c r="O1" i="27" s="1"/>
  <c r="P2" i="28"/>
  <c r="P1" i="27" s="1"/>
  <c r="Q2" i="28"/>
  <c r="Q1" i="27" s="1"/>
  <c r="R2" i="28"/>
  <c r="R1" i="27" s="1"/>
  <c r="S2" i="28"/>
  <c r="S1" i="27" s="1"/>
  <c r="T2" i="28"/>
  <c r="T1" i="27" s="1"/>
  <c r="U2" i="28"/>
  <c r="U1" i="27" s="1"/>
  <c r="V2" i="28"/>
  <c r="V1" i="27" s="1"/>
  <c r="W2" i="28"/>
  <c r="W1" i="27" s="1"/>
  <c r="X2" i="28"/>
  <c r="X1" i="27" s="1"/>
  <c r="D2" i="28"/>
  <c r="D1" i="27" s="1"/>
  <c r="A14" i="45" l="1"/>
  <c r="A15" i="45"/>
  <c r="A16" i="45"/>
  <c r="A17" i="45"/>
  <c r="A18" i="45"/>
  <c r="A20" i="45"/>
  <c r="A21" i="45"/>
  <c r="A23" i="45"/>
  <c r="A24" i="45"/>
  <c r="A25" i="45"/>
  <c r="B29" i="25" l="1"/>
  <c r="B30" i="25" s="1"/>
  <c r="B22" i="25" s="1"/>
  <c r="B24" i="45" l="1"/>
  <c r="D24" i="45"/>
  <c r="E24" i="45"/>
  <c r="M24" i="45"/>
  <c r="U24" i="45"/>
  <c r="P24" i="45"/>
  <c r="Q24" i="45"/>
  <c r="R24" i="45"/>
  <c r="C24" i="45"/>
  <c r="S24" i="45"/>
  <c r="L24" i="45"/>
  <c r="F24" i="45"/>
  <c r="N24" i="45"/>
  <c r="O24" i="45"/>
  <c r="H24" i="45"/>
  <c r="J24" i="45"/>
  <c r="K24" i="45"/>
  <c r="T24" i="45"/>
  <c r="G24" i="45"/>
  <c r="I24" i="45"/>
  <c r="A1" i="9" l="1"/>
  <c r="A1" i="45"/>
  <c r="K18" i="28" l="1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 l="1"/>
  <c r="G13" i="9" s="1"/>
  <c r="G52" i="9" s="1"/>
  <c r="H6" i="9"/>
  <c r="H13" i="9" s="1"/>
  <c r="H52" i="9" s="1"/>
  <c r="I6" i="9"/>
  <c r="I13" i="9" s="1"/>
  <c r="I52" i="9" s="1"/>
  <c r="J6" i="9"/>
  <c r="J13" i="9" s="1"/>
  <c r="J52" i="9" s="1"/>
  <c r="K6" i="9"/>
  <c r="K13" i="9" s="1"/>
  <c r="K52" i="9" s="1"/>
  <c r="L6" i="9"/>
  <c r="L13" i="9" s="1"/>
  <c r="L52" i="9" s="1"/>
  <c r="B46" i="25"/>
  <c r="B53" i="25" s="1"/>
  <c r="V5" i="45" l="1" a="1"/>
  <c r="V5" i="45" s="1"/>
  <c r="J4" i="48"/>
  <c r="J24" i="48" s="1"/>
  <c r="K4" i="48"/>
  <c r="K24" i="48" s="1"/>
  <c r="L4" i="48"/>
  <c r="L24" i="48" s="1"/>
  <c r="M4" i="48"/>
  <c r="M24" i="48" s="1"/>
  <c r="N4" i="48"/>
  <c r="N24" i="48" s="1"/>
  <c r="B41" i="25"/>
  <c r="B5" i="9"/>
  <c r="B4" i="45" s="1"/>
  <c r="D3" i="28" s="1"/>
  <c r="D2" i="27" s="1"/>
  <c r="T42" i="48" l="1"/>
  <c r="O42" i="48"/>
  <c r="P42" i="48"/>
  <c r="U42" i="48"/>
  <c r="V42" i="48"/>
  <c r="AA42" i="48"/>
  <c r="R42" i="48"/>
  <c r="W42" i="48"/>
  <c r="Z42" i="48"/>
  <c r="N42" i="48"/>
  <c r="Q42" i="48"/>
  <c r="X42" i="48"/>
  <c r="Y42" i="48"/>
  <c r="S42" i="48"/>
  <c r="W40" i="48"/>
  <c r="X40" i="48"/>
  <c r="Q40" i="48"/>
  <c r="Y40" i="48"/>
  <c r="Z40" i="48"/>
  <c r="U40" i="48"/>
  <c r="O40" i="48"/>
  <c r="AA40" i="48"/>
  <c r="P40" i="48"/>
  <c r="R40" i="48"/>
  <c r="S40" i="48"/>
  <c r="T40" i="48"/>
  <c r="V40" i="48"/>
  <c r="X39" i="48"/>
  <c r="R39" i="48"/>
  <c r="T39" i="48"/>
  <c r="Y39" i="48"/>
  <c r="U39" i="48"/>
  <c r="Z39" i="48"/>
  <c r="Q39" i="48"/>
  <c r="S39" i="48"/>
  <c r="O39" i="48"/>
  <c r="AA39" i="48"/>
  <c r="P39" i="48"/>
  <c r="V39" i="48"/>
  <c r="W39" i="48"/>
  <c r="V41" i="48"/>
  <c r="O41" i="48"/>
  <c r="T41" i="48"/>
  <c r="W41" i="48"/>
  <c r="R41" i="48"/>
  <c r="X41" i="48"/>
  <c r="Y41" i="48"/>
  <c r="AA41" i="48"/>
  <c r="Q41" i="48"/>
  <c r="Z41" i="48"/>
  <c r="P41" i="48"/>
  <c r="S41" i="48"/>
  <c r="U41" i="48"/>
  <c r="Y38" i="48"/>
  <c r="V38" i="48"/>
  <c r="X38" i="48"/>
  <c r="Z38" i="48"/>
  <c r="R38" i="48"/>
  <c r="T38" i="48"/>
  <c r="W38" i="48"/>
  <c r="O38" i="48"/>
  <c r="AA38" i="48"/>
  <c r="S38" i="48"/>
  <c r="P38" i="48"/>
  <c r="U38" i="48"/>
  <c r="Q38" i="48"/>
  <c r="N41" i="48"/>
  <c r="M41" i="48"/>
  <c r="M40" i="48"/>
  <c r="N40" i="48"/>
  <c r="L40" i="48"/>
  <c r="L39" i="48"/>
  <c r="M39" i="48"/>
  <c r="N39" i="48"/>
  <c r="K39" i="48"/>
  <c r="N38" i="48"/>
  <c r="J38" i="48"/>
  <c r="K38" i="48"/>
  <c r="L38" i="48"/>
  <c r="M38" i="48"/>
  <c r="W5" i="45" a="1"/>
  <c r="W5" i="45" s="1"/>
  <c r="V12" i="45" a="1"/>
  <c r="V12" i="45" s="1"/>
  <c r="V39" i="45" s="1"/>
  <c r="X5" i="45" l="1" a="1"/>
  <c r="X5" i="45" s="1"/>
  <c r="Y6" i="27"/>
  <c r="Y6" i="28"/>
  <c r="W12" i="45" a="1"/>
  <c r="W12" i="45" s="1"/>
  <c r="W39" i="45" s="1"/>
  <c r="Y5" i="45" l="1" a="1"/>
  <c r="Y5" i="45" s="1"/>
  <c r="Z6" i="27"/>
  <c r="Z6" i="28"/>
  <c r="X12" i="45" a="1"/>
  <c r="X12" i="45" s="1"/>
  <c r="X39" i="45" s="1"/>
  <c r="A6" i="45"/>
  <c r="A8" i="45"/>
  <c r="A9" i="45"/>
  <c r="A10" i="45"/>
  <c r="A11" i="45"/>
  <c r="A12" i="45"/>
  <c r="A13" i="45"/>
  <c r="A5" i="45"/>
  <c r="Z5" i="45" l="1" a="1"/>
  <c r="Z5" i="45" s="1"/>
  <c r="AA6" i="27"/>
  <c r="AA6" i="28"/>
  <c r="Y12" i="45" a="1"/>
  <c r="Y12" i="45" s="1"/>
  <c r="Y39" i="45" s="1"/>
  <c r="E8" i="25"/>
  <c r="E4" i="25"/>
  <c r="C9" i="9"/>
  <c r="C8" i="45" s="1" a="1"/>
  <c r="C8" i="45" s="1"/>
  <c r="D9" i="9"/>
  <c r="D8" i="45" s="1" a="1"/>
  <c r="D8" i="45" s="1"/>
  <c r="E9" i="9"/>
  <c r="E8" i="45" s="1" a="1"/>
  <c r="E8" i="45" s="1"/>
  <c r="F9" i="9"/>
  <c r="F8" i="45" s="1" a="1"/>
  <c r="F8" i="45" s="1"/>
  <c r="G8" i="45" a="1"/>
  <c r="G8" i="45" s="1"/>
  <c r="H8" i="45" a="1"/>
  <c r="H8" i="45" s="1"/>
  <c r="I8" i="45" a="1"/>
  <c r="I8" i="45" s="1"/>
  <c r="J8" i="45" a="1"/>
  <c r="J8" i="45" s="1"/>
  <c r="K8" i="45" a="1"/>
  <c r="K8" i="45" s="1"/>
  <c r="L8" i="45" a="1"/>
  <c r="L8" i="45" s="1"/>
  <c r="M8" i="45" a="1"/>
  <c r="M8" i="45" s="1"/>
  <c r="N8" i="45" a="1"/>
  <c r="N8" i="45" s="1"/>
  <c r="O8" i="45" a="1"/>
  <c r="O8" i="45" s="1"/>
  <c r="P8" i="45" a="1"/>
  <c r="P8" i="45" s="1"/>
  <c r="Q8" i="45" a="1"/>
  <c r="Q8" i="45" s="1"/>
  <c r="R8" i="45" a="1"/>
  <c r="R8" i="45" s="1"/>
  <c r="S8" i="45" a="1"/>
  <c r="S8" i="45" s="1"/>
  <c r="T8" i="45" a="1"/>
  <c r="T8" i="45" s="1"/>
  <c r="U8" i="45" a="1"/>
  <c r="U8" i="45" s="1"/>
  <c r="C10" i="9"/>
  <c r="C9" i="45" s="1" a="1"/>
  <c r="C9" i="45" s="1"/>
  <c r="D10" i="9"/>
  <c r="D9" i="45" s="1" a="1"/>
  <c r="D9" i="45" s="1"/>
  <c r="E10" i="9"/>
  <c r="E9" i="45" s="1" a="1"/>
  <c r="E9" i="45" s="1"/>
  <c r="F10" i="9"/>
  <c r="F9" i="45" s="1" a="1"/>
  <c r="F9" i="45" s="1"/>
  <c r="G9" i="45" a="1"/>
  <c r="G9" i="45" s="1"/>
  <c r="H9" i="45" a="1"/>
  <c r="H9" i="45" s="1"/>
  <c r="I9" i="45" a="1"/>
  <c r="I9" i="45" s="1"/>
  <c r="J9" i="45" a="1"/>
  <c r="J9" i="45" s="1"/>
  <c r="K9" i="45" a="1"/>
  <c r="K9" i="45" s="1"/>
  <c r="L9" i="45" a="1"/>
  <c r="L9" i="45" s="1"/>
  <c r="M9" i="45" a="1"/>
  <c r="M9" i="45" s="1"/>
  <c r="N9" i="45" a="1"/>
  <c r="N9" i="45" s="1"/>
  <c r="O9" i="45" a="1"/>
  <c r="O9" i="45" s="1"/>
  <c r="P9" i="45" a="1"/>
  <c r="P9" i="45" s="1"/>
  <c r="Q9" i="45" a="1"/>
  <c r="Q9" i="45" s="1"/>
  <c r="R9" i="45" a="1"/>
  <c r="R9" i="45" s="1"/>
  <c r="S9" i="45" a="1"/>
  <c r="S9" i="45" s="1"/>
  <c r="T9" i="45" a="1"/>
  <c r="T9" i="45" s="1"/>
  <c r="U9" i="45" a="1"/>
  <c r="U9" i="45" s="1"/>
  <c r="C11" i="9"/>
  <c r="C10" i="45" s="1" a="1"/>
  <c r="C10" i="45" s="1"/>
  <c r="D11" i="9"/>
  <c r="D10" i="45" s="1" a="1"/>
  <c r="D10" i="45" s="1"/>
  <c r="E11" i="9"/>
  <c r="E10" i="45" s="1" a="1"/>
  <c r="E10" i="45" s="1"/>
  <c r="F11" i="9"/>
  <c r="F10" i="45" s="1" a="1"/>
  <c r="F10" i="45" s="1"/>
  <c r="G10" i="45" a="1"/>
  <c r="G10" i="45" s="1"/>
  <c r="H10" i="45" a="1"/>
  <c r="H10" i="45" s="1"/>
  <c r="I10" i="45" a="1"/>
  <c r="I10" i="45" s="1"/>
  <c r="J10" i="45" a="1"/>
  <c r="J10" i="45" s="1"/>
  <c r="K10" i="45" a="1"/>
  <c r="K10" i="45" s="1"/>
  <c r="L10" i="45" a="1"/>
  <c r="L10" i="45" s="1"/>
  <c r="M10" i="45" a="1"/>
  <c r="M10" i="45" s="1"/>
  <c r="N10" i="45" a="1"/>
  <c r="N10" i="45" s="1"/>
  <c r="O10" i="45" a="1"/>
  <c r="O10" i="45" s="1"/>
  <c r="P10" i="45" a="1"/>
  <c r="P10" i="45" s="1"/>
  <c r="Q10" i="45" a="1"/>
  <c r="Q10" i="45" s="1"/>
  <c r="R10" i="45" a="1"/>
  <c r="R10" i="45" s="1"/>
  <c r="S10" i="45" a="1"/>
  <c r="S10" i="45" s="1"/>
  <c r="T10" i="45" a="1"/>
  <c r="T10" i="45" s="1"/>
  <c r="U10" i="45" a="1"/>
  <c r="U10" i="45" s="1"/>
  <c r="C12" i="9"/>
  <c r="C11" i="45" s="1" a="1"/>
  <c r="C11" i="45" s="1"/>
  <c r="D12" i="9"/>
  <c r="D11" i="45" s="1" a="1"/>
  <c r="D11" i="45" s="1"/>
  <c r="E12" i="9"/>
  <c r="E11" i="45" s="1" a="1"/>
  <c r="E11" i="45" s="1"/>
  <c r="F12" i="9"/>
  <c r="F11" i="45" s="1" a="1"/>
  <c r="F11" i="45" s="1"/>
  <c r="G11" i="45" a="1"/>
  <c r="G11" i="45" s="1"/>
  <c r="H11" i="45" a="1"/>
  <c r="H11" i="45" s="1"/>
  <c r="I11" i="45" a="1"/>
  <c r="I11" i="45" s="1"/>
  <c r="J11" i="45" a="1"/>
  <c r="J11" i="45" s="1"/>
  <c r="K11" i="45" a="1"/>
  <c r="K11" i="45" s="1"/>
  <c r="L11" i="45" a="1"/>
  <c r="L11" i="45" s="1"/>
  <c r="M11" i="45" a="1"/>
  <c r="M11" i="45" s="1"/>
  <c r="N11" i="45" a="1"/>
  <c r="N11" i="45" s="1"/>
  <c r="O11" i="45" a="1"/>
  <c r="O11" i="45" s="1"/>
  <c r="P11" i="45" a="1"/>
  <c r="P11" i="45" s="1"/>
  <c r="Q11" i="45" a="1"/>
  <c r="Q11" i="45" s="1"/>
  <c r="R11" i="45" a="1"/>
  <c r="R11" i="45" s="1"/>
  <c r="S11" i="45" a="1"/>
  <c r="S11" i="45" s="1"/>
  <c r="T11" i="45" a="1"/>
  <c r="T11" i="45" s="1"/>
  <c r="U11" i="45" a="1"/>
  <c r="U11" i="45" s="1"/>
  <c r="B10" i="9"/>
  <c r="B9" i="45" s="1" a="1"/>
  <c r="B9" i="45" s="1"/>
  <c r="B11" i="9"/>
  <c r="B10" i="45" s="1" a="1"/>
  <c r="B10" i="45" s="1"/>
  <c r="B12" i="9"/>
  <c r="B11" i="45" s="1" a="1"/>
  <c r="B11" i="45" s="1"/>
  <c r="B9" i="9"/>
  <c r="B8" i="45" s="1" a="1"/>
  <c r="B8" i="45" s="1"/>
  <c r="C7" i="9"/>
  <c r="C6" i="45" s="1" a="1"/>
  <c r="C6" i="45" s="1"/>
  <c r="D7" i="9"/>
  <c r="D6" i="45" s="1" a="1"/>
  <c r="D6" i="45" s="1"/>
  <c r="E7" i="9"/>
  <c r="E6" i="45" s="1" a="1"/>
  <c r="E6" i="45" s="1"/>
  <c r="F7" i="9"/>
  <c r="F6" i="45" s="1" a="1"/>
  <c r="F6" i="45" s="1"/>
  <c r="G6" i="45" a="1"/>
  <c r="G6" i="45" s="1"/>
  <c r="H6" i="45" a="1"/>
  <c r="H6" i="45" s="1"/>
  <c r="I6" i="45" a="1"/>
  <c r="I6" i="45" s="1"/>
  <c r="J6" i="45" a="1"/>
  <c r="J6" i="45" s="1"/>
  <c r="K6" i="45" a="1"/>
  <c r="K6" i="45" s="1"/>
  <c r="L6" i="45" a="1"/>
  <c r="L6" i="45" s="1"/>
  <c r="M6" i="45" a="1"/>
  <c r="M6" i="45" s="1"/>
  <c r="N6" i="45" a="1"/>
  <c r="N6" i="45" s="1"/>
  <c r="O6" i="45" a="1"/>
  <c r="O6" i="45" s="1"/>
  <c r="P6" i="45" a="1"/>
  <c r="P6" i="45" s="1"/>
  <c r="Q6" i="45" a="1"/>
  <c r="Q6" i="45" s="1"/>
  <c r="R6" i="45" a="1"/>
  <c r="R6" i="45" s="1"/>
  <c r="S6" i="45" a="1"/>
  <c r="S6" i="45" s="1"/>
  <c r="T6" i="45" a="1"/>
  <c r="T6" i="45" s="1"/>
  <c r="U6" i="45" a="1"/>
  <c r="U6" i="45" s="1"/>
  <c r="B7" i="9"/>
  <c r="B6" i="45" s="1" a="1"/>
  <c r="B6" i="45" s="1"/>
  <c r="C6" i="9"/>
  <c r="C5" i="45" s="1" a="1"/>
  <c r="C5" i="45" s="1"/>
  <c r="D6" i="9"/>
  <c r="D5" i="45" s="1" a="1"/>
  <c r="D5" i="45" s="1"/>
  <c r="E6" i="9"/>
  <c r="E5" i="45" s="1" a="1"/>
  <c r="E5" i="45" s="1"/>
  <c r="F6" i="9"/>
  <c r="F5" i="45" s="1" a="1"/>
  <c r="F5" i="45" s="1"/>
  <c r="G5" i="45" a="1"/>
  <c r="G5" i="45" s="1"/>
  <c r="H5" i="45" a="1"/>
  <c r="H5" i="45" s="1"/>
  <c r="I5" i="45" a="1"/>
  <c r="I5" i="45" s="1"/>
  <c r="J5" i="45" a="1"/>
  <c r="J5" i="45" s="1"/>
  <c r="K5" i="45" a="1"/>
  <c r="K5" i="45" s="1"/>
  <c r="L5" i="45" a="1"/>
  <c r="L5" i="45" s="1"/>
  <c r="M5" i="45" a="1"/>
  <c r="M5" i="45" s="1"/>
  <c r="N5" i="45" a="1"/>
  <c r="N5" i="45" s="1"/>
  <c r="O5" i="45" a="1"/>
  <c r="O5" i="45" s="1"/>
  <c r="P5" i="45" a="1"/>
  <c r="P5" i="45" s="1"/>
  <c r="Q5" i="45" a="1"/>
  <c r="Q5" i="45" s="1"/>
  <c r="R5" i="45" a="1"/>
  <c r="R5" i="45" s="1"/>
  <c r="S5" i="45" a="1"/>
  <c r="S5" i="45" s="1"/>
  <c r="T5" i="45" a="1"/>
  <c r="T5" i="45" s="1"/>
  <c r="U5" i="45" a="1"/>
  <c r="U5" i="45" s="1"/>
  <c r="B6" i="9"/>
  <c r="D4" i="48"/>
  <c r="D24" i="48" s="1"/>
  <c r="E4" i="48"/>
  <c r="F4" i="48"/>
  <c r="G4" i="48"/>
  <c r="H4" i="48"/>
  <c r="I4" i="48"/>
  <c r="C4" i="48"/>
  <c r="D32" i="48" l="1"/>
  <c r="Q32" i="48"/>
  <c r="X32" i="48"/>
  <c r="O32" i="48"/>
  <c r="P32" i="48"/>
  <c r="R32" i="48"/>
  <c r="S32" i="48"/>
  <c r="W32" i="48"/>
  <c r="Y32" i="48"/>
  <c r="Z32" i="48"/>
  <c r="AA32" i="48"/>
  <c r="T32" i="48"/>
  <c r="U32" i="48"/>
  <c r="V32" i="48"/>
  <c r="AA5" i="45" a="1"/>
  <c r="AA5" i="45" s="1"/>
  <c r="AB6" i="27"/>
  <c r="AB6" i="28"/>
  <c r="Z12" i="45" a="1"/>
  <c r="Z12" i="45" s="1"/>
  <c r="Z39" i="45" s="1"/>
  <c r="B5" i="45" a="1"/>
  <c r="B5" i="45" s="1"/>
  <c r="B13" i="9"/>
  <c r="B12" i="45" s="1"/>
  <c r="B17" i="25"/>
  <c r="E7" i="25" l="1"/>
  <c r="B18" i="25"/>
  <c r="E9" i="25" s="1"/>
  <c r="AB5" i="45" a="1"/>
  <c r="AB5" i="45" s="1"/>
  <c r="AC6" i="27"/>
  <c r="AC6" i="28"/>
  <c r="AA12" i="45" a="1"/>
  <c r="AA12" i="45" s="1"/>
  <c r="AA39" i="45" s="1"/>
  <c r="AC5" i="45" l="1" a="1"/>
  <c r="AC5" i="45" s="1"/>
  <c r="AD6" i="28"/>
  <c r="AD6" i="27"/>
  <c r="AB12" i="45" a="1"/>
  <c r="AB12" i="45" s="1"/>
  <c r="AB39" i="45" s="1"/>
  <c r="AD5" i="45" l="1" a="1"/>
  <c r="AD5" i="45" s="1"/>
  <c r="AE5" i="45" a="1"/>
  <c r="AE5" i="45" s="1"/>
  <c r="AE6" i="28"/>
  <c r="AE6" i="27"/>
  <c r="AC12" i="45" a="1"/>
  <c r="AC12" i="45" s="1"/>
  <c r="AC39" i="45" s="1"/>
  <c r="A38" i="25"/>
  <c r="AG6" i="28" l="1"/>
  <c r="AG6" i="27"/>
  <c r="AE12" i="45" a="1"/>
  <c r="AE12" i="45" s="1"/>
  <c r="AE39" i="45" s="1"/>
  <c r="AF6" i="28"/>
  <c r="AF6" i="27"/>
  <c r="AD12" i="45" a="1"/>
  <c r="AD12" i="45" s="1"/>
  <c r="AD39" i="45" s="1"/>
  <c r="F21" i="9"/>
  <c r="C21" i="9"/>
  <c r="E21" i="9"/>
  <c r="B21" i="9"/>
  <c r="D21" i="9"/>
  <c r="D19" i="27" l="1"/>
  <c r="C3" i="48" l="1"/>
  <c r="B19" i="48" l="1"/>
  <c r="B5" i="48"/>
  <c r="B6" i="48" s="1"/>
  <c r="C25" i="48" s="1"/>
  <c r="D25" i="48"/>
  <c r="H24" i="48" l="1"/>
  <c r="I24" i="48"/>
  <c r="C24" i="48"/>
  <c r="E24" i="48"/>
  <c r="G24" i="48"/>
  <c r="F24" i="48"/>
  <c r="C5" i="9"/>
  <c r="C4" i="45" s="1"/>
  <c r="E3" i="28" s="1"/>
  <c r="E2" i="27" s="1"/>
  <c r="D3" i="48"/>
  <c r="E25" i="48"/>
  <c r="Q34" i="48" l="1"/>
  <c r="X34" i="48"/>
  <c r="O34" i="48"/>
  <c r="R34" i="48"/>
  <c r="V34" i="48"/>
  <c r="Y34" i="48"/>
  <c r="S34" i="48"/>
  <c r="T34" i="48"/>
  <c r="Z34" i="48"/>
  <c r="U34" i="48"/>
  <c r="W34" i="48"/>
  <c r="AA34" i="48"/>
  <c r="P34" i="48"/>
  <c r="P35" i="48"/>
  <c r="Z35" i="48"/>
  <c r="O35" i="48"/>
  <c r="Q35" i="48"/>
  <c r="AA35" i="48"/>
  <c r="R35" i="48"/>
  <c r="V35" i="48"/>
  <c r="S35" i="48"/>
  <c r="U35" i="48"/>
  <c r="W35" i="48"/>
  <c r="T35" i="48"/>
  <c r="X35" i="48"/>
  <c r="Y35" i="48"/>
  <c r="R33" i="48"/>
  <c r="Y33" i="48"/>
  <c r="Z33" i="48"/>
  <c r="AA33" i="48"/>
  <c r="P33" i="48"/>
  <c r="S33" i="48"/>
  <c r="W33" i="48"/>
  <c r="O33" i="48"/>
  <c r="Q33" i="48"/>
  <c r="T33" i="48"/>
  <c r="X33" i="48"/>
  <c r="U33" i="48"/>
  <c r="V33" i="48"/>
  <c r="J37" i="48"/>
  <c r="Z37" i="48"/>
  <c r="U37" i="48"/>
  <c r="X37" i="48"/>
  <c r="O37" i="48"/>
  <c r="AA37" i="48"/>
  <c r="T37" i="48"/>
  <c r="V37" i="48"/>
  <c r="Y37" i="48"/>
  <c r="P37" i="48"/>
  <c r="Q37" i="48"/>
  <c r="W37" i="48"/>
  <c r="R37" i="48"/>
  <c r="S37" i="48"/>
  <c r="O36" i="48"/>
  <c r="AA36" i="48"/>
  <c r="T36" i="48"/>
  <c r="P36" i="48"/>
  <c r="Q36" i="48"/>
  <c r="Y36" i="48"/>
  <c r="R36" i="48"/>
  <c r="U36" i="48"/>
  <c r="W36" i="48"/>
  <c r="S36" i="48"/>
  <c r="V36" i="48"/>
  <c r="X36" i="48"/>
  <c r="Z36" i="48"/>
  <c r="K37" i="48"/>
  <c r="L37" i="48"/>
  <c r="M37" i="48"/>
  <c r="N37" i="48"/>
  <c r="J35" i="48"/>
  <c r="L35" i="48"/>
  <c r="M35" i="48"/>
  <c r="K35" i="48"/>
  <c r="N35" i="48"/>
  <c r="M32" i="48"/>
  <c r="J32" i="48"/>
  <c r="K32" i="48"/>
  <c r="N32" i="48"/>
  <c r="L32" i="48"/>
  <c r="J36" i="48"/>
  <c r="K36" i="48"/>
  <c r="L36" i="48"/>
  <c r="M36" i="48"/>
  <c r="N36" i="48"/>
  <c r="L34" i="48"/>
  <c r="J34" i="48"/>
  <c r="M34" i="48"/>
  <c r="K34" i="48"/>
  <c r="N34" i="48"/>
  <c r="J33" i="48"/>
  <c r="K33" i="48"/>
  <c r="L33" i="48"/>
  <c r="N33" i="48"/>
  <c r="M33" i="48"/>
  <c r="E32" i="48"/>
  <c r="F32" i="48"/>
  <c r="G32" i="48"/>
  <c r="H32" i="48"/>
  <c r="I32" i="48"/>
  <c r="G34" i="48"/>
  <c r="H34" i="48"/>
  <c r="I34" i="48"/>
  <c r="F33" i="48"/>
  <c r="H33" i="48"/>
  <c r="G33" i="48"/>
  <c r="I33" i="48"/>
  <c r="H35" i="48"/>
  <c r="I35" i="48"/>
  <c r="I36" i="48"/>
  <c r="F13" i="9"/>
  <c r="E13" i="9"/>
  <c r="D13" i="9"/>
  <c r="C13" i="9"/>
  <c r="C6" i="48"/>
  <c r="C19" i="48" s="1"/>
  <c r="D5" i="9"/>
  <c r="D4" i="45" s="1"/>
  <c r="F3" i="28" s="1"/>
  <c r="F2" i="27" s="1"/>
  <c r="E3" i="48"/>
  <c r="H36" i="48"/>
  <c r="G35" i="48"/>
  <c r="I37" i="48"/>
  <c r="F34" i="48"/>
  <c r="E33" i="48"/>
  <c r="R31" i="48" l="1"/>
  <c r="R62" i="48" s="1"/>
  <c r="T31" i="48"/>
  <c r="T62" i="48" s="1"/>
  <c r="O31" i="48"/>
  <c r="O62" i="48" s="1"/>
  <c r="S31" i="48"/>
  <c r="S62" i="48" s="1"/>
  <c r="U31" i="48"/>
  <c r="U62" i="48" s="1"/>
  <c r="V31" i="48"/>
  <c r="V62" i="48" s="1"/>
  <c r="W31" i="48"/>
  <c r="W62" i="48" s="1"/>
  <c r="X31" i="48"/>
  <c r="X62" i="48" s="1"/>
  <c r="Y31" i="48"/>
  <c r="Y62" i="48" s="1"/>
  <c r="Z31" i="48"/>
  <c r="Z62" i="48" s="1"/>
  <c r="AA31" i="48"/>
  <c r="AA62" i="48" s="1"/>
  <c r="P31" i="48"/>
  <c r="P62" i="48" s="1"/>
  <c r="Q31" i="48"/>
  <c r="Q62" i="48" s="1"/>
  <c r="J31" i="48"/>
  <c r="J62" i="48" s="1"/>
  <c r="L31" i="48"/>
  <c r="L62" i="48" s="1"/>
  <c r="N31" i="48"/>
  <c r="N62" i="48" s="1"/>
  <c r="M31" i="48"/>
  <c r="M62" i="48" s="1"/>
  <c r="K31" i="48"/>
  <c r="K62" i="48" s="1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2" i="9"/>
  <c r="E6" i="27"/>
  <c r="E6" i="28"/>
  <c r="L6" i="27"/>
  <c r="L6" i="28"/>
  <c r="D52" i="9"/>
  <c r="F6" i="27"/>
  <c r="F6" i="28"/>
  <c r="Q6" i="27"/>
  <c r="Q6" i="28"/>
  <c r="E52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2" i="9"/>
  <c r="H6" i="27"/>
  <c r="H6" i="28"/>
  <c r="M12" i="45" a="1"/>
  <c r="M12" i="45" s="1"/>
  <c r="M39" i="45" s="1"/>
  <c r="G12" i="45" a="1"/>
  <c r="G12" i="45" s="1"/>
  <c r="G39" i="45" s="1"/>
  <c r="L12" i="45" a="1"/>
  <c r="L12" i="45" s="1"/>
  <c r="L39" i="45" s="1"/>
  <c r="I12" i="45" a="1"/>
  <c r="I12" i="45" s="1"/>
  <c r="I39" i="45" s="1"/>
  <c r="Q12" i="45" a="1"/>
  <c r="Q12" i="45" s="1"/>
  <c r="Q39" i="45" s="1"/>
  <c r="N12" i="45" a="1"/>
  <c r="N12" i="45" s="1"/>
  <c r="N39" i="45" s="1"/>
  <c r="P12" i="45" a="1"/>
  <c r="P12" i="45" s="1"/>
  <c r="P39" i="45" s="1"/>
  <c r="C12" i="45" a="1"/>
  <c r="C12" i="45" s="1"/>
  <c r="C39" i="45" s="1"/>
  <c r="J12" i="45" a="1"/>
  <c r="J12" i="45" s="1"/>
  <c r="J39" i="45" s="1"/>
  <c r="D12" i="45" a="1"/>
  <c r="D12" i="45" s="1"/>
  <c r="D39" i="45" s="1"/>
  <c r="O12" i="45" a="1"/>
  <c r="O12" i="45" s="1"/>
  <c r="O39" i="45" s="1"/>
  <c r="E12" i="45" a="1"/>
  <c r="E12" i="45" s="1"/>
  <c r="E39" i="45" s="1"/>
  <c r="U12" i="45" a="1"/>
  <c r="U12" i="45" s="1"/>
  <c r="U39" i="45" s="1"/>
  <c r="T12" i="45" a="1"/>
  <c r="T12" i="45" s="1"/>
  <c r="T39" i="45" s="1"/>
  <c r="H12" i="45" a="1"/>
  <c r="H12" i="45" s="1"/>
  <c r="H39" i="45" s="1"/>
  <c r="S12" i="45" a="1"/>
  <c r="S12" i="45" s="1"/>
  <c r="S39" i="45" s="1"/>
  <c r="K12" i="45" a="1"/>
  <c r="K12" i="45" s="1"/>
  <c r="K39" i="45" s="1"/>
  <c r="R12" i="45" a="1"/>
  <c r="R12" i="45" s="1"/>
  <c r="R39" i="45" s="1"/>
  <c r="F12" i="45" a="1"/>
  <c r="F12" i="45" s="1"/>
  <c r="F39" i="45" s="1"/>
  <c r="C10" i="48"/>
  <c r="C31" i="48"/>
  <c r="C62" i="48" s="1"/>
  <c r="G31" i="48"/>
  <c r="G62" i="48" s="1"/>
  <c r="H31" i="48"/>
  <c r="H62" i="48" s="1"/>
  <c r="F31" i="48"/>
  <c r="F62" i="48" s="1"/>
  <c r="I31" i="48"/>
  <c r="I62" i="48" s="1"/>
  <c r="D31" i="48"/>
  <c r="D62" i="48" s="1"/>
  <c r="E31" i="48"/>
  <c r="E62" i="48" s="1"/>
  <c r="D6" i="48"/>
  <c r="B52" i="9"/>
  <c r="D6" i="27"/>
  <c r="E5" i="9"/>
  <c r="E4" i="45" s="1"/>
  <c r="G3" i="28" s="1"/>
  <c r="G2" i="27" s="1"/>
  <c r="F3" i="48"/>
  <c r="F25" i="48"/>
  <c r="C66" i="48" l="1"/>
  <c r="C20" i="48"/>
  <c r="C11" i="48" s="1"/>
  <c r="D14" i="28"/>
  <c r="D15" i="27" s="1"/>
  <c r="C68" i="48"/>
  <c r="D19" i="48"/>
  <c r="B14" i="9"/>
  <c r="D10" i="48"/>
  <c r="E6" i="48"/>
  <c r="E19" i="48" s="1"/>
  <c r="C63" i="48"/>
  <c r="F5" i="9"/>
  <c r="F4" i="45" s="1"/>
  <c r="H3" i="28" s="1"/>
  <c r="H2" i="27" s="1"/>
  <c r="G3" i="48"/>
  <c r="G25" i="48"/>
  <c r="D63" i="48" l="1"/>
  <c r="E63" i="48" s="1"/>
  <c r="F63" i="48" s="1"/>
  <c r="F6" i="48"/>
  <c r="F19" i="48" s="1"/>
  <c r="D7" i="28"/>
  <c r="B13" i="45"/>
  <c r="C14" i="9"/>
  <c r="C53" i="9" s="1"/>
  <c r="D68" i="48"/>
  <c r="E14" i="28"/>
  <c r="E15" i="27" s="1"/>
  <c r="D66" i="48"/>
  <c r="D20" i="48"/>
  <c r="D11" i="48" s="1"/>
  <c r="E10" i="48"/>
  <c r="G5" i="9"/>
  <c r="G4" i="45" s="1"/>
  <c r="I3" i="28" s="1"/>
  <c r="I2" i="27" s="1"/>
  <c r="H3" i="48"/>
  <c r="H25" i="48"/>
  <c r="E7" i="28" l="1"/>
  <c r="E7" i="27"/>
  <c r="F14" i="28"/>
  <c r="F15" i="27" s="1"/>
  <c r="E66" i="48"/>
  <c r="E68" i="48"/>
  <c r="E20" i="48"/>
  <c r="D14" i="9"/>
  <c r="C13" i="45" a="1"/>
  <c r="C13" i="45" s="1"/>
  <c r="C40" i="45" s="1"/>
  <c r="F10" i="48"/>
  <c r="G6" i="48"/>
  <c r="G19" i="48" s="1"/>
  <c r="H5" i="9"/>
  <c r="H4" i="45" s="1"/>
  <c r="J3" i="28" s="1"/>
  <c r="J2" i="27" s="1"/>
  <c r="I3" i="48"/>
  <c r="J3" i="48" s="1"/>
  <c r="K3" i="48" s="1"/>
  <c r="L3" i="48" s="1"/>
  <c r="M3" i="48" s="1"/>
  <c r="N3" i="48" s="1"/>
  <c r="O3" i="48" s="1"/>
  <c r="G63" i="48"/>
  <c r="I25" i="48"/>
  <c r="P3" i="48" l="1"/>
  <c r="E14" i="9"/>
  <c r="G7" i="27" s="1"/>
  <c r="G14" i="28"/>
  <c r="G15" i="27" s="1"/>
  <c r="F66" i="48"/>
  <c r="F68" i="48"/>
  <c r="F20" i="48"/>
  <c r="F11" i="48" s="1"/>
  <c r="F7" i="28"/>
  <c r="F7" i="27"/>
  <c r="D53" i="9"/>
  <c r="E11" i="48"/>
  <c r="D13" i="45" a="1"/>
  <c r="D13" i="45" s="1"/>
  <c r="D40" i="45" s="1"/>
  <c r="G10" i="48"/>
  <c r="H6" i="48"/>
  <c r="H19" i="48" s="1"/>
  <c r="I5" i="9"/>
  <c r="I4" i="45" s="1"/>
  <c r="K3" i="28" s="1"/>
  <c r="K2" i="27" s="1"/>
  <c r="H63" i="48"/>
  <c r="I63" i="48" s="1"/>
  <c r="J63" i="48" s="1"/>
  <c r="K63" i="48" s="1"/>
  <c r="L63" i="48" s="1"/>
  <c r="M63" i="48" s="1"/>
  <c r="N63" i="48" s="1"/>
  <c r="O63" i="48" s="1"/>
  <c r="P63" i="48" s="1"/>
  <c r="Q63" i="48" s="1"/>
  <c r="R63" i="48" s="1"/>
  <c r="S63" i="48" s="1"/>
  <c r="T63" i="48" s="1"/>
  <c r="U63" i="48" s="1"/>
  <c r="V63" i="48" s="1"/>
  <c r="W63" i="48" s="1"/>
  <c r="X63" i="48" s="1"/>
  <c r="Y63" i="48" s="1"/>
  <c r="Z63" i="48" s="1"/>
  <c r="AA63" i="48" s="1"/>
  <c r="Q3" i="48" l="1"/>
  <c r="G7" i="28"/>
  <c r="E53" i="9"/>
  <c r="H14" i="28"/>
  <c r="H15" i="27" s="1"/>
  <c r="G68" i="48"/>
  <c r="G66" i="48"/>
  <c r="F14" i="9"/>
  <c r="F53" i="9" s="1"/>
  <c r="G14" i="9"/>
  <c r="G20" i="48"/>
  <c r="G11" i="48" s="1"/>
  <c r="E13" i="45" a="1"/>
  <c r="E13" i="45" s="1"/>
  <c r="E40" i="45" s="1"/>
  <c r="H10" i="48"/>
  <c r="I6" i="48"/>
  <c r="I19" i="48" s="1"/>
  <c r="J5" i="9"/>
  <c r="J4" i="45" s="1"/>
  <c r="L3" i="28" s="1"/>
  <c r="L2" i="27" s="1"/>
  <c r="R3" i="48" l="1"/>
  <c r="J6" i="48"/>
  <c r="J19" i="48" s="1"/>
  <c r="H7" i="27"/>
  <c r="G53" i="9"/>
  <c r="G42" i="9"/>
  <c r="H7" i="28"/>
  <c r="H68" i="48"/>
  <c r="G16" i="9" s="1"/>
  <c r="I14" i="28"/>
  <c r="I15" i="27" s="1"/>
  <c r="H66" i="48"/>
  <c r="H14" i="9"/>
  <c r="H20" i="48"/>
  <c r="F13" i="45" a="1"/>
  <c r="F13" i="45" s="1"/>
  <c r="F40" i="45" s="1"/>
  <c r="I10" i="48"/>
  <c r="K5" i="9"/>
  <c r="K4" i="45" s="1"/>
  <c r="M3" i="28" s="1"/>
  <c r="M2" i="27" s="1"/>
  <c r="S3" i="48" l="1"/>
  <c r="J10" i="48"/>
  <c r="K6" i="48"/>
  <c r="K19" i="48" s="1"/>
  <c r="H53" i="9"/>
  <c r="H42" i="9"/>
  <c r="I14" i="9"/>
  <c r="J66" i="48"/>
  <c r="J68" i="48"/>
  <c r="I7" i="27"/>
  <c r="I7" i="28"/>
  <c r="I68" i="48"/>
  <c r="H16" i="9" s="1"/>
  <c r="J14" i="28"/>
  <c r="J15" i="27" s="1"/>
  <c r="I66" i="48"/>
  <c r="I20" i="48"/>
  <c r="H11" i="48"/>
  <c r="G13" i="45" a="1"/>
  <c r="G13" i="45" s="1"/>
  <c r="G40" i="45" s="1"/>
  <c r="L5" i="9"/>
  <c r="M5" i="9" s="1"/>
  <c r="N5" i="9" s="1"/>
  <c r="O5" i="9" s="1"/>
  <c r="P5" i="9" s="1"/>
  <c r="Q5" i="9" s="1"/>
  <c r="R5" i="9" s="1"/>
  <c r="S5" i="9" s="1"/>
  <c r="T5" i="9" s="1"/>
  <c r="U5" i="9" s="1"/>
  <c r="V5" i="9" s="1"/>
  <c r="W5" i="9" s="1"/>
  <c r="X5" i="9" s="1"/>
  <c r="Y5" i="9" s="1"/>
  <c r="Z5" i="9" s="1"/>
  <c r="T3" i="48" l="1"/>
  <c r="L6" i="48"/>
  <c r="K10" i="48"/>
  <c r="I11" i="48"/>
  <c r="J20" i="48"/>
  <c r="J14" i="9"/>
  <c r="K66" i="48"/>
  <c r="K68" i="48"/>
  <c r="I53" i="9"/>
  <c r="I42" i="9"/>
  <c r="J70" i="48"/>
  <c r="I16" i="9"/>
  <c r="J7" i="27"/>
  <c r="J7" i="28"/>
  <c r="K7" i="27"/>
  <c r="K14" i="28"/>
  <c r="K15" i="27" s="1"/>
  <c r="H13" i="45" a="1"/>
  <c r="H13" i="45" s="1"/>
  <c r="H40" i="45" s="1"/>
  <c r="L4" i="45"/>
  <c r="N3" i="28" s="1"/>
  <c r="N2" i="27" s="1"/>
  <c r="U3" i="48" l="1"/>
  <c r="L10" i="48"/>
  <c r="L19" i="48"/>
  <c r="K14" i="9" s="1"/>
  <c r="M6" i="48"/>
  <c r="K20" i="48"/>
  <c r="J11" i="48"/>
  <c r="J16" i="9"/>
  <c r="K70" i="48"/>
  <c r="J18" i="9" s="1"/>
  <c r="J53" i="9"/>
  <c r="J42" i="9"/>
  <c r="I18" i="9"/>
  <c r="K7" i="28"/>
  <c r="L7" i="27"/>
  <c r="L14" i="28"/>
  <c r="L15" i="27" s="1"/>
  <c r="I13" i="45" a="1"/>
  <c r="I13" i="45" s="1"/>
  <c r="I40" i="45" s="1"/>
  <c r="M4" i="45"/>
  <c r="O3" i="28" s="1"/>
  <c r="O2" i="27" s="1"/>
  <c r="V3" i="48" l="1"/>
  <c r="N6" i="48"/>
  <c r="N10" i="48" s="1"/>
  <c r="M19" i="48"/>
  <c r="M66" i="48" s="1"/>
  <c r="L68" i="48"/>
  <c r="L70" i="48" s="1"/>
  <c r="L66" i="48"/>
  <c r="M10" i="48"/>
  <c r="K42" i="9"/>
  <c r="K53" i="9"/>
  <c r="L20" i="48"/>
  <c r="K11" i="48"/>
  <c r="L7" i="28"/>
  <c r="M7" i="28"/>
  <c r="M14" i="28"/>
  <c r="M15" i="27" s="1"/>
  <c r="J13" i="45" a="1"/>
  <c r="J13" i="45" s="1"/>
  <c r="J40" i="45" s="1"/>
  <c r="N4" i="45"/>
  <c r="P3" i="28" s="1"/>
  <c r="P2" i="27" s="1"/>
  <c r="M68" i="48" l="1"/>
  <c r="M70" i="48" s="1"/>
  <c r="L18" i="9" s="1"/>
  <c r="L14" i="9"/>
  <c r="L42" i="9" s="1"/>
  <c r="W3" i="48"/>
  <c r="N19" i="48"/>
  <c r="M14" i="9" s="1"/>
  <c r="O6" i="48"/>
  <c r="K18" i="9"/>
  <c r="K16" i="9"/>
  <c r="M20" i="48"/>
  <c r="L11" i="48"/>
  <c r="M7" i="27"/>
  <c r="N14" i="28"/>
  <c r="N15" i="27" s="1"/>
  <c r="K13" i="45" a="1"/>
  <c r="K13" i="45" s="1"/>
  <c r="K40" i="45" s="1"/>
  <c r="O4" i="45"/>
  <c r="Q3" i="28" s="1"/>
  <c r="Q2" i="27" s="1"/>
  <c r="L16" i="9" l="1"/>
  <c r="L53" i="9"/>
  <c r="N7" i="28"/>
  <c r="N68" i="48"/>
  <c r="M16" i="9" s="1"/>
  <c r="N66" i="48"/>
  <c r="M53" i="9"/>
  <c r="M42" i="9"/>
  <c r="P6" i="48"/>
  <c r="O10" i="48"/>
  <c r="O19" i="48"/>
  <c r="N14" i="9" s="1"/>
  <c r="X3" i="48"/>
  <c r="M11" i="48"/>
  <c r="N20" i="48"/>
  <c r="N7" i="27"/>
  <c r="O7" i="27"/>
  <c r="O14" i="28"/>
  <c r="O15" i="27" s="1"/>
  <c r="L13" i="45" a="1"/>
  <c r="L13" i="45" s="1"/>
  <c r="L40" i="45" s="1"/>
  <c r="P4" i="45"/>
  <c r="R3" i="28" s="1"/>
  <c r="R2" i="27" s="1"/>
  <c r="N70" i="48" l="1"/>
  <c r="M18" i="9" s="1"/>
  <c r="N53" i="9"/>
  <c r="N42" i="9"/>
  <c r="O20" i="48"/>
  <c r="O68" i="48"/>
  <c r="O66" i="48"/>
  <c r="Y3" i="48"/>
  <c r="Q6" i="48"/>
  <c r="P10" i="48"/>
  <c r="P19" i="48"/>
  <c r="O14" i="9" s="1"/>
  <c r="N11" i="48"/>
  <c r="O7" i="28"/>
  <c r="P7" i="27"/>
  <c r="P14" i="28"/>
  <c r="P15" i="27" s="1"/>
  <c r="M13" i="45" a="1"/>
  <c r="M13" i="45" s="1"/>
  <c r="M40" i="45" s="1"/>
  <c r="Q4" i="45"/>
  <c r="S3" i="28" s="1"/>
  <c r="S2" i="27" s="1"/>
  <c r="O53" i="9" l="1"/>
  <c r="O42" i="9"/>
  <c r="O70" i="48"/>
  <c r="N18" i="9" s="1"/>
  <c r="N16" i="9"/>
  <c r="R6" i="48"/>
  <c r="Q10" i="48"/>
  <c r="Q19" i="48"/>
  <c r="P14" i="9" s="1"/>
  <c r="Z3" i="48"/>
  <c r="P66" i="48"/>
  <c r="P68" i="48"/>
  <c r="O11" i="48"/>
  <c r="P20" i="48"/>
  <c r="P7" i="28"/>
  <c r="Q7" i="28"/>
  <c r="Q14" i="28"/>
  <c r="Q15" i="27" s="1"/>
  <c r="N13" i="45" a="1"/>
  <c r="N13" i="45" s="1"/>
  <c r="N40" i="45" s="1"/>
  <c r="R4" i="45"/>
  <c r="T3" i="28" s="1"/>
  <c r="T2" i="27" s="1"/>
  <c r="P70" i="48" l="1"/>
  <c r="O18" i="9" s="1"/>
  <c r="O16" i="9"/>
  <c r="P53" i="9"/>
  <c r="P42" i="9"/>
  <c r="Q20" i="48"/>
  <c r="P11" i="48"/>
  <c r="Q68" i="48"/>
  <c r="Q66" i="48"/>
  <c r="AA3" i="48"/>
  <c r="S6" i="48"/>
  <c r="R10" i="48"/>
  <c r="R19" i="48"/>
  <c r="Q14" i="9" s="1"/>
  <c r="Q7" i="27"/>
  <c r="R7" i="28"/>
  <c r="R14" i="28"/>
  <c r="R15" i="27" s="1"/>
  <c r="O13" i="45" a="1"/>
  <c r="O13" i="45" s="1"/>
  <c r="O40" i="45" s="1"/>
  <c r="S4" i="45"/>
  <c r="U3" i="28" s="1"/>
  <c r="U2" i="27" s="1"/>
  <c r="Q70" i="48" l="1"/>
  <c r="P18" i="9" s="1"/>
  <c r="P16" i="9"/>
  <c r="Q53" i="9"/>
  <c r="Q42" i="9"/>
  <c r="R68" i="48"/>
  <c r="R66" i="48"/>
  <c r="T6" i="48"/>
  <c r="S10" i="48"/>
  <c r="S19" i="48"/>
  <c r="R14" i="9" s="1"/>
  <c r="R20" i="48"/>
  <c r="Q11" i="48"/>
  <c r="R7" i="27"/>
  <c r="S7" i="28"/>
  <c r="S14" i="28"/>
  <c r="S15" i="27" s="1"/>
  <c r="P13" i="45" a="1"/>
  <c r="P13" i="45" s="1"/>
  <c r="P40" i="45" s="1"/>
  <c r="T4" i="45"/>
  <c r="V3" i="28" s="1"/>
  <c r="V2" i="27" s="1"/>
  <c r="R53" i="9" l="1"/>
  <c r="R42" i="9"/>
  <c r="R70" i="48"/>
  <c r="Q18" i="9" s="1"/>
  <c r="Q16" i="9"/>
  <c r="S66" i="48"/>
  <c r="S68" i="48"/>
  <c r="U6" i="48"/>
  <c r="T10" i="48"/>
  <c r="T19" i="48"/>
  <c r="S14" i="9" s="1"/>
  <c r="S20" i="48"/>
  <c r="R11" i="48"/>
  <c r="S7" i="27"/>
  <c r="T7" i="27"/>
  <c r="T14" i="28"/>
  <c r="T15" i="27" s="1"/>
  <c r="Q13" i="45" a="1"/>
  <c r="Q13" i="45" s="1"/>
  <c r="Q40" i="45" s="1"/>
  <c r="U4" i="45"/>
  <c r="W3" i="28" s="1"/>
  <c r="W2" i="27" s="1"/>
  <c r="S53" i="9" l="1"/>
  <c r="S42" i="9"/>
  <c r="S70" i="48"/>
  <c r="R18" i="9" s="1"/>
  <c r="R16" i="9"/>
  <c r="T68" i="48"/>
  <c r="T66" i="48"/>
  <c r="S11" i="48"/>
  <c r="T20" i="48"/>
  <c r="V6" i="48"/>
  <c r="U10" i="48"/>
  <c r="U19" i="48"/>
  <c r="T14" i="9" s="1"/>
  <c r="V4" i="45"/>
  <c r="X3" i="28" s="1"/>
  <c r="X2" i="27" s="1"/>
  <c r="T7" i="28"/>
  <c r="U14" i="28"/>
  <c r="U15" i="27" s="1"/>
  <c r="U7" i="27"/>
  <c r="R13" i="45" a="1"/>
  <c r="R13" i="45" s="1"/>
  <c r="R40" i="45" s="1"/>
  <c r="T53" i="9" l="1"/>
  <c r="T42" i="9"/>
  <c r="T70" i="48"/>
  <c r="S18" i="9" s="1"/>
  <c r="S16" i="9"/>
  <c r="W6" i="48"/>
  <c r="V10" i="48"/>
  <c r="V19" i="48"/>
  <c r="U14" i="9" s="1"/>
  <c r="T11" i="48"/>
  <c r="U20" i="48"/>
  <c r="U66" i="48"/>
  <c r="U68" i="48"/>
  <c r="W4" i="45"/>
  <c r="Y3" i="28" s="1"/>
  <c r="Y2" i="27" s="1"/>
  <c r="V7" i="28"/>
  <c r="V14" i="28"/>
  <c r="V15" i="27" s="1"/>
  <c r="U7" i="28"/>
  <c r="S13" i="45" a="1"/>
  <c r="S13" i="45" s="1"/>
  <c r="S40" i="45" s="1"/>
  <c r="U70" i="48" l="1"/>
  <c r="T18" i="9" s="1"/>
  <c r="T16" i="9"/>
  <c r="U53" i="9"/>
  <c r="U42" i="9"/>
  <c r="V20" i="48"/>
  <c r="U11" i="48"/>
  <c r="V68" i="48"/>
  <c r="V66" i="48"/>
  <c r="X6" i="48"/>
  <c r="W10" i="48"/>
  <c r="W19" i="48"/>
  <c r="V14" i="9" s="1"/>
  <c r="X4" i="45"/>
  <c r="Z3" i="28" s="1"/>
  <c r="Z2" i="27" s="1"/>
  <c r="V7" i="27"/>
  <c r="W7" i="28"/>
  <c r="W14" i="28"/>
  <c r="W15" i="27" s="1"/>
  <c r="T13" i="45" a="1"/>
  <c r="T13" i="45" s="1"/>
  <c r="T40" i="45" s="1"/>
  <c r="V53" i="9" l="1"/>
  <c r="V42" i="9"/>
  <c r="V70" i="48"/>
  <c r="U18" i="9" s="1"/>
  <c r="U16" i="9"/>
  <c r="Y6" i="48"/>
  <c r="X10" i="48"/>
  <c r="X19" i="48"/>
  <c r="W14" i="9" s="1"/>
  <c r="W68" i="48"/>
  <c r="W66" i="48"/>
  <c r="W20" i="48"/>
  <c r="V11" i="48"/>
  <c r="Y4" i="45"/>
  <c r="AA3" i="28" s="1"/>
  <c r="AA2" i="27" s="1"/>
  <c r="V13" i="45" a="1"/>
  <c r="V13" i="45" s="1"/>
  <c r="W7" i="27"/>
  <c r="X14" i="28"/>
  <c r="X15" i="27" s="1"/>
  <c r="U13" i="45" a="1"/>
  <c r="U13" i="45" s="1"/>
  <c r="U40" i="45" s="1"/>
  <c r="W53" i="9" l="1"/>
  <c r="W42" i="9"/>
  <c r="W70" i="48"/>
  <c r="V18" i="9" s="1"/>
  <c r="V17" i="45" s="1" a="1"/>
  <c r="V17" i="45" s="1"/>
  <c r="V16" i="9"/>
  <c r="V15" i="45" s="1" a="1"/>
  <c r="V15" i="45" s="1"/>
  <c r="Y14" i="28"/>
  <c r="Y15" i="27" s="1"/>
  <c r="X20" i="48"/>
  <c r="W11" i="48"/>
  <c r="X68" i="48"/>
  <c r="X66" i="48"/>
  <c r="Z6" i="48"/>
  <c r="Y10" i="48"/>
  <c r="Y19" i="48"/>
  <c r="X14" i="9" s="1"/>
  <c r="Z4" i="45"/>
  <c r="AB3" i="28" s="1"/>
  <c r="AB2" i="27" s="1"/>
  <c r="W13" i="45" a="1"/>
  <c r="W13" i="45" s="1"/>
  <c r="Y7" i="27"/>
  <c r="Y7" i="28"/>
  <c r="V40" i="45"/>
  <c r="V29" i="45"/>
  <c r="X7" i="27"/>
  <c r="X7" i="28"/>
  <c r="Z14" i="28" l="1"/>
  <c r="Z15" i="27" s="1"/>
  <c r="X70" i="48"/>
  <c r="W18" i="9" s="1"/>
  <c r="W17" i="45" s="1" a="1"/>
  <c r="W17" i="45" s="1"/>
  <c r="W16" i="9"/>
  <c r="W15" i="45" s="1" a="1"/>
  <c r="W15" i="45" s="1"/>
  <c r="X53" i="9"/>
  <c r="X42" i="9"/>
  <c r="Y68" i="48"/>
  <c r="Y66" i="48"/>
  <c r="AA6" i="48"/>
  <c r="Z10" i="48"/>
  <c r="Z19" i="48"/>
  <c r="Y14" i="9" s="1"/>
  <c r="Y20" i="48"/>
  <c r="X11" i="48"/>
  <c r="AA4" i="45"/>
  <c r="AC3" i="28" s="1"/>
  <c r="AC2" i="27" s="1"/>
  <c r="W40" i="45"/>
  <c r="W29" i="45"/>
  <c r="Z7" i="28"/>
  <c r="Z7" i="27"/>
  <c r="X13" i="45" a="1"/>
  <c r="X13" i="45" s="1"/>
  <c r="C42" i="9"/>
  <c r="D70" i="48"/>
  <c r="C16" i="9"/>
  <c r="C15" i="45" s="1" a="1"/>
  <c r="C15" i="45" s="1"/>
  <c r="AA14" i="28" l="1"/>
  <c r="AA15" i="27" s="1"/>
  <c r="Y53" i="9"/>
  <c r="Y42" i="9"/>
  <c r="Y70" i="48"/>
  <c r="X18" i="9" s="1"/>
  <c r="X17" i="45" s="1" a="1"/>
  <c r="X17" i="45" s="1"/>
  <c r="X16" i="9"/>
  <c r="X15" i="45" s="1" a="1"/>
  <c r="X15" i="45" s="1"/>
  <c r="Z66" i="48"/>
  <c r="Z68" i="48"/>
  <c r="Z20" i="48"/>
  <c r="Y11" i="48"/>
  <c r="AA10" i="48"/>
  <c r="AA19" i="48"/>
  <c r="Z14" i="9" s="1"/>
  <c r="AB4" i="45"/>
  <c r="AD3" i="28" s="1"/>
  <c r="AD2" i="27" s="1"/>
  <c r="AA7" i="28"/>
  <c r="AA7" i="27"/>
  <c r="Y13" i="45" a="1"/>
  <c r="Y13" i="45" s="1"/>
  <c r="X40" i="45"/>
  <c r="X29" i="45"/>
  <c r="C29" i="45"/>
  <c r="C18" i="9"/>
  <c r="C17" i="45" s="1" a="1"/>
  <c r="C17" i="45" s="1"/>
  <c r="B16" i="9"/>
  <c r="B15" i="45" s="1" a="1"/>
  <c r="B15" i="45" s="1"/>
  <c r="Z53" i="9" l="1"/>
  <c r="Z42" i="9"/>
  <c r="Z70" i="48"/>
  <c r="Y18" i="9" s="1"/>
  <c r="Y17" i="45" s="1" a="1"/>
  <c r="Y17" i="45" s="1"/>
  <c r="Y16" i="9"/>
  <c r="Y15" i="45" s="1" a="1"/>
  <c r="Y15" i="45" s="1"/>
  <c r="AB14" i="28"/>
  <c r="AB15" i="27" s="1"/>
  <c r="AA20" i="48"/>
  <c r="AA11" i="48" s="1"/>
  <c r="Z11" i="48"/>
  <c r="AA68" i="48"/>
  <c r="AA66" i="48"/>
  <c r="AC4" i="45"/>
  <c r="AE3" i="28" s="1"/>
  <c r="AE2" i="27" s="1"/>
  <c r="AC14" i="28"/>
  <c r="AC15" i="27" s="1"/>
  <c r="AB7" i="28"/>
  <c r="Z13" i="45" a="1"/>
  <c r="Z13" i="45" s="1"/>
  <c r="AB7" i="27"/>
  <c r="Y29" i="45"/>
  <c r="Y40" i="45"/>
  <c r="C69" i="48"/>
  <c r="C13" i="48" s="1"/>
  <c r="C70" i="48"/>
  <c r="C67" i="48"/>
  <c r="D67" i="48" s="1"/>
  <c r="AA70" i="48" l="1"/>
  <c r="Z18" i="9" s="1"/>
  <c r="Z17" i="45" s="1" a="1"/>
  <c r="Z17" i="45" s="1"/>
  <c r="Z16" i="9"/>
  <c r="Z15" i="45" s="1" a="1"/>
  <c r="Z15" i="45" s="1"/>
  <c r="AD4" i="45"/>
  <c r="AF3" i="28" s="1"/>
  <c r="AF2" i="27" s="1"/>
  <c r="Z40" i="45"/>
  <c r="Z29" i="45"/>
  <c r="AC7" i="27"/>
  <c r="AC7" i="28"/>
  <c r="AA13" i="45" a="1"/>
  <c r="AA13" i="45" s="1"/>
  <c r="AD14" i="28"/>
  <c r="AD15" i="27" s="1"/>
  <c r="AA17" i="45" a="1"/>
  <c r="AA17" i="45" s="1"/>
  <c r="AA15" i="45" a="1"/>
  <c r="AA15" i="45" s="1"/>
  <c r="E67" i="48"/>
  <c r="B53" i="9"/>
  <c r="B42" i="9"/>
  <c r="F70" i="48"/>
  <c r="E18" i="9" s="1"/>
  <c r="E17" i="45" s="1" a="1"/>
  <c r="E17" i="45" s="1"/>
  <c r="E16" i="9"/>
  <c r="E15" i="45" s="1" a="1"/>
  <c r="E15" i="45" s="1"/>
  <c r="E70" i="48"/>
  <c r="D16" i="9"/>
  <c r="D15" i="45" s="1" a="1"/>
  <c r="D15" i="45" s="1"/>
  <c r="C71" i="48"/>
  <c r="D71" i="48" s="1"/>
  <c r="D12" i="48" s="1"/>
  <c r="D69" i="48"/>
  <c r="D13" i="48" s="1"/>
  <c r="B18" i="9"/>
  <c r="B17" i="45" s="1" a="1"/>
  <c r="B17" i="45" s="1"/>
  <c r="D7" i="27"/>
  <c r="AE4" i="45" l="1"/>
  <c r="AG3" i="28" s="1"/>
  <c r="AG2" i="27" s="1"/>
  <c r="AE14" i="28"/>
  <c r="AE15" i="27" s="1"/>
  <c r="AD7" i="27"/>
  <c r="AD7" i="28"/>
  <c r="AB13" i="45" a="1"/>
  <c r="AB13" i="45" s="1"/>
  <c r="AA29" i="45"/>
  <c r="AA40" i="45"/>
  <c r="AB15" i="45" a="1"/>
  <c r="AB15" i="45" s="1"/>
  <c r="AB17" i="45" a="1"/>
  <c r="AB17" i="45" s="1"/>
  <c r="F67" i="48"/>
  <c r="C12" i="48"/>
  <c r="C16" i="48" s="1"/>
  <c r="E42" i="9"/>
  <c r="B40" i="45"/>
  <c r="B29" i="45"/>
  <c r="D42" i="9"/>
  <c r="E71" i="48"/>
  <c r="F71" i="48" s="1"/>
  <c r="G70" i="48"/>
  <c r="F16" i="9"/>
  <c r="F15" i="45" s="1" a="1"/>
  <c r="F15" i="45" s="1"/>
  <c r="D18" i="9"/>
  <c r="D17" i="45" s="1" a="1"/>
  <c r="D17" i="45" s="1"/>
  <c r="E69" i="48"/>
  <c r="G15" i="45" a="1"/>
  <c r="G15" i="45" s="1"/>
  <c r="AF4" i="45" l="1"/>
  <c r="AH3" i="28" s="1"/>
  <c r="AH2" i="27" s="1"/>
  <c r="AC13" i="45" a="1"/>
  <c r="AC13" i="45" s="1"/>
  <c r="AE7" i="27"/>
  <c r="AE7" i="28"/>
  <c r="AC15" i="45" a="1"/>
  <c r="AC15" i="45" s="1"/>
  <c r="AC17" i="45" a="1"/>
  <c r="AC17" i="45" s="1"/>
  <c r="AB29" i="45"/>
  <c r="AB40" i="45"/>
  <c r="AF14" i="28"/>
  <c r="AF15" i="27" s="1"/>
  <c r="E12" i="48"/>
  <c r="G67" i="48"/>
  <c r="H67" i="48" s="1"/>
  <c r="F12" i="48"/>
  <c r="D16" i="48"/>
  <c r="B23" i="9"/>
  <c r="B24" i="9" s="1"/>
  <c r="D29" i="45"/>
  <c r="F42" i="9"/>
  <c r="E29" i="45"/>
  <c r="G71" i="48"/>
  <c r="F18" i="9"/>
  <c r="F17" i="45" s="1" a="1"/>
  <c r="F17" i="45" s="1"/>
  <c r="E13" i="48"/>
  <c r="F69" i="48"/>
  <c r="H70" i="48"/>
  <c r="G18" i="9" s="1"/>
  <c r="H15" i="45" a="1"/>
  <c r="H15" i="45" s="1"/>
  <c r="AG4" i="45" l="1"/>
  <c r="AI3" i="28" s="1"/>
  <c r="AI2" i="27" s="1"/>
  <c r="AG14" i="28"/>
  <c r="AG15" i="27" s="1"/>
  <c r="AC40" i="45"/>
  <c r="AC29" i="45"/>
  <c r="AF7" i="27"/>
  <c r="AD13" i="45" a="1"/>
  <c r="AD13" i="45" s="1"/>
  <c r="AF7" i="28"/>
  <c r="AD15" i="45" a="1"/>
  <c r="AD15" i="45" s="1"/>
  <c r="G12" i="48"/>
  <c r="C23" i="9"/>
  <c r="C48" i="9" s="1"/>
  <c r="B20" i="45" a="1"/>
  <c r="B20" i="45" s="1"/>
  <c r="D9" i="28"/>
  <c r="E16" i="48"/>
  <c r="B46" i="9"/>
  <c r="B48" i="9"/>
  <c r="F29" i="45"/>
  <c r="F13" i="48"/>
  <c r="F16" i="48" s="1"/>
  <c r="G69" i="48"/>
  <c r="H71" i="48"/>
  <c r="G17" i="45" a="1"/>
  <c r="G17" i="45" s="1"/>
  <c r="I70" i="48"/>
  <c r="I15" i="45" a="1"/>
  <c r="I15" i="45" s="1"/>
  <c r="B21" i="45" a="1"/>
  <c r="B21" i="45" s="1"/>
  <c r="AH4" i="45" l="1"/>
  <c r="AJ3" i="28" s="1"/>
  <c r="AJ2" i="27" s="1"/>
  <c r="AH14" i="28"/>
  <c r="AH15" i="27" s="1"/>
  <c r="AE15" i="45" a="1"/>
  <c r="AE15" i="45" s="1"/>
  <c r="AE17" i="45" a="1"/>
  <c r="AE17" i="45" s="1"/>
  <c r="AG7" i="27"/>
  <c r="AG7" i="28"/>
  <c r="AE13" i="45" a="1"/>
  <c r="AE13" i="45" s="1"/>
  <c r="H18" i="9"/>
  <c r="H17" i="45" s="1" a="1"/>
  <c r="H17" i="45" s="1"/>
  <c r="AD29" i="45"/>
  <c r="AD40" i="45"/>
  <c r="AD17" i="45" a="1"/>
  <c r="AD17" i="45" s="1"/>
  <c r="C20" i="45" a="1"/>
  <c r="C20" i="45" s="1"/>
  <c r="C33" i="45" s="1"/>
  <c r="E9" i="28"/>
  <c r="E11" i="28" s="1"/>
  <c r="E16" i="28" s="1"/>
  <c r="E20" i="28" s="1"/>
  <c r="C46" i="9"/>
  <c r="I67" i="48"/>
  <c r="J67" i="48" s="1"/>
  <c r="H12" i="48"/>
  <c r="D23" i="9"/>
  <c r="F9" i="28" s="1"/>
  <c r="D11" i="28"/>
  <c r="D10" i="27"/>
  <c r="E23" i="9"/>
  <c r="B35" i="45"/>
  <c r="B33" i="45"/>
  <c r="G29" i="45"/>
  <c r="B55" i="9"/>
  <c r="G13" i="48"/>
  <c r="G16" i="48" s="1"/>
  <c r="H69" i="48"/>
  <c r="I71" i="48"/>
  <c r="J71" i="48" s="1"/>
  <c r="K71" i="48" s="1"/>
  <c r="L71" i="48" s="1"/>
  <c r="M71" i="48" s="1"/>
  <c r="N71" i="48" s="1"/>
  <c r="O71" i="48" s="1"/>
  <c r="P71" i="48" s="1"/>
  <c r="Q71" i="48" s="1"/>
  <c r="R71" i="48" s="1"/>
  <c r="S71" i="48" s="1"/>
  <c r="T71" i="48" s="1"/>
  <c r="U71" i="48" s="1"/>
  <c r="V71" i="48" s="1"/>
  <c r="W71" i="48" s="1"/>
  <c r="X71" i="48" s="1"/>
  <c r="Y71" i="48" s="1"/>
  <c r="Z71" i="48" s="1"/>
  <c r="AA71" i="48" s="1"/>
  <c r="J15" i="45" a="1"/>
  <c r="J15" i="45" s="1"/>
  <c r="C24" i="9"/>
  <c r="AI4" i="45" l="1"/>
  <c r="AK3" i="28" s="1"/>
  <c r="AK2" i="27" s="1"/>
  <c r="K67" i="48"/>
  <c r="J12" i="48"/>
  <c r="AI14" i="28"/>
  <c r="AI15" i="27" s="1"/>
  <c r="AE29" i="45"/>
  <c r="AE40" i="45"/>
  <c r="AF15" i="45" a="1"/>
  <c r="AF15" i="45" s="1"/>
  <c r="AF17" i="45" a="1"/>
  <c r="AF17" i="45" s="1"/>
  <c r="AH7" i="28"/>
  <c r="AH7" i="27"/>
  <c r="AF13" i="45" a="1"/>
  <c r="AF13" i="45" s="1"/>
  <c r="C35" i="45"/>
  <c r="E10" i="27"/>
  <c r="D48" i="9"/>
  <c r="D20" i="45" a="1"/>
  <c r="D20" i="45" s="1"/>
  <c r="D35" i="45" s="1"/>
  <c r="D46" i="9"/>
  <c r="I12" i="48"/>
  <c r="C15" i="9"/>
  <c r="E8" i="27"/>
  <c r="F11" i="28"/>
  <c r="F16" i="28" s="1"/>
  <c r="F20" i="28" s="1"/>
  <c r="F10" i="27"/>
  <c r="E20" i="45" a="1"/>
  <c r="E20" i="45" s="1"/>
  <c r="G9" i="28"/>
  <c r="C21" i="45" a="1"/>
  <c r="C21" i="45" s="1"/>
  <c r="C42" i="45" s="1"/>
  <c r="C55" i="9"/>
  <c r="F23" i="9"/>
  <c r="E48" i="9"/>
  <c r="E46" i="9"/>
  <c r="H29" i="45"/>
  <c r="B42" i="45"/>
  <c r="B32" i="45"/>
  <c r="H13" i="48"/>
  <c r="I69" i="48"/>
  <c r="J69" i="48" s="1"/>
  <c r="I17" i="45" a="1"/>
  <c r="I17" i="45" s="1"/>
  <c r="K15" i="45" a="1"/>
  <c r="K15" i="45" s="1"/>
  <c r="D24" i="9"/>
  <c r="H16" i="48" l="1"/>
  <c r="G23" i="9" s="1"/>
  <c r="AJ4" i="45"/>
  <c r="AL3" i="28" s="1"/>
  <c r="AL2" i="27" s="1"/>
  <c r="AF29" i="45"/>
  <c r="AF40" i="45"/>
  <c r="AJ14" i="28"/>
  <c r="AJ15" i="27" s="1"/>
  <c r="AG17" i="45" a="1"/>
  <c r="AG17" i="45" s="1"/>
  <c r="AG15" i="45" a="1"/>
  <c r="AG15" i="45" s="1"/>
  <c r="J13" i="48"/>
  <c r="J16" i="48" s="1"/>
  <c r="I23" i="9" s="1"/>
  <c r="K69" i="48"/>
  <c r="AI7" i="27"/>
  <c r="AI7" i="28"/>
  <c r="AG13" i="45" a="1"/>
  <c r="AG13" i="45" s="1"/>
  <c r="L67" i="48"/>
  <c r="K12" i="48"/>
  <c r="E12" i="27"/>
  <c r="E17" i="27" s="1"/>
  <c r="E21" i="27" s="1"/>
  <c r="E25" i="27" s="1"/>
  <c r="C17" i="9" s="1"/>
  <c r="D33" i="45"/>
  <c r="D15" i="9"/>
  <c r="F8" i="27"/>
  <c r="F12" i="27" s="1"/>
  <c r="F17" i="27" s="1"/>
  <c r="F21" i="27" s="1"/>
  <c r="F25" i="27" s="1"/>
  <c r="D17" i="9" s="1"/>
  <c r="G11" i="28"/>
  <c r="G16" i="28" s="1"/>
  <c r="G20" i="28" s="1"/>
  <c r="G10" i="27"/>
  <c r="F20" i="45" a="1"/>
  <c r="F20" i="45" s="1"/>
  <c r="H9" i="28"/>
  <c r="C32" i="45"/>
  <c r="D21" i="45" a="1"/>
  <c r="D21" i="45" s="1"/>
  <c r="D42" i="45" s="1"/>
  <c r="D55" i="9"/>
  <c r="F48" i="9"/>
  <c r="F46" i="9"/>
  <c r="E35" i="45"/>
  <c r="E33" i="45"/>
  <c r="I29" i="45"/>
  <c r="J17" i="45" a="1"/>
  <c r="J17" i="45" s="1"/>
  <c r="I13" i="48"/>
  <c r="I16" i="48" s="1"/>
  <c r="H23" i="9" s="1"/>
  <c r="L15" i="45" a="1"/>
  <c r="L15" i="45" s="1"/>
  <c r="E24" i="9"/>
  <c r="G46" i="9" l="1"/>
  <c r="G24" i="9"/>
  <c r="G48" i="9"/>
  <c r="L12" i="48"/>
  <c r="M67" i="48"/>
  <c r="AK14" i="28"/>
  <c r="AK15" i="27" s="1"/>
  <c r="AG29" i="45"/>
  <c r="AG40" i="45"/>
  <c r="I48" i="9"/>
  <c r="I46" i="9"/>
  <c r="I24" i="9"/>
  <c r="AH15" i="45" a="1"/>
  <c r="AH15" i="45" s="1"/>
  <c r="H48" i="9"/>
  <c r="H46" i="9"/>
  <c r="H24" i="9"/>
  <c r="AJ7" i="27"/>
  <c r="AH13" i="45" a="1"/>
  <c r="AH13" i="45" s="1"/>
  <c r="AJ7" i="28"/>
  <c r="K13" i="48"/>
  <c r="K16" i="48" s="1"/>
  <c r="J23" i="9" s="1"/>
  <c r="L69" i="48"/>
  <c r="H11" i="28"/>
  <c r="H16" i="28" s="1"/>
  <c r="H20" i="28" s="1"/>
  <c r="H10" i="27"/>
  <c r="E15" i="9"/>
  <c r="G8" i="27"/>
  <c r="G12" i="27" s="1"/>
  <c r="G17" i="27" s="1"/>
  <c r="G21" i="27" s="1"/>
  <c r="G25" i="27" s="1"/>
  <c r="E17" i="9" s="1"/>
  <c r="G20" i="45" a="1"/>
  <c r="G20" i="45" s="1"/>
  <c r="I9" i="28"/>
  <c r="D32" i="45"/>
  <c r="E21" i="45" a="1"/>
  <c r="E21" i="45" s="1"/>
  <c r="E42" i="45" s="1"/>
  <c r="E55" i="9"/>
  <c r="F33" i="45"/>
  <c r="F35" i="45"/>
  <c r="J29" i="45"/>
  <c r="K17" i="45" a="1"/>
  <c r="K17" i="45" s="1"/>
  <c r="L17" i="45" a="1"/>
  <c r="L17" i="45" s="1"/>
  <c r="M15" i="45" a="1"/>
  <c r="M15" i="45" s="1"/>
  <c r="F24" i="9"/>
  <c r="G55" i="9" l="1"/>
  <c r="AH17" i="45" a="1"/>
  <c r="AH17" i="45" s="1"/>
  <c r="J48" i="9"/>
  <c r="J46" i="9"/>
  <c r="J24" i="9"/>
  <c r="I55" i="9"/>
  <c r="AI15" i="45" a="1"/>
  <c r="AI15" i="45" s="1"/>
  <c r="AL14" i="28"/>
  <c r="AL15" i="27" s="1"/>
  <c r="AI13" i="45" a="1"/>
  <c r="AI13" i="45" s="1"/>
  <c r="AK7" i="27"/>
  <c r="AK7" i="28"/>
  <c r="AH40" i="45"/>
  <c r="AH29" i="45"/>
  <c r="M69" i="48"/>
  <c r="L13" i="48"/>
  <c r="L16" i="48" s="1"/>
  <c r="K23" i="9" s="1"/>
  <c r="M12" i="48"/>
  <c r="N67" i="48"/>
  <c r="O67" i="48" s="1"/>
  <c r="H55" i="9"/>
  <c r="I11" i="28"/>
  <c r="I16" i="28" s="1"/>
  <c r="I20" i="28" s="1"/>
  <c r="G15" i="9" s="1"/>
  <c r="I10" i="27"/>
  <c r="F15" i="9"/>
  <c r="H8" i="27"/>
  <c r="H12" i="27" s="1"/>
  <c r="H17" i="27" s="1"/>
  <c r="H21" i="27" s="1"/>
  <c r="H25" i="27" s="1"/>
  <c r="F17" i="9" s="1"/>
  <c r="H20" i="45" a="1"/>
  <c r="H20" i="45" s="1"/>
  <c r="J9" i="28"/>
  <c r="E32" i="45"/>
  <c r="F21" i="45" a="1"/>
  <c r="F21" i="45" s="1"/>
  <c r="F42" i="45" s="1"/>
  <c r="F55" i="9"/>
  <c r="G33" i="45"/>
  <c r="G35" i="45"/>
  <c r="K29" i="45"/>
  <c r="N15" i="45" a="1"/>
  <c r="N15" i="45" s="1"/>
  <c r="P67" i="48" l="1"/>
  <c r="O12" i="48"/>
  <c r="AI17" i="45" a="1"/>
  <c r="AI17" i="45" s="1"/>
  <c r="K48" i="9"/>
  <c r="K46" i="9"/>
  <c r="K24" i="9"/>
  <c r="M13" i="48"/>
  <c r="M16" i="48" s="1"/>
  <c r="L23" i="9" s="1"/>
  <c r="N69" i="48"/>
  <c r="O69" i="48" s="1"/>
  <c r="AI40" i="45"/>
  <c r="AI29" i="45"/>
  <c r="N12" i="48"/>
  <c r="AJ15" i="45" a="1"/>
  <c r="AJ15" i="45" s="1"/>
  <c r="AJ17" i="45" a="1"/>
  <c r="AJ17" i="45" s="1"/>
  <c r="J55" i="9"/>
  <c r="AL7" i="28"/>
  <c r="AL7" i="27"/>
  <c r="AJ13" i="45" a="1"/>
  <c r="AJ13" i="45" s="1"/>
  <c r="I8" i="27"/>
  <c r="I12" i="27" s="1"/>
  <c r="I17" i="27" s="1"/>
  <c r="I21" i="27" s="1"/>
  <c r="I25" i="27" s="1"/>
  <c r="G17" i="9" s="1"/>
  <c r="G19" i="9" s="1"/>
  <c r="G26" i="9" s="1"/>
  <c r="G28" i="9" s="1"/>
  <c r="G34" i="9" s="1"/>
  <c r="J11" i="28"/>
  <c r="J16" i="28" s="1"/>
  <c r="J20" i="28" s="1"/>
  <c r="H15" i="9" s="1"/>
  <c r="J10" i="27"/>
  <c r="I20" i="45" a="1"/>
  <c r="I20" i="45" s="1"/>
  <c r="K9" i="28"/>
  <c r="F32" i="45"/>
  <c r="G21" i="45" a="1"/>
  <c r="G21" i="45" s="1"/>
  <c r="G42" i="45" s="1"/>
  <c r="H33" i="45"/>
  <c r="H35" i="45"/>
  <c r="L29" i="45"/>
  <c r="M17" i="45" a="1"/>
  <c r="M17" i="45" s="1"/>
  <c r="P69" i="48" l="1"/>
  <c r="O13" i="48"/>
  <c r="O16" i="48" s="1"/>
  <c r="N23" i="9" s="1"/>
  <c r="Q67" i="48"/>
  <c r="P12" i="48"/>
  <c r="L48" i="9"/>
  <c r="L46" i="9"/>
  <c r="L24" i="9"/>
  <c r="AJ40" i="45"/>
  <c r="AJ29" i="45"/>
  <c r="N13" i="48"/>
  <c r="N16" i="48" s="1"/>
  <c r="M23" i="9" s="1"/>
  <c r="K55" i="9"/>
  <c r="G54" i="9"/>
  <c r="G56" i="9" s="1"/>
  <c r="G43" i="9"/>
  <c r="G44" i="9" s="1"/>
  <c r="G41" i="9"/>
  <c r="K11" i="28"/>
  <c r="K16" i="28" s="1"/>
  <c r="K20" i="28" s="1"/>
  <c r="I15" i="9" s="1"/>
  <c r="K10" i="27"/>
  <c r="J8" i="27"/>
  <c r="J12" i="27" s="1"/>
  <c r="J17" i="27" s="1"/>
  <c r="J21" i="27" s="1"/>
  <c r="J25" i="27" s="1"/>
  <c r="H17" i="9" s="1"/>
  <c r="H19" i="9" s="1"/>
  <c r="H26" i="9" s="1"/>
  <c r="H28" i="9" s="1"/>
  <c r="H34" i="9" s="1"/>
  <c r="J20" i="45" a="1"/>
  <c r="J20" i="45" s="1"/>
  <c r="L9" i="28"/>
  <c r="G32" i="45"/>
  <c r="H21" i="45" a="1"/>
  <c r="H21" i="45" s="1"/>
  <c r="H42" i="45" s="1"/>
  <c r="I35" i="45"/>
  <c r="I33" i="45"/>
  <c r="M29" i="45"/>
  <c r="O17" i="45" a="1"/>
  <c r="O17" i="45" s="1"/>
  <c r="O15" i="45" a="1"/>
  <c r="O15" i="45" s="1"/>
  <c r="N17" i="45" a="1"/>
  <c r="N17" i="45" s="1"/>
  <c r="P15" i="45" a="1"/>
  <c r="P15" i="45" s="1"/>
  <c r="G45" i="9" l="1"/>
  <c r="G47" i="9" s="1"/>
  <c r="G49" i="9" s="1"/>
  <c r="G50" i="9" s="1"/>
  <c r="M46" i="9"/>
  <c r="M24" i="9"/>
  <c r="M48" i="9"/>
  <c r="N46" i="9"/>
  <c r="N24" i="9"/>
  <c r="N48" i="9"/>
  <c r="R67" i="48"/>
  <c r="Q12" i="48"/>
  <c r="Q69" i="48"/>
  <c r="P13" i="48"/>
  <c r="P16" i="48" s="1"/>
  <c r="O23" i="9" s="1"/>
  <c r="L55" i="9"/>
  <c r="H54" i="9"/>
  <c r="H56" i="9" s="1"/>
  <c r="H43" i="9"/>
  <c r="H44" i="9" s="1"/>
  <c r="H41" i="9"/>
  <c r="L11" i="28"/>
  <c r="L16" i="28" s="1"/>
  <c r="L20" i="28" s="1"/>
  <c r="J15" i="9" s="1"/>
  <c r="L10" i="27"/>
  <c r="K8" i="27"/>
  <c r="K12" i="27" s="1"/>
  <c r="K17" i="27" s="1"/>
  <c r="K21" i="27" s="1"/>
  <c r="K25" i="27" s="1"/>
  <c r="I17" i="9" s="1"/>
  <c r="I19" i="9" s="1"/>
  <c r="I26" i="9" s="1"/>
  <c r="I28" i="9" s="1"/>
  <c r="I34" i="9" s="1"/>
  <c r="K20" i="45" a="1"/>
  <c r="K20" i="45" s="1"/>
  <c r="M9" i="28"/>
  <c r="H32" i="45"/>
  <c r="I21" i="45" a="1"/>
  <c r="I21" i="45" s="1"/>
  <c r="I42" i="45" s="1"/>
  <c r="J35" i="45"/>
  <c r="J33" i="45"/>
  <c r="N29" i="45"/>
  <c r="Q15" i="45" a="1"/>
  <c r="Q15" i="45" s="1"/>
  <c r="H45" i="9" l="1"/>
  <c r="H47" i="9" s="1"/>
  <c r="H49" i="9" s="1"/>
  <c r="H50" i="9" s="1"/>
  <c r="O24" i="9"/>
  <c r="O48" i="9"/>
  <c r="O46" i="9"/>
  <c r="N55" i="9"/>
  <c r="M55" i="9"/>
  <c r="Q13" i="48"/>
  <c r="Q16" i="48" s="1"/>
  <c r="P23" i="9" s="1"/>
  <c r="R69" i="48"/>
  <c r="R12" i="48"/>
  <c r="S67" i="48"/>
  <c r="I54" i="9"/>
  <c r="I56" i="9" s="1"/>
  <c r="I43" i="9"/>
  <c r="I44" i="9" s="1"/>
  <c r="I41" i="9"/>
  <c r="M11" i="28"/>
  <c r="M16" i="28" s="1"/>
  <c r="M20" i="28" s="1"/>
  <c r="K15" i="9" s="1"/>
  <c r="M10" i="27"/>
  <c r="L8" i="27"/>
  <c r="L12" i="27" s="1"/>
  <c r="L17" i="27" s="1"/>
  <c r="L21" i="27" s="1"/>
  <c r="L25" i="27" s="1"/>
  <c r="J17" i="9" s="1"/>
  <c r="J19" i="9" s="1"/>
  <c r="J26" i="9" s="1"/>
  <c r="J28" i="9" s="1"/>
  <c r="J34" i="9" s="1"/>
  <c r="L20" i="45" a="1"/>
  <c r="L20" i="45" s="1"/>
  <c r="N9" i="28"/>
  <c r="I32" i="45"/>
  <c r="J21" i="45" a="1"/>
  <c r="J21" i="45" s="1"/>
  <c r="J42" i="45" s="1"/>
  <c r="K35" i="45"/>
  <c r="K33" i="45"/>
  <c r="O29" i="45"/>
  <c r="P17" i="45" a="1"/>
  <c r="P17" i="45" s="1"/>
  <c r="Q17" i="45" a="1"/>
  <c r="Q17" i="45" s="1"/>
  <c r="R15" i="45" a="1"/>
  <c r="R15" i="45" s="1"/>
  <c r="I45" i="9" l="1"/>
  <c r="I47" i="9" s="1"/>
  <c r="P24" i="9"/>
  <c r="P48" i="9"/>
  <c r="P46" i="9"/>
  <c r="O55" i="9"/>
  <c r="S12" i="48"/>
  <c r="T67" i="48"/>
  <c r="S69" i="48"/>
  <c r="R13" i="48"/>
  <c r="R16" i="48" s="1"/>
  <c r="Q23" i="9" s="1"/>
  <c r="J41" i="9"/>
  <c r="J54" i="9"/>
  <c r="J56" i="9" s="1"/>
  <c r="J43" i="9"/>
  <c r="J44" i="9" s="1"/>
  <c r="M8" i="27"/>
  <c r="M12" i="27" s="1"/>
  <c r="M17" i="27" s="1"/>
  <c r="M21" i="27" s="1"/>
  <c r="M25" i="27" s="1"/>
  <c r="K17" i="9" s="1"/>
  <c r="K19" i="9" s="1"/>
  <c r="K26" i="9" s="1"/>
  <c r="K28" i="9" s="1"/>
  <c r="K34" i="9" s="1"/>
  <c r="N11" i="28"/>
  <c r="N16" i="28" s="1"/>
  <c r="N20" i="28" s="1"/>
  <c r="L15" i="9" s="1"/>
  <c r="N10" i="27"/>
  <c r="M20" i="45" a="1"/>
  <c r="M20" i="45" s="1"/>
  <c r="O9" i="28"/>
  <c r="J32" i="45"/>
  <c r="K21" i="45" a="1"/>
  <c r="K21" i="45" s="1"/>
  <c r="K42" i="45" s="1"/>
  <c r="L35" i="45"/>
  <c r="L33" i="45"/>
  <c r="P29" i="45"/>
  <c r="S15" i="45" a="1"/>
  <c r="S15" i="45" s="1"/>
  <c r="J16" i="45" a="1"/>
  <c r="J16" i="45" s="1"/>
  <c r="J14" i="45" a="1"/>
  <c r="J14" i="45" s="1"/>
  <c r="I49" i="9" l="1"/>
  <c r="I50" i="9" s="1"/>
  <c r="J45" i="9"/>
  <c r="J47" i="9" s="1"/>
  <c r="J49" i="9" s="1"/>
  <c r="J50" i="9" s="1"/>
  <c r="Q24" i="9"/>
  <c r="Q48" i="9"/>
  <c r="Q46" i="9"/>
  <c r="P55" i="9"/>
  <c r="T69" i="48"/>
  <c r="S13" i="48"/>
  <c r="S16" i="48" s="1"/>
  <c r="R23" i="9" s="1"/>
  <c r="T12" i="48"/>
  <c r="U67" i="48"/>
  <c r="K41" i="9"/>
  <c r="K54" i="9"/>
  <c r="K56" i="9" s="1"/>
  <c r="K43" i="9"/>
  <c r="K44" i="9" s="1"/>
  <c r="O11" i="28"/>
  <c r="O16" i="28" s="1"/>
  <c r="O20" i="28" s="1"/>
  <c r="M15" i="9" s="1"/>
  <c r="O10" i="27"/>
  <c r="N8" i="27"/>
  <c r="N12" i="27" s="1"/>
  <c r="N17" i="27" s="1"/>
  <c r="N21" i="27" s="1"/>
  <c r="N25" i="27" s="1"/>
  <c r="L17" i="9" s="1"/>
  <c r="L19" i="9" s="1"/>
  <c r="L26" i="9" s="1"/>
  <c r="L28" i="9" s="1"/>
  <c r="L34" i="9" s="1"/>
  <c r="N20" i="45" a="1"/>
  <c r="N20" i="45" s="1"/>
  <c r="P9" i="28"/>
  <c r="K32" i="45"/>
  <c r="L21" i="45" a="1"/>
  <c r="L21" i="45" s="1"/>
  <c r="L42" i="45" s="1"/>
  <c r="J18" i="45" a="1"/>
  <c r="J18" i="45" s="1"/>
  <c r="J23" i="45" s="1"/>
  <c r="J25" i="45" s="1"/>
  <c r="J41" i="45" s="1"/>
  <c r="J43" i="45" s="1"/>
  <c r="M35" i="45"/>
  <c r="M33" i="45"/>
  <c r="Q29" i="45"/>
  <c r="R17" i="45" a="1"/>
  <c r="R17" i="45" s="1"/>
  <c r="S17" i="45" a="1"/>
  <c r="S17" i="45" s="1"/>
  <c r="T15" i="45" a="1"/>
  <c r="T15" i="45" s="1"/>
  <c r="K14" i="45" a="1"/>
  <c r="K14" i="45" s="1"/>
  <c r="K16" i="45" a="1"/>
  <c r="K16" i="45" s="1"/>
  <c r="K45" i="9" l="1"/>
  <c r="K47" i="9" s="1"/>
  <c r="R48" i="9"/>
  <c r="R46" i="9"/>
  <c r="R24" i="9"/>
  <c r="Q55" i="9"/>
  <c r="U12" i="48"/>
  <c r="V67" i="48"/>
  <c r="U69" i="48"/>
  <c r="T13" i="48"/>
  <c r="T16" i="48" s="1"/>
  <c r="S23" i="9" s="1"/>
  <c r="L43" i="9"/>
  <c r="L44" i="9" s="1"/>
  <c r="L41" i="9"/>
  <c r="L54" i="9"/>
  <c r="L56" i="9" s="1"/>
  <c r="P11" i="28"/>
  <c r="P16" i="28" s="1"/>
  <c r="P20" i="28" s="1"/>
  <c r="N15" i="9" s="1"/>
  <c r="P10" i="27"/>
  <c r="L32" i="45"/>
  <c r="O8" i="27"/>
  <c r="O12" i="27" s="1"/>
  <c r="O17" i="27" s="1"/>
  <c r="O21" i="27" s="1"/>
  <c r="O25" i="27" s="1"/>
  <c r="M17" i="9" s="1"/>
  <c r="M19" i="9" s="1"/>
  <c r="M26" i="9" s="1"/>
  <c r="M28" i="9" s="1"/>
  <c r="M34" i="9" s="1"/>
  <c r="O20" i="45" a="1"/>
  <c r="O20" i="45" s="1"/>
  <c r="Q9" i="28"/>
  <c r="M21" i="45" a="1"/>
  <c r="M21" i="45" s="1"/>
  <c r="M42" i="45" s="1"/>
  <c r="K18" i="45" a="1"/>
  <c r="K18" i="45" s="1"/>
  <c r="K23" i="45" s="1"/>
  <c r="K25" i="45" s="1"/>
  <c r="K41" i="45" s="1"/>
  <c r="K43" i="45" s="1"/>
  <c r="N33" i="45"/>
  <c r="N35" i="45"/>
  <c r="R29" i="45"/>
  <c r="T17" i="45" a="1"/>
  <c r="T17" i="45" s="1"/>
  <c r="U15" i="45" a="1"/>
  <c r="U15" i="45" s="1"/>
  <c r="L16" i="45" a="1"/>
  <c r="L16" i="45" s="1"/>
  <c r="L14" i="45" a="1"/>
  <c r="L14" i="45" s="1"/>
  <c r="K49" i="9" l="1"/>
  <c r="K50" i="9" s="1"/>
  <c r="L45" i="9"/>
  <c r="L47" i="9" s="1"/>
  <c r="L49" i="9" s="1"/>
  <c r="S24" i="9"/>
  <c r="S46" i="9"/>
  <c r="S48" i="9"/>
  <c r="R55" i="9"/>
  <c r="M43" i="9"/>
  <c r="M44" i="9" s="1"/>
  <c r="M54" i="9"/>
  <c r="M56" i="9" s="1"/>
  <c r="M41" i="9"/>
  <c r="U13" i="48"/>
  <c r="U16" i="48" s="1"/>
  <c r="T23" i="9" s="1"/>
  <c r="V69" i="48"/>
  <c r="V12" i="48"/>
  <c r="W67" i="48"/>
  <c r="M32" i="45"/>
  <c r="Q11" i="28"/>
  <c r="Q16" i="28" s="1"/>
  <c r="Q20" i="28" s="1"/>
  <c r="O15" i="9" s="1"/>
  <c r="Q10" i="27"/>
  <c r="P8" i="27"/>
  <c r="P12" i="27" s="1"/>
  <c r="P17" i="27" s="1"/>
  <c r="P21" i="27" s="1"/>
  <c r="P25" i="27" s="1"/>
  <c r="N17" i="9" s="1"/>
  <c r="N19" i="9" s="1"/>
  <c r="N26" i="9" s="1"/>
  <c r="N28" i="9" s="1"/>
  <c r="N34" i="9" s="1"/>
  <c r="P20" i="45" a="1"/>
  <c r="P20" i="45" s="1"/>
  <c r="R9" i="28"/>
  <c r="N21" i="45" a="1"/>
  <c r="N21" i="45" s="1"/>
  <c r="N42" i="45" s="1"/>
  <c r="L18" i="45" a="1"/>
  <c r="L18" i="45" s="1"/>
  <c r="L23" i="45" s="1"/>
  <c r="L25" i="45" s="1"/>
  <c r="L41" i="45" s="1"/>
  <c r="L43" i="45" s="1"/>
  <c r="O33" i="45"/>
  <c r="O35" i="45"/>
  <c r="S29" i="45"/>
  <c r="K30" i="45"/>
  <c r="M16" i="45" a="1"/>
  <c r="M16" i="45" s="1"/>
  <c r="M14" i="45" a="1"/>
  <c r="M14" i="45" s="1"/>
  <c r="M45" i="9" l="1"/>
  <c r="M47" i="9" s="1"/>
  <c r="M49" i="9" s="1"/>
  <c r="M50" i="9" s="1"/>
  <c r="L50" i="9"/>
  <c r="T24" i="9"/>
  <c r="T46" i="9"/>
  <c r="T48" i="9"/>
  <c r="S55" i="9"/>
  <c r="N41" i="9"/>
  <c r="N54" i="9"/>
  <c r="N56" i="9" s="1"/>
  <c r="N43" i="9"/>
  <c r="N44" i="9" s="1"/>
  <c r="W69" i="48"/>
  <c r="V13" i="48"/>
  <c r="V16" i="48" s="1"/>
  <c r="U23" i="9" s="1"/>
  <c r="W12" i="48"/>
  <c r="X67" i="48"/>
  <c r="R11" i="28"/>
  <c r="R16" i="28" s="1"/>
  <c r="R20" i="28" s="1"/>
  <c r="P15" i="9" s="1"/>
  <c r="R10" i="27"/>
  <c r="Q8" i="27"/>
  <c r="Q12" i="27" s="1"/>
  <c r="Q17" i="27" s="1"/>
  <c r="Q21" i="27" s="1"/>
  <c r="Q25" i="27" s="1"/>
  <c r="O17" i="9" s="1"/>
  <c r="O19" i="9" s="1"/>
  <c r="O26" i="9" s="1"/>
  <c r="O28" i="9" s="1"/>
  <c r="O34" i="9" s="1"/>
  <c r="Q20" i="45" a="1"/>
  <c r="Q20" i="45" s="1"/>
  <c r="S9" i="28"/>
  <c r="N32" i="45"/>
  <c r="O21" i="45" a="1"/>
  <c r="O21" i="45" s="1"/>
  <c r="O42" i="45" s="1"/>
  <c r="M18" i="45" a="1"/>
  <c r="M18" i="45" s="1"/>
  <c r="M23" i="45" s="1"/>
  <c r="M25" i="45" s="1"/>
  <c r="M41" i="45" s="1"/>
  <c r="M43" i="45" s="1"/>
  <c r="P35" i="45"/>
  <c r="P33" i="45"/>
  <c r="T29" i="45"/>
  <c r="K28" i="45"/>
  <c r="U17" i="45" a="1"/>
  <c r="U17" i="45" s="1"/>
  <c r="N16" i="45" a="1"/>
  <c r="N16" i="45" s="1"/>
  <c r="N14" i="45" a="1"/>
  <c r="N14" i="45" s="1"/>
  <c r="N45" i="9" l="1"/>
  <c r="N47" i="9" s="1"/>
  <c r="N49" i="9" s="1"/>
  <c r="N50" i="9" s="1"/>
  <c r="U24" i="9"/>
  <c r="U46" i="9"/>
  <c r="U48" i="9"/>
  <c r="T55" i="9"/>
  <c r="O43" i="9"/>
  <c r="O44" i="9" s="1"/>
  <c r="O54" i="9"/>
  <c r="O56" i="9" s="1"/>
  <c r="O41" i="9"/>
  <c r="Y67" i="48"/>
  <c r="X12" i="48"/>
  <c r="W13" i="48"/>
  <c r="W16" i="48" s="1"/>
  <c r="V23" i="9" s="1"/>
  <c r="X69" i="48"/>
  <c r="M22" i="28"/>
  <c r="M24" i="28" s="1"/>
  <c r="M27" i="27"/>
  <c r="M29" i="27" s="1"/>
  <c r="M31" i="27" s="1"/>
  <c r="S11" i="28"/>
  <c r="S16" i="28" s="1"/>
  <c r="S20" i="28" s="1"/>
  <c r="Q15" i="9" s="1"/>
  <c r="S10" i="27"/>
  <c r="R8" i="27"/>
  <c r="R12" i="27" s="1"/>
  <c r="R17" i="27" s="1"/>
  <c r="R21" i="27" s="1"/>
  <c r="R25" i="27" s="1"/>
  <c r="P17" i="9" s="1"/>
  <c r="P19" i="9" s="1"/>
  <c r="P26" i="9" s="1"/>
  <c r="P28" i="9" s="1"/>
  <c r="P34" i="9" s="1"/>
  <c r="R20" i="45" a="1"/>
  <c r="R20" i="45" s="1"/>
  <c r="T9" i="28"/>
  <c r="O32" i="45"/>
  <c r="P21" i="45" a="1"/>
  <c r="P21" i="45" s="1"/>
  <c r="P42" i="45" s="1"/>
  <c r="N18" i="45" a="1"/>
  <c r="N18" i="45" s="1"/>
  <c r="N23" i="45" s="1"/>
  <c r="N25" i="45" s="1"/>
  <c r="N41" i="45" s="1"/>
  <c r="N43" i="45" s="1"/>
  <c r="Q35" i="45"/>
  <c r="Q33" i="45"/>
  <c r="U29" i="45"/>
  <c r="M30" i="45"/>
  <c r="O16" i="45" a="1"/>
  <c r="O16" i="45" s="1"/>
  <c r="O14" i="45" a="1"/>
  <c r="O14" i="45" s="1"/>
  <c r="O45" i="9" l="1"/>
  <c r="O47" i="9" s="1"/>
  <c r="V24" i="9"/>
  <c r="V48" i="9"/>
  <c r="V46" i="9"/>
  <c r="U55" i="9"/>
  <c r="P43" i="9"/>
  <c r="P44" i="9" s="1"/>
  <c r="P54" i="9"/>
  <c r="P56" i="9" s="1"/>
  <c r="P41" i="9"/>
  <c r="Y69" i="48"/>
  <c r="X13" i="48"/>
  <c r="X16" i="48" s="1"/>
  <c r="W23" i="9" s="1"/>
  <c r="Z67" i="48"/>
  <c r="Y12" i="48"/>
  <c r="O22" i="28"/>
  <c r="O26" i="28" s="1"/>
  <c r="O28" i="28" s="1"/>
  <c r="O27" i="27"/>
  <c r="O29" i="27" s="1"/>
  <c r="O31" i="27" s="1"/>
  <c r="M26" i="28"/>
  <c r="M28" i="28" s="1"/>
  <c r="T11" i="28"/>
  <c r="T16" i="28" s="1"/>
  <c r="T20" i="28" s="1"/>
  <c r="R15" i="9" s="1"/>
  <c r="T10" i="27"/>
  <c r="S8" i="27"/>
  <c r="S12" i="27" s="1"/>
  <c r="S17" i="27" s="1"/>
  <c r="S21" i="27" s="1"/>
  <c r="S25" i="27" s="1"/>
  <c r="Q17" i="9" s="1"/>
  <c r="Q19" i="9" s="1"/>
  <c r="Q26" i="9" s="1"/>
  <c r="Q28" i="9" s="1"/>
  <c r="Q34" i="9" s="1"/>
  <c r="P32" i="45"/>
  <c r="S20" i="45" a="1"/>
  <c r="S20" i="45" s="1"/>
  <c r="U9" i="28"/>
  <c r="Q21" i="45" a="1"/>
  <c r="Q21" i="45" s="1"/>
  <c r="Q42" i="45" s="1"/>
  <c r="O18" i="45" a="1"/>
  <c r="O18" i="45" s="1"/>
  <c r="O23" i="45" s="1"/>
  <c r="O25" i="45" s="1"/>
  <c r="O41" i="45" s="1"/>
  <c r="O43" i="45" s="1"/>
  <c r="R35" i="45"/>
  <c r="R33" i="45"/>
  <c r="M28" i="45"/>
  <c r="K34" i="45"/>
  <c r="N30" i="45"/>
  <c r="P14" i="45" a="1"/>
  <c r="P14" i="45" s="1"/>
  <c r="P16" i="45" a="1"/>
  <c r="P16" i="45" s="1"/>
  <c r="P45" i="9" l="1"/>
  <c r="P47" i="9" s="1"/>
  <c r="P49" i="9" s="1"/>
  <c r="P50" i="9" s="1"/>
  <c r="O49" i="9"/>
  <c r="O50" i="9" s="1"/>
  <c r="W24" i="9"/>
  <c r="W46" i="9"/>
  <c r="W48" i="9"/>
  <c r="V55" i="9"/>
  <c r="Q43" i="9"/>
  <c r="Q44" i="9" s="1"/>
  <c r="Q41" i="9"/>
  <c r="Q54" i="9"/>
  <c r="Q56" i="9" s="1"/>
  <c r="Z12" i="48"/>
  <c r="AA67" i="48"/>
  <c r="AA12" i="48" s="1"/>
  <c r="Z69" i="48"/>
  <c r="Y13" i="48"/>
  <c r="Y16" i="48" s="1"/>
  <c r="X23" i="9" s="1"/>
  <c r="V20" i="45" a="1"/>
  <c r="V20" i="45" s="1"/>
  <c r="P22" i="28"/>
  <c r="P24" i="28" s="1"/>
  <c r="P27" i="27"/>
  <c r="P29" i="27" s="1"/>
  <c r="P31" i="27" s="1"/>
  <c r="O24" i="28"/>
  <c r="U11" i="28"/>
  <c r="U16" i="28" s="1"/>
  <c r="U20" i="28" s="1"/>
  <c r="S15" i="9" s="1"/>
  <c r="U10" i="27"/>
  <c r="Q32" i="45"/>
  <c r="T8" i="27"/>
  <c r="T12" i="27" s="1"/>
  <c r="T17" i="27" s="1"/>
  <c r="T21" i="27" s="1"/>
  <c r="T25" i="27" s="1"/>
  <c r="R17" i="9" s="1"/>
  <c r="R19" i="9" s="1"/>
  <c r="R26" i="9" s="1"/>
  <c r="R28" i="9" s="1"/>
  <c r="R34" i="9" s="1"/>
  <c r="T20" i="45" a="1"/>
  <c r="T20" i="45" s="1"/>
  <c r="V9" i="28"/>
  <c r="R21" i="45" a="1"/>
  <c r="R21" i="45" s="1"/>
  <c r="R42" i="45" s="1"/>
  <c r="P18" i="45" a="1"/>
  <c r="P18" i="45" s="1"/>
  <c r="P23" i="45" s="1"/>
  <c r="P25" i="45" s="1"/>
  <c r="P41" i="45" s="1"/>
  <c r="P43" i="45" s="1"/>
  <c r="S35" i="45"/>
  <c r="S33" i="45"/>
  <c r="N28" i="45"/>
  <c r="K36" i="45"/>
  <c r="K37" i="45" s="1"/>
  <c r="Q14" i="45" a="1"/>
  <c r="Q14" i="45" s="1"/>
  <c r="Q16" i="45" a="1"/>
  <c r="Q16" i="45" s="1"/>
  <c r="Q45" i="9" l="1"/>
  <c r="Q47" i="9" s="1"/>
  <c r="Q49" i="9" s="1"/>
  <c r="Q50" i="9" s="1"/>
  <c r="X48" i="9"/>
  <c r="X46" i="9"/>
  <c r="X24" i="9"/>
  <c r="W55" i="9"/>
  <c r="R41" i="9"/>
  <c r="R43" i="9"/>
  <c r="R44" i="9" s="1"/>
  <c r="R54" i="9"/>
  <c r="R56" i="9" s="1"/>
  <c r="Z13" i="48"/>
  <c r="Z16" i="48" s="1"/>
  <c r="Y23" i="9" s="1"/>
  <c r="AA69" i="48"/>
  <c r="AA13" i="48" s="1"/>
  <c r="AA16" i="48" s="1"/>
  <c r="Z23" i="9" s="1"/>
  <c r="W20" i="45" a="1"/>
  <c r="W20" i="45" s="1"/>
  <c r="Y9" i="28"/>
  <c r="V21" i="45" a="1"/>
  <c r="V21" i="45" s="1"/>
  <c r="V35" i="45"/>
  <c r="V33" i="45"/>
  <c r="P26" i="28"/>
  <c r="P28" i="28" s="1"/>
  <c r="V11" i="28"/>
  <c r="V16" i="28" s="1"/>
  <c r="V20" i="28" s="1"/>
  <c r="T15" i="9" s="1"/>
  <c r="V10" i="27"/>
  <c r="U8" i="27"/>
  <c r="U12" i="27" s="1"/>
  <c r="U17" i="27" s="1"/>
  <c r="U21" i="27" s="1"/>
  <c r="U25" i="27" s="1"/>
  <c r="S17" i="9" s="1"/>
  <c r="S19" i="9" s="1"/>
  <c r="S26" i="9" s="1"/>
  <c r="S28" i="9" s="1"/>
  <c r="S34" i="9" s="1"/>
  <c r="U20" i="45" a="1"/>
  <c r="U20" i="45" s="1"/>
  <c r="W9" i="28"/>
  <c r="R32" i="45"/>
  <c r="S21" i="45" a="1"/>
  <c r="S21" i="45" s="1"/>
  <c r="S42" i="45" s="1"/>
  <c r="Q18" i="45" a="1"/>
  <c r="Q18" i="45" s="1"/>
  <c r="Q23" i="45" s="1"/>
  <c r="Q25" i="45" s="1"/>
  <c r="Q41" i="45" s="1"/>
  <c r="Q43" i="45" s="1"/>
  <c r="T35" i="45"/>
  <c r="T33" i="45"/>
  <c r="M34" i="45"/>
  <c r="R14" i="45" a="1"/>
  <c r="R14" i="45" s="1"/>
  <c r="R16" i="45" a="1"/>
  <c r="R16" i="45" s="1"/>
  <c r="R45" i="9" l="1"/>
  <c r="R47" i="9" s="1"/>
  <c r="R49" i="9" s="1"/>
  <c r="Y46" i="9"/>
  <c r="Y24" i="9"/>
  <c r="Y48" i="9"/>
  <c r="X55" i="9"/>
  <c r="Z48" i="9"/>
  <c r="Z46" i="9"/>
  <c r="Z24" i="9"/>
  <c r="S41" i="9"/>
  <c r="S54" i="9"/>
  <c r="S56" i="9" s="1"/>
  <c r="S43" i="9"/>
  <c r="S44" i="9" s="1"/>
  <c r="X20" i="45" a="1"/>
  <c r="X20" i="45" s="1"/>
  <c r="Z9" i="28"/>
  <c r="W21" i="45" a="1"/>
  <c r="W21" i="45" s="1"/>
  <c r="Y10" i="27"/>
  <c r="Y11" i="28"/>
  <c r="Y16" i="28" s="1"/>
  <c r="W35" i="45"/>
  <c r="W33" i="45"/>
  <c r="V42" i="45"/>
  <c r="V32" i="45"/>
  <c r="V34" i="45" s="1"/>
  <c r="V36" i="45" s="1"/>
  <c r="V37" i="45" s="1"/>
  <c r="S32" i="45"/>
  <c r="V8" i="27"/>
  <c r="V12" i="27" s="1"/>
  <c r="V17" i="27" s="1"/>
  <c r="V21" i="27" s="1"/>
  <c r="V25" i="27" s="1"/>
  <c r="T17" i="9" s="1"/>
  <c r="T19" i="9" s="1"/>
  <c r="T26" i="9" s="1"/>
  <c r="T28" i="9" s="1"/>
  <c r="T34" i="9" s="1"/>
  <c r="W11" i="28"/>
  <c r="W16" i="28" s="1"/>
  <c r="W20" i="28" s="1"/>
  <c r="U15" i="9" s="1"/>
  <c r="W10" i="27"/>
  <c r="X9" i="28"/>
  <c r="T21" i="45" a="1"/>
  <c r="T21" i="45" s="1"/>
  <c r="T42" i="45" s="1"/>
  <c r="R18" i="45" a="1"/>
  <c r="R18" i="45" s="1"/>
  <c r="R23" i="45" s="1"/>
  <c r="R25" i="45" s="1"/>
  <c r="R41" i="45" s="1"/>
  <c r="R43" i="45" s="1"/>
  <c r="U35" i="45"/>
  <c r="U33" i="45"/>
  <c r="Q30" i="45"/>
  <c r="N34" i="45"/>
  <c r="M36" i="45"/>
  <c r="M37" i="45" s="1"/>
  <c r="S14" i="45" a="1"/>
  <c r="S14" i="45" s="1"/>
  <c r="S16" i="45" a="1"/>
  <c r="S16" i="45" s="1"/>
  <c r="S45" i="9" l="1"/>
  <c r="S47" i="9" s="1"/>
  <c r="S49" i="9" s="1"/>
  <c r="R50" i="9"/>
  <c r="Y55" i="9"/>
  <c r="Z55" i="9"/>
  <c r="T41" i="9"/>
  <c r="T54" i="9"/>
  <c r="T56" i="9" s="1"/>
  <c r="T43" i="9"/>
  <c r="T44" i="9" s="1"/>
  <c r="Y20" i="28"/>
  <c r="W15" i="9" s="1"/>
  <c r="W32" i="45"/>
  <c r="W34" i="45" s="1"/>
  <c r="W36" i="45" s="1"/>
  <c r="W37" i="45" s="1"/>
  <c r="W42" i="45"/>
  <c r="X21" i="45" a="1"/>
  <c r="X21" i="45" s="1"/>
  <c r="Y20" i="45" a="1"/>
  <c r="Y20" i="45" s="1"/>
  <c r="AA9" i="28"/>
  <c r="Z10" i="27"/>
  <c r="Z11" i="28"/>
  <c r="Z16" i="28" s="1"/>
  <c r="X35" i="45"/>
  <c r="X33" i="45"/>
  <c r="X11" i="28"/>
  <c r="X16" i="28" s="1"/>
  <c r="X20" i="28" s="1"/>
  <c r="V15" i="9" s="1"/>
  <c r="X10" i="27"/>
  <c r="W8" i="27"/>
  <c r="W12" i="27" s="1"/>
  <c r="W17" i="27" s="1"/>
  <c r="W21" i="27" s="1"/>
  <c r="W25" i="27" s="1"/>
  <c r="U17" i="9" s="1"/>
  <c r="U19" i="9" s="1"/>
  <c r="U26" i="9" s="1"/>
  <c r="U28" i="9" s="1"/>
  <c r="U34" i="9" s="1"/>
  <c r="T32" i="45"/>
  <c r="U21" i="45" a="1"/>
  <c r="U21" i="45" s="1"/>
  <c r="U42" i="45" s="1"/>
  <c r="S18" i="45" a="1"/>
  <c r="S18" i="45" s="1"/>
  <c r="S23" i="45" s="1"/>
  <c r="S25" i="45" s="1"/>
  <c r="S41" i="45" s="1"/>
  <c r="S43" i="45" s="1"/>
  <c r="Q28" i="45"/>
  <c r="N36" i="45"/>
  <c r="N37" i="45" s="1"/>
  <c r="T14" i="45" a="1"/>
  <c r="T14" i="45" s="1"/>
  <c r="T16" i="45" a="1"/>
  <c r="T16" i="45" s="1"/>
  <c r="T45" i="9" l="1"/>
  <c r="T47" i="9" s="1"/>
  <c r="T49" i="9" s="1"/>
  <c r="S50" i="9"/>
  <c r="U54" i="9"/>
  <c r="U56" i="9" s="1"/>
  <c r="U41" i="9"/>
  <c r="U43" i="9"/>
  <c r="U44" i="9" s="1"/>
  <c r="Z20" i="45" a="1"/>
  <c r="Z20" i="45" s="1"/>
  <c r="AB9" i="28"/>
  <c r="Y35" i="45"/>
  <c r="Y33" i="45"/>
  <c r="Z20" i="28"/>
  <c r="X15" i="9" s="1"/>
  <c r="Y21" i="45" a="1"/>
  <c r="Y21" i="45" s="1"/>
  <c r="AA10" i="27"/>
  <c r="AA11" i="28"/>
  <c r="AA16" i="28" s="1"/>
  <c r="X32" i="45"/>
  <c r="X34" i="45" s="1"/>
  <c r="X36" i="45" s="1"/>
  <c r="X37" i="45" s="1"/>
  <c r="X42" i="45"/>
  <c r="Y8" i="27"/>
  <c r="Y12" i="27" s="1"/>
  <c r="Y17" i="27" s="1"/>
  <c r="Y21" i="27" s="1"/>
  <c r="Y25" i="27" s="1"/>
  <c r="V14" i="45" a="1"/>
  <c r="V14" i="45" s="1"/>
  <c r="S22" i="28"/>
  <c r="S24" i="28" s="1"/>
  <c r="S27" i="27"/>
  <c r="S29" i="27" s="1"/>
  <c r="S31" i="27" s="1"/>
  <c r="U32" i="45"/>
  <c r="X8" i="27"/>
  <c r="X12" i="27" s="1"/>
  <c r="X17" i="27" s="1"/>
  <c r="X21" i="27" s="1"/>
  <c r="X25" i="27" s="1"/>
  <c r="T18" i="45" a="1"/>
  <c r="T18" i="45" s="1"/>
  <c r="T23" i="45" s="1"/>
  <c r="T25" i="45" s="1"/>
  <c r="T41" i="45" s="1"/>
  <c r="T43" i="45" s="1"/>
  <c r="U14" i="45" a="1"/>
  <c r="U14" i="45" s="1"/>
  <c r="U16" i="45" a="1"/>
  <c r="U16" i="45" s="1"/>
  <c r="U45" i="9" l="1"/>
  <c r="U47" i="9" s="1"/>
  <c r="T50" i="9"/>
  <c r="W17" i="9"/>
  <c r="W19" i="9" s="1"/>
  <c r="W26" i="9" s="1"/>
  <c r="W28" i="9" s="1"/>
  <c r="W34" i="9" s="1"/>
  <c r="V17" i="9"/>
  <c r="V19" i="9" s="1"/>
  <c r="V26" i="9" s="1"/>
  <c r="V28" i="9" s="1"/>
  <c r="V34" i="9" s="1"/>
  <c r="W14" i="45" a="1"/>
  <c r="W14" i="45" s="1"/>
  <c r="Y42" i="45"/>
  <c r="Y32" i="45"/>
  <c r="Y34" i="45" s="1"/>
  <c r="Y36" i="45" s="1"/>
  <c r="Y37" i="45" s="1"/>
  <c r="Z8" i="27"/>
  <c r="Z12" i="27" s="1"/>
  <c r="Z17" i="27" s="1"/>
  <c r="Z21" i="27" s="1"/>
  <c r="Z25" i="27" s="1"/>
  <c r="Z21" i="45" a="1"/>
  <c r="Z21" i="45" s="1"/>
  <c r="AA20" i="28"/>
  <c r="Y15" i="9" s="1"/>
  <c r="AA20" i="45" a="1"/>
  <c r="AA20" i="45" s="1"/>
  <c r="AC9" i="28"/>
  <c r="AB10" i="27"/>
  <c r="AB11" i="28"/>
  <c r="AB16" i="28" s="1"/>
  <c r="Z35" i="45"/>
  <c r="Z33" i="45"/>
  <c r="S26" i="28"/>
  <c r="S28" i="28" s="1"/>
  <c r="U18" i="45" a="1"/>
  <c r="U18" i="45" s="1"/>
  <c r="U23" i="45" s="1"/>
  <c r="U25" i="45" s="1"/>
  <c r="U41" i="45" s="1"/>
  <c r="U43" i="45" s="1"/>
  <c r="Q34" i="45"/>
  <c r="U49" i="9" l="1"/>
  <c r="U50" i="9" s="1"/>
  <c r="X17" i="9"/>
  <c r="X19" i="9" s="1"/>
  <c r="X26" i="9" s="1"/>
  <c r="X28" i="9" s="1"/>
  <c r="X34" i="9" s="1"/>
  <c r="V16" i="45" a="1"/>
  <c r="V16" i="45" s="1"/>
  <c r="W43" i="9"/>
  <c r="W44" i="9" s="1"/>
  <c r="W41" i="9"/>
  <c r="W54" i="9"/>
  <c r="W56" i="9" s="1"/>
  <c r="V41" i="9"/>
  <c r="V54" i="9"/>
  <c r="V56" i="9" s="1"/>
  <c r="V43" i="9"/>
  <c r="V44" i="9" s="1"/>
  <c r="W16" i="45" a="1"/>
  <c r="W16" i="45" s="1"/>
  <c r="AB20" i="45" a="1"/>
  <c r="AB20" i="45" s="1"/>
  <c r="AD9" i="28"/>
  <c r="X14" i="45" a="1"/>
  <c r="X14" i="45" s="1"/>
  <c r="AA35" i="45"/>
  <c r="AA33" i="45"/>
  <c r="V18" i="45" a="1"/>
  <c r="V18" i="45" s="1"/>
  <c r="V23" i="45" s="1"/>
  <c r="V25" i="45" s="1"/>
  <c r="V28" i="45" s="1"/>
  <c r="AA8" i="27"/>
  <c r="AA12" i="27" s="1"/>
  <c r="AA17" i="27" s="1"/>
  <c r="AA21" i="27" s="1"/>
  <c r="AA25" i="27" s="1"/>
  <c r="AA21" i="45" a="1"/>
  <c r="AA21" i="45" s="1"/>
  <c r="Z32" i="45"/>
  <c r="Z34" i="45" s="1"/>
  <c r="Z36" i="45" s="1"/>
  <c r="Z37" i="45" s="1"/>
  <c r="Z42" i="45"/>
  <c r="W18" i="45" a="1"/>
  <c r="W18" i="45" s="1"/>
  <c r="W23" i="45" s="1"/>
  <c r="W25" i="45" s="1"/>
  <c r="AB20" i="28"/>
  <c r="Z15" i="9" s="1"/>
  <c r="AC10" i="27"/>
  <c r="AC11" i="28"/>
  <c r="AC16" i="28" s="1"/>
  <c r="Q36" i="45"/>
  <c r="Q37" i="45" s="1"/>
  <c r="W45" i="9" l="1"/>
  <c r="W47" i="9" s="1"/>
  <c r="W49" i="9" s="1"/>
  <c r="W50" i="9" s="1"/>
  <c r="V45" i="9"/>
  <c r="V47" i="9" s="1"/>
  <c r="V49" i="9" s="1"/>
  <c r="Y17" i="9"/>
  <c r="Y19" i="9" s="1"/>
  <c r="Y26" i="9" s="1"/>
  <c r="Y28" i="9" s="1"/>
  <c r="Y34" i="9" s="1"/>
  <c r="X41" i="9"/>
  <c r="X54" i="9"/>
  <c r="X56" i="9" s="1"/>
  <c r="X43" i="9"/>
  <c r="X44" i="9" s="1"/>
  <c r="X16" i="45" a="1"/>
  <c r="X16" i="45" s="1"/>
  <c r="V30" i="45"/>
  <c r="V31" i="45" s="1"/>
  <c r="V41" i="45"/>
  <c r="V43" i="45" s="1"/>
  <c r="X18" i="45" a="1"/>
  <c r="X18" i="45" s="1"/>
  <c r="X23" i="45" s="1"/>
  <c r="X25" i="45" s="1"/>
  <c r="AC20" i="28"/>
  <c r="AC20" i="45" a="1"/>
  <c r="AC20" i="45" s="1"/>
  <c r="AE9" i="28"/>
  <c r="Y14" i="45" a="1"/>
  <c r="Y14" i="45" s="1"/>
  <c r="AB21" i="45" a="1"/>
  <c r="AB21" i="45" s="1"/>
  <c r="AA32" i="45"/>
  <c r="AA34" i="45" s="1"/>
  <c r="AA36" i="45" s="1"/>
  <c r="AA37" i="45" s="1"/>
  <c r="AA42" i="45"/>
  <c r="AD10" i="27"/>
  <c r="AD11" i="28"/>
  <c r="AD16" i="28" s="1"/>
  <c r="AB8" i="27"/>
  <c r="AB12" i="27" s="1"/>
  <c r="AB17" i="27" s="1"/>
  <c r="AB21" i="27" s="1"/>
  <c r="AB25" i="27" s="1"/>
  <c r="Y27" i="27"/>
  <c r="Y29" i="27" s="1"/>
  <c r="Y31" i="27" s="1"/>
  <c r="Y22" i="28"/>
  <c r="W30" i="45"/>
  <c r="W31" i="45" s="1"/>
  <c r="W41" i="45"/>
  <c r="W43" i="45" s="1"/>
  <c r="W28" i="45"/>
  <c r="AB35" i="45"/>
  <c r="AB33" i="45"/>
  <c r="D14" i="45" a="1"/>
  <c r="D14" i="45" s="1"/>
  <c r="C14" i="45" a="1"/>
  <c r="C14" i="45" s="1"/>
  <c r="H14" i="45" a="1"/>
  <c r="H14" i="45" s="1"/>
  <c r="E14" i="45" a="1"/>
  <c r="E14" i="45" s="1"/>
  <c r="F14" i="45" a="1"/>
  <c r="F14" i="45" s="1"/>
  <c r="G14" i="45" a="1"/>
  <c r="G14" i="45" s="1"/>
  <c r="X45" i="9" l="1"/>
  <c r="X47" i="9" s="1"/>
  <c r="X49" i="9" s="1"/>
  <c r="V50" i="9"/>
  <c r="Z17" i="9"/>
  <c r="Z19" i="9" s="1"/>
  <c r="Z26" i="9" s="1"/>
  <c r="Z28" i="9" s="1"/>
  <c r="Z34" i="9" s="1"/>
  <c r="Y41" i="9"/>
  <c r="Y54" i="9"/>
  <c r="Y56" i="9" s="1"/>
  <c r="Y43" i="9"/>
  <c r="Y44" i="9" s="1"/>
  <c r="Y16" i="45" a="1"/>
  <c r="Y16" i="45" s="1"/>
  <c r="Z14" i="45" a="1"/>
  <c r="Z14" i="45" s="1"/>
  <c r="AC35" i="45"/>
  <c r="AC33" i="45"/>
  <c r="AB32" i="45"/>
  <c r="AB34" i="45" s="1"/>
  <c r="AB36" i="45" s="1"/>
  <c r="AB37" i="45" s="1"/>
  <c r="AB42" i="45"/>
  <c r="AC8" i="27"/>
  <c r="AC12" i="27" s="1"/>
  <c r="AC17" i="27" s="1"/>
  <c r="AC21" i="27" s="1"/>
  <c r="AC25" i="27" s="1"/>
  <c r="AA16" i="45" s="1" a="1"/>
  <c r="AA16" i="45" s="1"/>
  <c r="Y24" i="28"/>
  <c r="Y26" i="28"/>
  <c r="Y28" i="28" s="1"/>
  <c r="Z22" i="28"/>
  <c r="Z27" i="27"/>
  <c r="Z29" i="27" s="1"/>
  <c r="Z31" i="27" s="1"/>
  <c r="AC21" i="45" a="1"/>
  <c r="AC21" i="45" s="1"/>
  <c r="X41" i="45"/>
  <c r="X43" i="45" s="1"/>
  <c r="X30" i="45"/>
  <c r="X31" i="45" s="1"/>
  <c r="X28" i="45"/>
  <c r="AD20" i="28"/>
  <c r="Y18" i="45" a="1"/>
  <c r="Y18" i="45" s="1"/>
  <c r="Y23" i="45" s="1"/>
  <c r="Y25" i="45" s="1"/>
  <c r="AE10" i="27"/>
  <c r="AE11" i="28"/>
  <c r="AE16" i="28" s="1"/>
  <c r="AD20" i="45" a="1"/>
  <c r="AD20" i="45" s="1"/>
  <c r="AF9" i="28"/>
  <c r="I16" i="45" a="1"/>
  <c r="I16" i="45" s="1"/>
  <c r="H16" i="45" a="1"/>
  <c r="H16" i="45" s="1"/>
  <c r="F16" i="45" a="1"/>
  <c r="F16" i="45" s="1"/>
  <c r="E16" i="45" a="1"/>
  <c r="E16" i="45" s="1"/>
  <c r="G16" i="45" a="1"/>
  <c r="G16" i="45" s="1"/>
  <c r="D16" i="45" a="1"/>
  <c r="D16" i="45" s="1"/>
  <c r="C16" i="45" a="1"/>
  <c r="C16" i="45" s="1"/>
  <c r="Y45" i="9" l="1"/>
  <c r="Y47" i="9" s="1"/>
  <c r="Y49" i="9" s="1"/>
  <c r="X50" i="9"/>
  <c r="Z54" i="9"/>
  <c r="Z56" i="9" s="1"/>
  <c r="Z41" i="9"/>
  <c r="Z43" i="9"/>
  <c r="Z44" i="9" s="1"/>
  <c r="Z16" i="45" a="1"/>
  <c r="Z16" i="45" s="1"/>
  <c r="AE20" i="28"/>
  <c r="Z24" i="28"/>
  <c r="Z26" i="28"/>
  <c r="Z28" i="28" s="1"/>
  <c r="Y41" i="45"/>
  <c r="Y43" i="45" s="1"/>
  <c r="Y28" i="45"/>
  <c r="Y30" i="45"/>
  <c r="Y31" i="45" s="1"/>
  <c r="Z18" i="45" a="1"/>
  <c r="Z18" i="45" s="1"/>
  <c r="Z23" i="45" s="1"/>
  <c r="Z25" i="45" s="1"/>
  <c r="AC42" i="45"/>
  <c r="AC32" i="45"/>
  <c r="AC34" i="45" s="1"/>
  <c r="AC36" i="45" s="1"/>
  <c r="AC37" i="45" s="1"/>
  <c r="AA14" i="45" a="1"/>
  <c r="AA14" i="45" s="1"/>
  <c r="AD21" i="45" a="1"/>
  <c r="AD21" i="45" s="1"/>
  <c r="AD8" i="27"/>
  <c r="AD12" i="27" s="1"/>
  <c r="AD17" i="27" s="1"/>
  <c r="AD21" i="27" s="1"/>
  <c r="AD25" i="27" s="1"/>
  <c r="AB16" i="45" s="1" a="1"/>
  <c r="AB16" i="45" s="1"/>
  <c r="AE20" i="45" a="1"/>
  <c r="AE20" i="45" s="1"/>
  <c r="AG9" i="28"/>
  <c r="AA27" i="27"/>
  <c r="AA29" i="27" s="1"/>
  <c r="AA31" i="27" s="1"/>
  <c r="AA22" i="28"/>
  <c r="AF10" i="27"/>
  <c r="AF11" i="28"/>
  <c r="AF16" i="28" s="1"/>
  <c r="AD35" i="45"/>
  <c r="AD33" i="45"/>
  <c r="D19" i="9"/>
  <c r="D18" i="45" s="1" a="1"/>
  <c r="D18" i="45" s="1"/>
  <c r="D23" i="45" s="1"/>
  <c r="D25" i="45" s="1"/>
  <c r="D41" i="45" s="1"/>
  <c r="D43" i="45" s="1"/>
  <c r="H18" i="45" a="1"/>
  <c r="H18" i="45" s="1"/>
  <c r="H23" i="45" s="1"/>
  <c r="H25" i="45" s="1"/>
  <c r="H41" i="45" s="1"/>
  <c r="H43" i="45" s="1"/>
  <c r="G18" i="45" a="1"/>
  <c r="G18" i="45" s="1"/>
  <c r="G23" i="45" s="1"/>
  <c r="E19" i="9"/>
  <c r="E18" i="45" s="1" a="1"/>
  <c r="E18" i="45" s="1"/>
  <c r="E23" i="45" s="1"/>
  <c r="E25" i="45" s="1"/>
  <c r="E41" i="45" s="1"/>
  <c r="E43" i="45" s="1"/>
  <c r="F19" i="9"/>
  <c r="F18" i="45" s="1" a="1"/>
  <c r="F18" i="45" s="1"/>
  <c r="F23" i="45" s="1"/>
  <c r="F25" i="45" s="1"/>
  <c r="F41" i="45" s="1"/>
  <c r="F43" i="45" s="1"/>
  <c r="C19" i="9"/>
  <c r="C18" i="45" s="1" a="1"/>
  <c r="C18" i="45" s="1"/>
  <c r="C23" i="45" s="1"/>
  <c r="C25" i="45" s="1"/>
  <c r="C41" i="45" s="1"/>
  <c r="C43" i="45" s="1"/>
  <c r="Z45" i="9" l="1"/>
  <c r="Z47" i="9" s="1"/>
  <c r="Y50" i="9"/>
  <c r="AF20" i="45" a="1"/>
  <c r="AF20" i="45" s="1"/>
  <c r="AH9" i="28"/>
  <c r="AF20" i="28"/>
  <c r="AB14" i="45" a="1"/>
  <c r="AB14" i="45" s="1"/>
  <c r="AG10" i="27"/>
  <c r="AG11" i="28"/>
  <c r="AG16" i="28" s="1"/>
  <c r="AE35" i="45"/>
  <c r="AE33" i="45"/>
  <c r="AB22" i="28"/>
  <c r="AB27" i="27"/>
  <c r="AB29" i="27" s="1"/>
  <c r="AB31" i="27" s="1"/>
  <c r="AE8" i="27"/>
  <c r="AE12" i="27" s="1"/>
  <c r="AE17" i="27" s="1"/>
  <c r="AE21" i="27" s="1"/>
  <c r="AE25" i="27" s="1"/>
  <c r="AC16" i="45" s="1" a="1"/>
  <c r="AC16" i="45" s="1"/>
  <c r="AD42" i="45"/>
  <c r="AD32" i="45"/>
  <c r="AD34" i="45" s="1"/>
  <c r="AD36" i="45" s="1"/>
  <c r="AD37" i="45" s="1"/>
  <c r="Z41" i="45"/>
  <c r="Z43" i="45" s="1"/>
  <c r="Z28" i="45"/>
  <c r="Z30" i="45"/>
  <c r="Z31" i="45" s="1"/>
  <c r="AE21" i="45" a="1"/>
  <c r="AE21" i="45" s="1"/>
  <c r="AA24" i="28"/>
  <c r="AA26" i="28"/>
  <c r="AA28" i="28" s="1"/>
  <c r="AA18" i="45" a="1"/>
  <c r="AA18" i="45" s="1"/>
  <c r="AA23" i="45" s="1"/>
  <c r="AA25" i="45" s="1"/>
  <c r="G25" i="45"/>
  <c r="G41" i="45" s="1"/>
  <c r="G43" i="45" s="1"/>
  <c r="E26" i="9"/>
  <c r="E28" i="9" s="1"/>
  <c r="E34" i="9" s="1"/>
  <c r="E30" i="45"/>
  <c r="H30" i="45"/>
  <c r="Q31" i="45"/>
  <c r="N31" i="45"/>
  <c r="M31" i="45"/>
  <c r="K31" i="45"/>
  <c r="Z49" i="9" l="1"/>
  <c r="Z50" i="9" s="1"/>
  <c r="AB24" i="28"/>
  <c r="AB26" i="28"/>
  <c r="AB28" i="28" s="1"/>
  <c r="AF8" i="27"/>
  <c r="AF12" i="27" s="1"/>
  <c r="AF17" i="27" s="1"/>
  <c r="AF21" i="27" s="1"/>
  <c r="AF25" i="27" s="1"/>
  <c r="AD16" i="45" s="1" a="1"/>
  <c r="AD16" i="45" s="1"/>
  <c r="AF21" i="45" a="1"/>
  <c r="AF21" i="45" s="1"/>
  <c r="AH10" i="27"/>
  <c r="AH11" i="28"/>
  <c r="AH16" i="28" s="1"/>
  <c r="AC27" i="27"/>
  <c r="AC29" i="27" s="1"/>
  <c r="AC31" i="27" s="1"/>
  <c r="AC22" i="28"/>
  <c r="AC14" i="45" a="1"/>
  <c r="AC14" i="45" s="1"/>
  <c r="AG20" i="28"/>
  <c r="AA28" i="45"/>
  <c r="AA41" i="45"/>
  <c r="AA43" i="45" s="1"/>
  <c r="AA30" i="45"/>
  <c r="AA31" i="45" s="1"/>
  <c r="AF35" i="45"/>
  <c r="AF33" i="45"/>
  <c r="AE32" i="45"/>
  <c r="AE34" i="45" s="1"/>
  <c r="AE36" i="45" s="1"/>
  <c r="AE37" i="45" s="1"/>
  <c r="AE42" i="45"/>
  <c r="AG20" i="45" a="1"/>
  <c r="AG20" i="45" s="1"/>
  <c r="AI9" i="28"/>
  <c r="AB18" i="45" a="1"/>
  <c r="AB18" i="45" s="1"/>
  <c r="AB23" i="45" s="1"/>
  <c r="AB25" i="45" s="1"/>
  <c r="J22" i="28"/>
  <c r="J26" i="28" s="1"/>
  <c r="J28" i="28" s="1"/>
  <c r="J27" i="27"/>
  <c r="J29" i="27" s="1"/>
  <c r="J31" i="27" s="1"/>
  <c r="G22" i="28"/>
  <c r="G24" i="28" s="1"/>
  <c r="G27" i="27"/>
  <c r="G29" i="27" s="1"/>
  <c r="G31" i="27" s="1"/>
  <c r="E54" i="9"/>
  <c r="E56" i="9" s="1"/>
  <c r="E43" i="9"/>
  <c r="E41" i="9"/>
  <c r="H28" i="45"/>
  <c r="E28" i="45"/>
  <c r="E31" i="45"/>
  <c r="H31" i="45"/>
  <c r="AH20" i="45" l="1" a="1"/>
  <c r="AH20" i="45" s="1"/>
  <c r="AJ9" i="28"/>
  <c r="AG35" i="45"/>
  <c r="AG33" i="45"/>
  <c r="AF42" i="45"/>
  <c r="AF32" i="45"/>
  <c r="AF34" i="45" s="1"/>
  <c r="AF36" i="45" s="1"/>
  <c r="AF37" i="45" s="1"/>
  <c r="AD27" i="27"/>
  <c r="AD29" i="27" s="1"/>
  <c r="AD31" i="27" s="1"/>
  <c r="AD22" i="28"/>
  <c r="AB30" i="45"/>
  <c r="AB31" i="45" s="1"/>
  <c r="AB28" i="45"/>
  <c r="AB41" i="45"/>
  <c r="AB43" i="45" s="1"/>
  <c r="AG8" i="27"/>
  <c r="AG12" i="27" s="1"/>
  <c r="AG17" i="27" s="1"/>
  <c r="AG21" i="27" s="1"/>
  <c r="AG25" i="27" s="1"/>
  <c r="AE16" i="45" s="1" a="1"/>
  <c r="AE16" i="45" s="1"/>
  <c r="AC24" i="28"/>
  <c r="AC26" i="28"/>
  <c r="AC28" i="28" s="1"/>
  <c r="AC18" i="45" a="1"/>
  <c r="AC18" i="45" s="1"/>
  <c r="AC23" i="45" s="1"/>
  <c r="AC25" i="45" s="1"/>
  <c r="AH20" i="28"/>
  <c r="AD14" i="45" a="1"/>
  <c r="AD14" i="45" s="1"/>
  <c r="AG21" i="45" a="1"/>
  <c r="AG21" i="45" s="1"/>
  <c r="AI10" i="27"/>
  <c r="AI11" i="28"/>
  <c r="AI16" i="28" s="1"/>
  <c r="J24" i="28"/>
  <c r="G26" i="28"/>
  <c r="G28" i="28" s="1"/>
  <c r="E44" i="9"/>
  <c r="E45" i="9" s="1"/>
  <c r="E47" i="9" s="1"/>
  <c r="E49" i="9" s="1"/>
  <c r="E50" i="9" l="1"/>
  <c r="AJ20" i="45" a="1"/>
  <c r="AJ20" i="45" s="1"/>
  <c r="AL9" i="28"/>
  <c r="AD24" i="28"/>
  <c r="AD26" i="28"/>
  <c r="AD28" i="28" s="1"/>
  <c r="AI20" i="28"/>
  <c r="AI20" i="45" a="1"/>
  <c r="AI20" i="45" s="1"/>
  <c r="AK9" i="28"/>
  <c r="AH8" i="27"/>
  <c r="AH12" i="27" s="1"/>
  <c r="AH17" i="27" s="1"/>
  <c r="AH21" i="27" s="1"/>
  <c r="AH25" i="27" s="1"/>
  <c r="AF16" i="45" s="1" a="1"/>
  <c r="AF16" i="45" s="1"/>
  <c r="AH21" i="45" a="1"/>
  <c r="AH21" i="45" s="1"/>
  <c r="AE14" i="45" a="1"/>
  <c r="AE14" i="45" s="1"/>
  <c r="AE27" i="27"/>
  <c r="AE29" i="27" s="1"/>
  <c r="AE31" i="27" s="1"/>
  <c r="AE22" i="28"/>
  <c r="AJ10" i="27"/>
  <c r="AJ11" i="28"/>
  <c r="AJ16" i="28" s="1"/>
  <c r="AD18" i="45" a="1"/>
  <c r="AD18" i="45" s="1"/>
  <c r="AD23" i="45" s="1"/>
  <c r="AD25" i="45" s="1"/>
  <c r="AC28" i="45"/>
  <c r="AC41" i="45"/>
  <c r="AC43" i="45" s="1"/>
  <c r="AC30" i="45"/>
  <c r="AC31" i="45" s="1"/>
  <c r="AH35" i="45"/>
  <c r="AH33" i="45"/>
  <c r="AG32" i="45"/>
  <c r="AG34" i="45" s="1"/>
  <c r="AG36" i="45" s="1"/>
  <c r="AG37" i="45" s="1"/>
  <c r="AG42" i="45"/>
  <c r="L30" i="45"/>
  <c r="H34" i="45"/>
  <c r="E34" i="45"/>
  <c r="U30" i="45"/>
  <c r="U31" i="45" s="1"/>
  <c r="AF22" i="28" l="1"/>
  <c r="AF27" i="27"/>
  <c r="AF29" i="27" s="1"/>
  <c r="AF31" i="27" s="1"/>
  <c r="AF14" i="45" a="1"/>
  <c r="AF14" i="45" s="1"/>
  <c r="AI21" i="45" a="1"/>
  <c r="AI21" i="45" s="1"/>
  <c r="AJ21" i="45" a="1"/>
  <c r="AJ21" i="45" s="1"/>
  <c r="AD41" i="45"/>
  <c r="AD43" i="45" s="1"/>
  <c r="AD30" i="45"/>
  <c r="AD31" i="45" s="1"/>
  <c r="AD28" i="45"/>
  <c r="AK10" i="27"/>
  <c r="AK11" i="28"/>
  <c r="AK16" i="28" s="1"/>
  <c r="AI8" i="27"/>
  <c r="AI12" i="27" s="1"/>
  <c r="AI17" i="27" s="1"/>
  <c r="AI21" i="27" s="1"/>
  <c r="AI25" i="27" s="1"/>
  <c r="AG16" i="45" s="1" a="1"/>
  <c r="AG16" i="45" s="1"/>
  <c r="AI35" i="45"/>
  <c r="AI33" i="45"/>
  <c r="AL10" i="27"/>
  <c r="AL11" i="28"/>
  <c r="AL16" i="28" s="1"/>
  <c r="AE18" i="45" a="1"/>
  <c r="AE18" i="45" s="1"/>
  <c r="AE23" i="45" s="1"/>
  <c r="AE25" i="45" s="1"/>
  <c r="AE24" i="28"/>
  <c r="AE26" i="28"/>
  <c r="AE28" i="28" s="1"/>
  <c r="AH42" i="45"/>
  <c r="AH32" i="45"/>
  <c r="AH34" i="45" s="1"/>
  <c r="AH36" i="45" s="1"/>
  <c r="AH37" i="45" s="1"/>
  <c r="AJ20" i="28"/>
  <c r="AJ35" i="45"/>
  <c r="AJ33" i="45"/>
  <c r="L28" i="45"/>
  <c r="U28" i="45"/>
  <c r="E36" i="45"/>
  <c r="E37" i="45" s="1"/>
  <c r="H36" i="45"/>
  <c r="H37" i="45" s="1"/>
  <c r="AJ42" i="45" l="1"/>
  <c r="AJ32" i="45"/>
  <c r="AJ34" i="45" s="1"/>
  <c r="AJ36" i="45" s="1"/>
  <c r="AJ37" i="45" s="1"/>
  <c r="AF18" i="45" a="1"/>
  <c r="AF18" i="45" s="1"/>
  <c r="AF23" i="45" s="1"/>
  <c r="AF25" i="45" s="1"/>
  <c r="AK20" i="28"/>
  <c r="AF24" i="28"/>
  <c r="AF26" i="28"/>
  <c r="AF28" i="28" s="1"/>
  <c r="AE41" i="45"/>
  <c r="AE43" i="45" s="1"/>
  <c r="AE28" i="45"/>
  <c r="AE30" i="45"/>
  <c r="AE31" i="45" s="1"/>
  <c r="AG14" i="45" a="1"/>
  <c r="AG14" i="45" s="1"/>
  <c r="AL20" i="28"/>
  <c r="AI32" i="45"/>
  <c r="AI34" i="45" s="1"/>
  <c r="AI36" i="45" s="1"/>
  <c r="AI37" i="45" s="1"/>
  <c r="AI42" i="45"/>
  <c r="AG27" i="27"/>
  <c r="AG29" i="27" s="1"/>
  <c r="AG31" i="27" s="1"/>
  <c r="AG22" i="28"/>
  <c r="AJ8" i="27"/>
  <c r="AJ12" i="27" s="1"/>
  <c r="AJ17" i="27" s="1"/>
  <c r="AJ21" i="27" s="1"/>
  <c r="AJ25" i="27" s="1"/>
  <c r="AH16" i="45" s="1" a="1"/>
  <c r="AH16" i="45" s="1"/>
  <c r="N22" i="28"/>
  <c r="N26" i="28" s="1"/>
  <c r="N28" i="28" s="1"/>
  <c r="N27" i="27"/>
  <c r="N29" i="27" s="1"/>
  <c r="N31" i="27" s="1"/>
  <c r="X22" i="28"/>
  <c r="X24" i="28" s="1"/>
  <c r="X27" i="27"/>
  <c r="X29" i="27" s="1"/>
  <c r="X31" i="27" s="1"/>
  <c r="W22" i="28"/>
  <c r="W24" i="28" s="1"/>
  <c r="W27" i="27"/>
  <c r="W29" i="27" s="1"/>
  <c r="W31" i="27" s="1"/>
  <c r="B34" i="45"/>
  <c r="AK8" i="27" l="1"/>
  <c r="AK12" i="27" s="1"/>
  <c r="AK17" i="27" s="1"/>
  <c r="AK21" i="27" s="1"/>
  <c r="AK25" i="27" s="1"/>
  <c r="AI16" i="45" s="1" a="1"/>
  <c r="AI16" i="45" s="1"/>
  <c r="AG18" i="45" a="1"/>
  <c r="AG18" i="45" s="1"/>
  <c r="AG23" i="45" s="1"/>
  <c r="AG25" i="45" s="1"/>
  <c r="AH22" i="28"/>
  <c r="AH27" i="27"/>
  <c r="AH29" i="27" s="1"/>
  <c r="AH31" i="27" s="1"/>
  <c r="AG24" i="28"/>
  <c r="AG26" i="28"/>
  <c r="AG28" i="28" s="1"/>
  <c r="AL8" i="27"/>
  <c r="AL12" i="27" s="1"/>
  <c r="AL17" i="27" s="1"/>
  <c r="AL21" i="27" s="1"/>
  <c r="AL25" i="27" s="1"/>
  <c r="AJ16" i="45" s="1" a="1"/>
  <c r="AJ16" i="45" s="1"/>
  <c r="AF28" i="45"/>
  <c r="AF41" i="45"/>
  <c r="AF43" i="45" s="1"/>
  <c r="AF30" i="45"/>
  <c r="AF31" i="45" s="1"/>
  <c r="AH14" i="45" a="1"/>
  <c r="AH14" i="45" s="1"/>
  <c r="W26" i="28"/>
  <c r="W28" i="28" s="1"/>
  <c r="N24" i="28"/>
  <c r="X26" i="28"/>
  <c r="X28" i="28" s="1"/>
  <c r="B36" i="45"/>
  <c r="B37" i="45" s="1"/>
  <c r="F26" i="9"/>
  <c r="F28" i="9" s="1"/>
  <c r="F34" i="9" s="1"/>
  <c r="F30" i="45"/>
  <c r="F31" i="45" s="1"/>
  <c r="L34" i="45"/>
  <c r="U34" i="45"/>
  <c r="H27" i="27" l="1"/>
  <c r="H29" i="27" s="1"/>
  <c r="H31" i="27" s="1"/>
  <c r="AH24" i="28"/>
  <c r="AH26" i="28"/>
  <c r="AH28" i="28" s="1"/>
  <c r="AJ14" i="45" a="1"/>
  <c r="AJ14" i="45" s="1"/>
  <c r="AI27" i="27"/>
  <c r="AI29" i="27" s="1"/>
  <c r="AI31" i="27" s="1"/>
  <c r="AI22" i="28"/>
  <c r="AG41" i="45"/>
  <c r="AG43" i="45" s="1"/>
  <c r="AG30" i="45"/>
  <c r="AG31" i="45" s="1"/>
  <c r="AG28" i="45"/>
  <c r="AH18" i="45" a="1"/>
  <c r="AH18" i="45" s="1"/>
  <c r="AH23" i="45" s="1"/>
  <c r="AH25" i="45" s="1"/>
  <c r="AI14" i="45" a="1"/>
  <c r="AI14" i="45" s="1"/>
  <c r="H22" i="28"/>
  <c r="F28" i="45"/>
  <c r="L36" i="45"/>
  <c r="L37" i="45" s="1"/>
  <c r="U36" i="45"/>
  <c r="U37" i="45" s="1"/>
  <c r="AI24" i="28" l="1"/>
  <c r="AI26" i="28"/>
  <c r="AI28" i="28" s="1"/>
  <c r="AH41" i="45"/>
  <c r="AH43" i="45" s="1"/>
  <c r="AH28" i="45"/>
  <c r="AH30" i="45"/>
  <c r="AH31" i="45" s="1"/>
  <c r="AJ27" i="27"/>
  <c r="AJ29" i="27" s="1"/>
  <c r="AJ31" i="27" s="1"/>
  <c r="AJ22" i="28"/>
  <c r="AJ18" i="45" a="1"/>
  <c r="AJ18" i="45" s="1"/>
  <c r="AJ23" i="45" s="1"/>
  <c r="AJ25" i="45" s="1"/>
  <c r="AI18" i="45" a="1"/>
  <c r="AI18" i="45" s="1"/>
  <c r="AI23" i="45" s="1"/>
  <c r="AI25" i="45" s="1"/>
  <c r="H26" i="28"/>
  <c r="H28" i="28" s="1"/>
  <c r="H24" i="28"/>
  <c r="F54" i="9"/>
  <c r="F56" i="9" s="1"/>
  <c r="F43" i="9"/>
  <c r="F44" i="9" s="1"/>
  <c r="F41" i="9"/>
  <c r="F45" i="9" l="1"/>
  <c r="F47" i="9" s="1"/>
  <c r="F49" i="9" s="1"/>
  <c r="F50" i="9" s="1"/>
  <c r="AI28" i="45"/>
  <c r="AI41" i="45"/>
  <c r="AI43" i="45" s="1"/>
  <c r="AI30" i="45"/>
  <c r="AI31" i="45" s="1"/>
  <c r="AL27" i="27"/>
  <c r="AL29" i="27" s="1"/>
  <c r="AL31" i="27" s="1"/>
  <c r="AL22" i="28"/>
  <c r="AK27" i="27"/>
  <c r="AK29" i="27" s="1"/>
  <c r="AK31" i="27" s="1"/>
  <c r="AK22" i="28"/>
  <c r="AJ41" i="45"/>
  <c r="AJ43" i="45" s="1"/>
  <c r="AJ30" i="45"/>
  <c r="AJ31" i="45" s="1"/>
  <c r="AJ28" i="45"/>
  <c r="AJ24" i="28"/>
  <c r="AJ26" i="28"/>
  <c r="AJ28" i="28" s="1"/>
  <c r="F34" i="45"/>
  <c r="AL24" i="28" l="1"/>
  <c r="AL26" i="28"/>
  <c r="AL28" i="28" s="1"/>
  <c r="AK24" i="28"/>
  <c r="AK26" i="28"/>
  <c r="AK28" i="28" s="1"/>
  <c r="O30" i="45"/>
  <c r="O31" i="45" s="1"/>
  <c r="R30" i="45"/>
  <c r="R31" i="45" s="1"/>
  <c r="P30" i="45"/>
  <c r="P31" i="45" s="1"/>
  <c r="F36" i="45"/>
  <c r="F37" i="45" s="1"/>
  <c r="R22" i="28" l="1"/>
  <c r="R24" i="28" s="1"/>
  <c r="R27" i="27"/>
  <c r="R29" i="27" s="1"/>
  <c r="R31" i="27" s="1"/>
  <c r="T22" i="28"/>
  <c r="T24" i="28" s="1"/>
  <c r="T27" i="27"/>
  <c r="T29" i="27" s="1"/>
  <c r="T31" i="27" s="1"/>
  <c r="P28" i="45"/>
  <c r="R28" i="45"/>
  <c r="O28" i="45"/>
  <c r="R26" i="28" l="1"/>
  <c r="R28" i="28" s="1"/>
  <c r="T26" i="28"/>
  <c r="T28" i="28" s="1"/>
  <c r="Q22" i="28"/>
  <c r="Q24" i="28" s="1"/>
  <c r="Q27" i="27"/>
  <c r="Q29" i="27" s="1"/>
  <c r="Q31" i="27" s="1"/>
  <c r="Q26" i="28" l="1"/>
  <c r="Q28" i="28" s="1"/>
  <c r="P34" i="45"/>
  <c r="G30" i="45"/>
  <c r="G31" i="45" s="1"/>
  <c r="R34" i="45"/>
  <c r="O34" i="45"/>
  <c r="G28" i="45" l="1"/>
  <c r="P36" i="45"/>
  <c r="P37" i="45" s="1"/>
  <c r="R36" i="45"/>
  <c r="R37" i="45" s="1"/>
  <c r="O36" i="45"/>
  <c r="O37" i="45" s="1"/>
  <c r="I22" i="28" l="1"/>
  <c r="I24" i="28" s="1"/>
  <c r="I27" i="27"/>
  <c r="I29" i="27" s="1"/>
  <c r="I31" i="27" s="1"/>
  <c r="I26" i="28" l="1"/>
  <c r="I28" i="28" s="1"/>
  <c r="G34" i="45"/>
  <c r="S30" i="45" l="1"/>
  <c r="S31" i="45" s="1"/>
  <c r="G36" i="45"/>
  <c r="G37" i="45" s="1"/>
  <c r="S28" i="45" l="1"/>
  <c r="U22" i="28" l="1"/>
  <c r="U26" i="28" s="1"/>
  <c r="U28" i="28" s="1"/>
  <c r="U27" i="27"/>
  <c r="U29" i="27" s="1"/>
  <c r="U31" i="27" s="1"/>
  <c r="D26" i="9"/>
  <c r="D30" i="45"/>
  <c r="D31" i="45" s="1"/>
  <c r="U24" i="28" l="1"/>
  <c r="D28" i="9"/>
  <c r="D34" i="9" s="1"/>
  <c r="D28" i="45"/>
  <c r="S34" i="45"/>
  <c r="F22" i="28" l="1"/>
  <c r="F24" i="28" s="1"/>
  <c r="F27" i="27"/>
  <c r="F29" i="27" s="1"/>
  <c r="F31" i="27" s="1"/>
  <c r="D54" i="9"/>
  <c r="D56" i="9" s="1"/>
  <c r="D41" i="9"/>
  <c r="D43" i="9"/>
  <c r="D44" i="9" s="1"/>
  <c r="S36" i="45"/>
  <c r="S37" i="45" s="1"/>
  <c r="D45" i="9" l="1"/>
  <c r="D47" i="9" s="1"/>
  <c r="D49" i="9" s="1"/>
  <c r="F26" i="28"/>
  <c r="F28" i="28" s="1"/>
  <c r="D34" i="45"/>
  <c r="D50" i="9" l="1"/>
  <c r="D36" i="45"/>
  <c r="D37" i="45" s="1"/>
  <c r="C26" i="9" l="1"/>
  <c r="C30" i="45"/>
  <c r="C31" i="45" s="1"/>
  <c r="C28" i="9" l="1"/>
  <c r="C34" i="9" s="1"/>
  <c r="C28" i="45"/>
  <c r="T30" i="45"/>
  <c r="E22" i="28" l="1"/>
  <c r="E24" i="28" s="1"/>
  <c r="E27" i="27"/>
  <c r="E29" i="27" s="1"/>
  <c r="E31" i="27" s="1"/>
  <c r="C54" i="9"/>
  <c r="C56" i="9" s="1"/>
  <c r="C41" i="9"/>
  <c r="C43" i="9"/>
  <c r="C44" i="9" s="1"/>
  <c r="T28" i="45"/>
  <c r="T31" i="45"/>
  <c r="C45" i="9" l="1"/>
  <c r="C47" i="9" s="1"/>
  <c r="C49" i="9" s="1"/>
  <c r="E26" i="28"/>
  <c r="E28" i="28" s="1"/>
  <c r="V22" i="28"/>
  <c r="V24" i="28" s="1"/>
  <c r="V27" i="27"/>
  <c r="V29" i="27" s="1"/>
  <c r="V31" i="27" s="1"/>
  <c r="C34" i="45"/>
  <c r="C50" i="9" l="1"/>
  <c r="V26" i="28"/>
  <c r="V28" i="28" s="1"/>
  <c r="C36" i="45"/>
  <c r="C37" i="45" s="1"/>
  <c r="T34" i="45"/>
  <c r="T36" i="45" l="1"/>
  <c r="T37" i="45" s="1"/>
  <c r="I14" i="45" l="1" a="1"/>
  <c r="I14" i="45" s="1"/>
  <c r="I18" i="45" l="1" a="1"/>
  <c r="I18" i="45" s="1"/>
  <c r="I23" i="45" s="1"/>
  <c r="I25" i="45" s="1"/>
  <c r="I41" i="45" s="1"/>
  <c r="I43" i="45" s="1"/>
  <c r="I30" i="45" l="1"/>
  <c r="I28" i="45" l="1"/>
  <c r="I31" i="45"/>
  <c r="K22" i="28" l="1"/>
  <c r="K24" i="28" s="1"/>
  <c r="K27" i="27"/>
  <c r="K29" i="27" s="1"/>
  <c r="K31" i="27" s="1"/>
  <c r="K26" i="28" l="1"/>
  <c r="K28" i="28" s="1"/>
  <c r="I34" i="45"/>
  <c r="I36" i="45" l="1"/>
  <c r="I37" i="45" s="1"/>
  <c r="J30" i="45" l="1"/>
  <c r="J28" i="45" l="1"/>
  <c r="J31" i="45"/>
  <c r="L22" i="28" l="1"/>
  <c r="L24" i="28" s="1"/>
  <c r="L27" i="27"/>
  <c r="L29" i="27" s="1"/>
  <c r="L31" i="27" s="1"/>
  <c r="L26" i="28" l="1"/>
  <c r="L28" i="28" s="1"/>
  <c r="J34" i="45"/>
  <c r="J36" i="45" l="1"/>
  <c r="J37" i="45" s="1"/>
  <c r="L31" i="45" l="1"/>
  <c r="D16" i="28" l="1"/>
  <c r="D20" i="28" l="1"/>
  <c r="B15" i="9" l="1"/>
  <c r="D8" i="27"/>
  <c r="D12" i="27" l="1"/>
  <c r="D17" i="27" s="1"/>
  <c r="D21" i="27" s="1"/>
  <c r="B14" i="45" a="1"/>
  <c r="B14" i="45" s="1"/>
  <c r="D25" i="27" l="1"/>
  <c r="B17" i="9" s="1"/>
  <c r="B16" i="45" l="1" a="1"/>
  <c r="B16" i="45" s="1"/>
  <c r="B19" i="9"/>
  <c r="B26" i="9" s="1"/>
  <c r="B18" i="45" l="1" a="1"/>
  <c r="B18" i="45" s="1"/>
  <c r="B23" i="45" s="1"/>
  <c r="B25" i="45" s="1"/>
  <c r="B28" i="9" l="1"/>
  <c r="B34" i="9" s="1"/>
  <c r="B30" i="45"/>
  <c r="B31" i="45" s="1"/>
  <c r="B28" i="45"/>
  <c r="B41" i="45"/>
  <c r="B43" i="45" s="1"/>
  <c r="B36" i="9" l="1"/>
  <c r="B37" i="9"/>
  <c r="B54" i="9"/>
  <c r="B56" i="9" s="1"/>
  <c r="B43" i="9"/>
  <c r="B44" i="9" s="1"/>
  <c r="D22" i="28"/>
  <c r="D24" i="28" s="1"/>
  <c r="B41" i="9"/>
  <c r="D27" i="27"/>
  <c r="D29" i="27" s="1"/>
  <c r="D31" i="27" s="1"/>
  <c r="B38" i="9" l="1"/>
  <c r="B45" i="9"/>
  <c r="B47" i="9" s="1"/>
  <c r="D26" i="28"/>
  <c r="D28" i="28" s="1"/>
  <c r="B49" i="9" l="1"/>
  <c r="B5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<sst xmlns="http://schemas.openxmlformats.org/spreadsheetml/2006/main" count="524" uniqueCount="358">
  <si>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</si>
  <si>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</si>
  <si>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</si>
  <si>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</si>
  <si>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</si>
  <si>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</si>
  <si>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</si>
  <si>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</si>
  <si>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</si>
  <si>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</si>
  <si>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</si>
  <si>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</si>
  <si>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</si>
  <si>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</si>
  <si>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</si>
  <si>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</si>
  <si>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</si>
  <si>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</si>
  <si>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</si>
  <si>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</si>
  <si>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</si>
  <si>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</si>
  <si>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</si>
  <si>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</si>
  <si>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</si>
  <si>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</si>
  <si>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</si>
  <si>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</si>
  <si>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</si>
  <si>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</si>
  <si>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</si>
  <si>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</si>
  <si>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</si>
  <si>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</si>
  <si>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</si>
  <si>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</si>
  <si>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</si>
  <si>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</si>
  <si>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</si>
  <si>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</si>
  <si>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</si>
  <si>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</si>
  <si>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</si>
  <si>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</si>
  <si>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</si>
  <si>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</si>
  <si>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</si>
  <si>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</si>
  <si>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</si>
  <si>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</si>
  <si>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</si>
  <si>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</si>
  <si>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</si>
  <si>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</si>
  <si>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</si>
  <si>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</si>
  <si>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</si>
  <si>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</si>
  <si>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</si>
  <si>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</si>
  <si>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</si>
  <si>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</si>
  <si>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</si>
  <si>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</si>
  <si>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</si>
  <si>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</si>
  <si>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</si>
  <si>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</si>
  <si>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</si>
  <si>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</si>
  <si>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</si>
  <si>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</si>
  <si>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</si>
  <si>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</si>
  <si>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</si>
  <si>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</si>
  <si>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</si>
  <si>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</si>
  <si>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</si>
  <si>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</si>
  <si>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</si>
  <si>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</si>
  <si>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</si>
  <si>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</si>
  <si>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</si>
  <si>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</si>
  <si>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</si>
  <si>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</si>
  <si>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</si>
  <si>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</si>
  <si>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</si>
  <si>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</si>
  <si>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</si>
  <si>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</si>
  <si>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</si>
  <si>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</si>
  <si>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</si>
  <si>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</si>
  <si>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</si>
  <si>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</si>
  <si>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</si>
  <si>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</si>
  <si>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</si>
  <si>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</si>
  <si>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</si>
  <si>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</si>
  <si>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</si>
  <si>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</si>
  <si>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</si>
  <si>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</si>
  <si>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</si>
  <si>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</si>
  <si>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</si>
  <si>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</si>
  <si>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</si>
  <si>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</si>
  <si>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</si>
  <si>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</si>
  <si>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</si>
  <si>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</si>
  <si>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</si>
  <si>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</si>
  <si>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</si>
  <si>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</si>
  <si>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</si>
  <si>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</si>
  <si>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</si>
  <si>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</si>
  <si>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</si>
  <si>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</si>
  <si>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</si>
  <si>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</si>
  <si>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</si>
  <si>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</si>
  <si>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</si>
  <si>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</si>
  <si>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</si>
  <si>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</si>
  <si>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</si>
  <si>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</si>
  <si>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</si>
  <si>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</si>
  <si>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</si>
  <si>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</si>
  <si>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</si>
  <si>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</si>
  <si>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</si>
  <si>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</si>
  <si>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</si>
  <si>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</si>
  <si>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</si>
  <si>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</si>
  <si>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</si>
  <si>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</si>
  <si>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</si>
  <si>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</si>
  <si>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</si>
  <si>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</si>
  <si>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</si>
  <si>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</si>
  <si>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</si>
  <si>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</si>
  <si>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</si>
  <si>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</si>
  <si>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</si>
  <si>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</si>
  <si>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</si>
  <si>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</si>
  <si>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</si>
  <si>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</si>
  <si>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</si>
  <si>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</si>
  <si>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</si>
  <si>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</si>
  <si>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</si>
  <si>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</si>
  <si>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</si>
  <si>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</si>
  <si>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</si>
  <si>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</si>
  <si>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</si>
  <si>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</si>
  <si>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</si>
  <si>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</si>
  <si>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</si>
  <si>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</si>
  <si>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</si>
  <si>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</si>
  <si>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</si>
  <si>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</si>
  <si>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</si>
  <si>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</si>
  <si>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</si>
  <si>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</si>
  <si>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</si>
  <si>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</si>
  <si>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</si>
  <si>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</si>
  <si>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</si>
  <si>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</si>
  <si>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</si>
  <si>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</si>
  <si>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</si>
  <si>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</si>
  <si>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</si>
  <si>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</si>
  <si>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</si>
  <si>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</si>
  <si>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</si>
  <si>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</si>
  <si>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</si>
  <si>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</si>
  <si>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</si>
  <si>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</si>
  <si>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</si>
  <si>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</si>
  <si>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</si>
  <si>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</si>
  <si>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</si>
  <si>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</si>
  <si>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</si>
  <si>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</si>
  <si>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</si>
  <si>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</si>
  <si>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</si>
  <si>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</si>
  <si>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</si>
  <si>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</si>
  <si>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</si>
  <si>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</si>
  <si>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</si>
  <si>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</si>
  <si>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</si>
  <si>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</si>
  <si>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</si>
  <si>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</si>
  <si>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</si>
  <si>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</si>
  <si>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</si>
  <si>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</si>
  <si>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</si>
  <si>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</si>
  <si>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</si>
  <si>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</si>
  <si>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</si>
  <si>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</si>
  <si>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</si>
  <si>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</si>
  <si>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</si>
  <si>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</si>
  <si>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</si>
  <si>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</si>
  <si>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</si>
  <si>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</si>
  <si>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</si>
  <si>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</si>
  <si>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</si>
  <si>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</si>
  <si>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</si>
  <si>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</si>
  <si>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</si>
  <si>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</si>
  <si>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</si>
  <si>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</si>
  <si>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</si>
  <si>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</si>
  <si>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</si>
  <si>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</si>
  <si>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</si>
  <si>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</si>
  <si>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</si>
  <si>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</si>
  <si>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</si>
  <si>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</si>
  <si>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</si>
  <si>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</si>
  <si>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</si>
  <si>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</si>
  <si>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</si>
  <si>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</si>
  <si>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</si>
  <si>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</si>
  <si>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</si>
  <si>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</si>
  <si>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</si>
  <si>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</si>
  <si>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</si>
  <si>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</si>
  <si>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</si>
  <si>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</si>
  <si>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</si>
  <si>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</si>
  <si>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</si>
  <si>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</si>
  <si>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</si>
  <si>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</si>
  <si>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</si>
  <si>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</si>
  <si>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</si>
  <si>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</si>
  <si>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</si>
  <si>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</si>
  <si>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</si>
  <si>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</si>
  <si>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</si>
  <si>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</si>
  <si>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</si>
  <si>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</si>
  <si>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</si>
  <si>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</si>
  <si>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</si>
  <si>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Net Revenue Requirement</t>
  </si>
  <si>
    <t>Regulated Generation Cost of Service</t>
  </si>
  <si>
    <t>WV B&amp;O Tax</t>
  </si>
  <si>
    <t>Coal</t>
  </si>
  <si>
    <t>Mitchell Rate Base Calucations</t>
  </si>
  <si>
    <t>Lost Energy Margin from downgrade</t>
  </si>
  <si>
    <t>Lost MWs</t>
  </si>
  <si>
    <t>3 year Rev Req</t>
  </si>
  <si>
    <t>Option</t>
  </si>
  <si>
    <t>Capital spend</t>
  </si>
  <si>
    <t>Interconnection Costs</t>
  </si>
  <si>
    <t>Option 3: New Mechanical Draft Cooling Tower</t>
  </si>
  <si>
    <t>Total Present Value Rev Requirement 10 Yr</t>
  </si>
  <si>
    <t>Avg Revenue Rrequirement 10 Yr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</si>
  <si>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</si>
  <si>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</si>
  <si>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</si>
  <si>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</si>
  <si>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</si>
  <si>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</si>
  <si>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</si>
  <si>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</si>
  <si>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</si>
  <si>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</si>
  <si>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</si>
  <si>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>Appalachian Power Company and Wheeling Power Company</t>
  </si>
  <si>
    <t>Capital Structure and Cost of Capital - Summary</t>
  </si>
  <si>
    <t>Period Ending September 30, 2024</t>
  </si>
  <si>
    <t>Total Companies</t>
  </si>
  <si>
    <t>Percent of</t>
  </si>
  <si>
    <t xml:space="preserve">Cost </t>
  </si>
  <si>
    <t xml:space="preserve">Cost of </t>
  </si>
  <si>
    <t>Capitalization</t>
  </si>
  <si>
    <t>($000)</t>
  </si>
  <si>
    <t>%</t>
  </si>
  <si>
    <t>Long Term Debt¹</t>
  </si>
  <si>
    <t>Preferred Stock</t>
  </si>
  <si>
    <t>Common Equity²</t>
  </si>
  <si>
    <t xml:space="preserve"> </t>
  </si>
  <si>
    <t>1. Long Term Debt balance has been reduced by the balance of ACRRF bonds.</t>
  </si>
  <si>
    <t>2. Excludes $1,901,500 related to the ACRRF.</t>
  </si>
  <si>
    <t xml:space="preserve">APCO WV </t>
  </si>
  <si>
    <t>Capital Spend</t>
  </si>
  <si>
    <t>Grant Depreciation</t>
  </si>
  <si>
    <t>Grant Taxable Income</t>
  </si>
  <si>
    <t>Tax Basis Adjustment - Grant</t>
  </si>
  <si>
    <t>Awarded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</si>
</sst>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b/>
      <sz val="13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1" fillId="0" borderId="0"/>
    <xf numFmtId="180" fontId="31" fillId="0" borderId="0" applyFont="0" applyFill="0" applyBorder="0" applyAlignment="0" applyProtection="0"/>
    <xf numFmtId="0" fontId="67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184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0" fontId="72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2" fillId="0" borderId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0" fontId="70" fillId="0" borderId="0"/>
    <xf numFmtId="0" fontId="71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69" fillId="0" borderId="0"/>
    <xf numFmtId="0" fontId="72" fillId="0" borderId="0"/>
    <xf numFmtId="0" fontId="69" fillId="0" borderId="0"/>
    <xf numFmtId="188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70" fillId="0" borderId="0"/>
    <xf numFmtId="0" fontId="45" fillId="0" borderId="0"/>
    <xf numFmtId="0" fontId="70" fillId="0" borderId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0" fontId="31" fillId="0" borderId="0"/>
    <xf numFmtId="181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0" fillId="0" borderId="0"/>
    <xf numFmtId="188" fontId="31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0" fontId="69" fillId="0" borderId="0"/>
    <xf numFmtId="8" fontId="68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0" fontId="70" fillId="0" borderId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2" fillId="0" borderId="0"/>
    <xf numFmtId="0" fontId="70" fillId="0" borderId="0"/>
    <xf numFmtId="0" fontId="68" fillId="0" borderId="0"/>
    <xf numFmtId="0" fontId="73" fillId="0" borderId="0"/>
    <xf numFmtId="0" fontId="74" fillId="0" borderId="0"/>
    <xf numFmtId="0" fontId="31" fillId="0" borderId="0"/>
    <xf numFmtId="0" fontId="71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185" fontId="31" fillId="0" borderId="0" applyFont="0" applyFill="0" applyBorder="0" applyAlignment="0" applyProtection="0"/>
    <xf numFmtId="0" fontId="71" fillId="0" borderId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71" fillId="0" borderId="0"/>
    <xf numFmtId="183" fontId="31" fillId="0" borderId="0" applyFont="0" applyFill="0" applyBorder="0" applyAlignment="0" applyProtection="0"/>
    <xf numFmtId="0" fontId="7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188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70" fillId="0" borderId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45" fillId="0" borderId="0"/>
    <xf numFmtId="185" fontId="31" fillId="0" borderId="0" applyFont="0" applyFill="0" applyBorder="0" applyAlignment="0" applyProtection="0"/>
    <xf numFmtId="0" fontId="31" fillId="0" borderId="0"/>
    <xf numFmtId="0" fontId="73" fillId="0" borderId="0"/>
    <xf numFmtId="0" fontId="71" fillId="0" borderId="0"/>
    <xf numFmtId="0" fontId="70" fillId="0" borderId="0"/>
    <xf numFmtId="191" fontId="31" fillId="0" borderId="0" applyFont="0" applyFill="0" applyBorder="0" applyAlignment="0" applyProtection="0"/>
    <xf numFmtId="0" fontId="70" fillId="0" borderId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177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93" fontId="31" fillId="0" borderId="0">
      <alignment horizontal="left" wrapText="1"/>
    </xf>
    <xf numFmtId="193" fontId="31" fillId="0" borderId="0">
      <alignment horizontal="left" wrapText="1"/>
    </xf>
    <xf numFmtId="169" fontId="31" fillId="0" borderId="0">
      <alignment horizontal="left" wrapText="1"/>
    </xf>
    <xf numFmtId="169" fontId="31" fillId="0" borderId="0">
      <alignment horizontal="left" wrapText="1"/>
    </xf>
    <xf numFmtId="194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197" fontId="31" fillId="0" borderId="0" applyFont="0" applyFill="0" applyBorder="0" applyAlignment="0" applyProtection="0"/>
    <xf numFmtId="0" fontId="31" fillId="0" borderId="0">
      <alignment horizontal="left" wrapText="1"/>
    </xf>
    <xf numFmtId="0" fontId="75" fillId="0" borderId="0" applyNumberFormat="0" applyFill="0" applyBorder="0" applyAlignment="0" applyProtection="0"/>
    <xf numFmtId="198" fontId="31" fillId="0" borderId="0" applyFont="0" applyFill="0" applyBorder="0" applyAlignment="0" applyProtection="0"/>
    <xf numFmtId="199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20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0" fontId="31" fillId="0" borderId="0"/>
    <xf numFmtId="0" fontId="31" fillId="0" borderId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5" fillId="2" borderId="0" applyNumberFormat="0" applyBorder="0" applyAlignment="0" applyProtection="0"/>
    <xf numFmtId="0" fontId="26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77" fillId="16" borderId="0" applyNumberFormat="0" applyBorder="0" applyAlignment="0" applyProtection="0"/>
    <xf numFmtId="0" fontId="26" fillId="11" borderId="0" applyNumberFormat="0" applyBorder="0" applyAlignment="0" applyProtection="0"/>
    <xf numFmtId="0" fontId="77" fillId="11" borderId="0" applyNumberFormat="0" applyBorder="0" applyAlignment="0" applyProtection="0"/>
    <xf numFmtId="0" fontId="26" fillId="12" borderId="0" applyNumberFormat="0" applyBorder="0" applyAlignment="0" applyProtection="0"/>
    <xf numFmtId="0" fontId="77" fillId="13" borderId="0" applyNumberFormat="0" applyBorder="0" applyAlignment="0" applyProtection="0"/>
    <xf numFmtId="0" fontId="26" fillId="17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4" borderId="0" applyNumberFormat="0" applyBorder="0" applyAlignment="0" applyProtection="0"/>
    <xf numFmtId="0" fontId="77" fillId="19" borderId="0" applyNumberFormat="0" applyBorder="0" applyAlignment="0" applyProtection="0"/>
    <xf numFmtId="0" fontId="28" fillId="0" borderId="0"/>
    <xf numFmtId="0" fontId="26" fillId="15" borderId="0" applyNumberFormat="0" applyBorder="0" applyAlignment="0" applyProtection="0"/>
    <xf numFmtId="0" fontId="77" fillId="20" borderId="0" applyNumberFormat="0" applyBorder="0" applyAlignment="0" applyProtection="0"/>
    <xf numFmtId="0" fontId="26" fillId="21" borderId="0" applyNumberFormat="0" applyBorder="0" applyAlignment="0" applyProtection="0"/>
    <xf numFmtId="0" fontId="77" fillId="22" borderId="0" applyNumberFormat="0" applyBorder="0" applyAlignment="0" applyProtection="0"/>
    <xf numFmtId="0" fontId="26" fillId="23" borderId="0" applyNumberFormat="0" applyBorder="0" applyAlignment="0" applyProtection="0"/>
    <xf numFmtId="0" fontId="77" fillId="23" borderId="0" applyNumberFormat="0" applyBorder="0" applyAlignment="0" applyProtection="0"/>
    <xf numFmtId="0" fontId="26" fillId="24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21" borderId="0" applyNumberFormat="0" applyBorder="0" applyAlignment="0" applyProtection="0"/>
    <xf numFmtId="0" fontId="77" fillId="21" borderId="0" applyNumberFormat="0" applyBorder="0" applyAlignment="0" applyProtection="0"/>
    <xf numFmtId="202" fontId="31" fillId="25" borderId="1">
      <alignment horizontal="center" vertical="center"/>
    </xf>
    <xf numFmtId="203" fontId="78" fillId="0" borderId="0" applyNumberFormat="0" applyFill="0" applyBorder="0" applyAlignment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37" fontId="50" fillId="0" borderId="0" applyFill="0" applyBorder="0" applyProtection="0"/>
    <xf numFmtId="0" fontId="79" fillId="0" borderId="0"/>
    <xf numFmtId="0" fontId="80" fillId="0" borderId="2" applyNumberFormat="0" applyFont="0" applyFill="0" applyAlignment="0" applyProtection="0"/>
    <xf numFmtId="0" fontId="80" fillId="0" borderId="3" applyNumberFormat="0" applyFont="0" applyFill="0" applyAlignment="0" applyProtection="0"/>
    <xf numFmtId="170" fontId="28" fillId="0" borderId="0" applyNumberFormat="0" applyFont="0" applyAlignment="0" applyProtection="0"/>
    <xf numFmtId="0" fontId="29" fillId="2" borderId="4" applyNumberFormat="0" applyAlignment="0" applyProtection="0"/>
    <xf numFmtId="0" fontId="29" fillId="26" borderId="4" applyNumberFormat="0" applyAlignment="0" applyProtection="0"/>
    <xf numFmtId="0" fontId="45" fillId="0" borderId="0">
      <alignment horizontal="centerContinuous"/>
    </xf>
    <xf numFmtId="0" fontId="30" fillId="27" borderId="5" applyNumberFormat="0" applyAlignment="0" applyProtection="0"/>
    <xf numFmtId="0" fontId="81" fillId="27" borderId="5" applyNumberFormat="0" applyAlignment="0" applyProtection="0"/>
    <xf numFmtId="43" fontId="19" fillId="0" borderId="0" applyFont="0" applyFill="0" applyBorder="0" applyAlignment="0" applyProtection="0"/>
    <xf numFmtId="204" fontId="42" fillId="0" borderId="0" applyFont="0" applyFill="0" applyBorder="0" applyAlignment="0" applyProtection="0">
      <alignment horizontal="right"/>
    </xf>
    <xf numFmtId="39" fontId="76" fillId="0" borderId="0"/>
    <xf numFmtId="37" fontId="76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3" fontId="32" fillId="0" borderId="0" applyFont="0" applyFill="0" applyBorder="0" applyAlignment="0" applyProtection="0"/>
    <xf numFmtId="0" fontId="33" fillId="0" borderId="0"/>
    <xf numFmtId="172" fontId="31" fillId="0" borderId="0" applyFont="0" applyFill="0" applyBorder="0" applyAlignment="0" applyProtection="0"/>
    <xf numFmtId="205" fontId="83" fillId="0" borderId="0">
      <alignment horizontal="center"/>
    </xf>
    <xf numFmtId="44" fontId="19" fillId="0" borderId="0" applyFont="0" applyFill="0" applyBorder="0" applyAlignment="0" applyProtection="0"/>
    <xf numFmtId="178" fontId="20" fillId="0" borderId="0" applyFont="0" applyFill="0" applyBorder="0" applyAlignment="0"/>
    <xf numFmtId="8" fontId="31" fillId="0" borderId="0" applyFont="0" applyFill="0" applyBorder="0" applyAlignment="0"/>
    <xf numFmtId="37" fontId="76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4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84" fillId="0" borderId="0" applyNumberFormat="0" applyFill="0" applyBorder="0"/>
    <xf numFmtId="0" fontId="32" fillId="0" borderId="0" applyFont="0" applyFill="0" applyBorder="0" applyAlignment="0" applyProtection="0"/>
    <xf numFmtId="207" fontId="86" fillId="28" borderId="6" applyFont="0" applyFill="0" applyBorder="0" applyAlignment="0" applyProtection="0"/>
    <xf numFmtId="208" fontId="20" fillId="28" borderId="0" applyFont="0" applyFill="0" applyBorder="0" applyAlignment="0" applyProtection="0"/>
    <xf numFmtId="209" fontId="59" fillId="0" borderId="7"/>
    <xf numFmtId="0" fontId="82" fillId="0" borderId="0" applyFont="0" applyFill="0" applyBorder="0" applyAlignment="0" applyProtection="0"/>
    <xf numFmtId="210" fontId="31" fillId="0" borderId="0" applyFont="0" applyFill="0" applyBorder="0" applyAlignment="0" applyProtection="0"/>
    <xf numFmtId="207" fontId="59" fillId="0" borderId="0" applyFill="0" applyBorder="0">
      <alignment horizontal="right"/>
    </xf>
    <xf numFmtId="211" fontId="31" fillId="0" borderId="0" applyFont="0" applyFill="0" applyBorder="0" applyAlignment="0" applyProtection="0">
      <alignment vertical="top"/>
    </xf>
    <xf numFmtId="212" fontId="51" fillId="0" borderId="0" applyFont="0" applyFill="0" applyBorder="0" applyAlignment="0" applyProtection="0"/>
    <xf numFmtId="213" fontId="31" fillId="0" borderId="0" applyFont="0" applyFill="0" applyBorder="0" applyAlignment="0" applyProtection="0">
      <alignment horizontal="right"/>
    </xf>
    <xf numFmtId="40" fontId="87" fillId="0" borderId="0"/>
    <xf numFmtId="214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0" fontId="88" fillId="0" borderId="0" applyNumberFormat="0"/>
    <xf numFmtId="0" fontId="89" fillId="0" borderId="0">
      <alignment horizontal="centerContinuous"/>
    </xf>
    <xf numFmtId="0" fontId="89" fillId="0" borderId="0" applyNumberFormat="0"/>
    <xf numFmtId="5" fontId="31" fillId="0" borderId="0"/>
    <xf numFmtId="0" fontId="90" fillId="0" borderId="7" applyFont="0" applyFill="0" applyBorder="0" applyAlignment="0" applyProtection="0"/>
    <xf numFmtId="0" fontId="82" fillId="0" borderId="8" applyNumberFormat="0" applyFont="0" applyFill="0" applyAlignment="0" applyProtection="0"/>
    <xf numFmtId="37" fontId="76" fillId="0" borderId="0"/>
    <xf numFmtId="216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17" fontId="57" fillId="0" borderId="0" applyFont="0" applyFill="0" applyBorder="0" applyAlignment="0" applyProtection="0">
      <alignment horizontal="right"/>
    </xf>
    <xf numFmtId="205" fontId="83" fillId="0" borderId="0">
      <alignment horizontal="center"/>
    </xf>
    <xf numFmtId="2" fontId="32" fillId="0" borderId="0" applyFont="0" applyFill="0" applyBorder="0" applyAlignment="0" applyProtection="0"/>
    <xf numFmtId="218" fontId="31" fillId="28" borderId="0" applyFont="0" applyFill="0" applyBorder="0" applyAlignment="0"/>
    <xf numFmtId="2" fontId="31" fillId="0" borderId="0" applyFont="0" applyFill="0" applyBorder="0" applyAlignment="0" applyProtection="0"/>
    <xf numFmtId="0" fontId="33" fillId="0" borderId="0"/>
    <xf numFmtId="0" fontId="80" fillId="0" borderId="0" applyFill="0" applyBorder="0" applyProtection="0">
      <alignment horizontal="left"/>
    </xf>
    <xf numFmtId="219" fontId="31" fillId="0" borderId="0"/>
    <xf numFmtId="219" fontId="78" fillId="0" borderId="9"/>
    <xf numFmtId="0" fontId="91" fillId="0" borderId="0">
      <alignment horizontal="right"/>
    </xf>
    <xf numFmtId="0" fontId="91" fillId="0" borderId="0"/>
    <xf numFmtId="37" fontId="20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0" fillId="29" borderId="0" applyNumberFormat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92" fillId="0" borderId="0" applyNumberFormat="0" applyFill="0" applyBorder="0" applyAlignment="0" applyProtection="0"/>
    <xf numFmtId="0" fontId="24" fillId="0" borderId="10" applyNumberFormat="0" applyAlignment="0" applyProtection="0">
      <alignment horizontal="left" vertical="center"/>
    </xf>
    <xf numFmtId="0" fontId="24" fillId="0" borderId="11">
      <alignment horizontal="left" vertical="center"/>
    </xf>
    <xf numFmtId="0" fontId="36" fillId="0" borderId="0" applyNumberFormat="0" applyFill="0" applyBorder="0" applyAlignment="0" applyProtection="0"/>
    <xf numFmtId="0" fontId="64" fillId="0" borderId="0" applyNumberFormat="0" applyFont="0" applyFill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38" fillId="0" borderId="12" applyNumberFormat="0" applyFill="0" applyAlignment="0" applyProtection="0"/>
    <xf numFmtId="0" fontId="93" fillId="0" borderId="0" applyProtection="0">
      <alignment horizontal="left"/>
    </xf>
    <xf numFmtId="0" fontId="3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6" fontId="95" fillId="0" borderId="0">
      <protection locked="0"/>
    </xf>
    <xf numFmtId="206" fontId="95" fillId="0" borderId="0">
      <protection locked="0"/>
    </xf>
    <xf numFmtId="220" fontId="31" fillId="0" borderId="0">
      <alignment horizontal="left"/>
    </xf>
    <xf numFmtId="37" fontId="76" fillId="0" borderId="0"/>
    <xf numFmtId="0" fontId="78" fillId="0" borderId="13" applyNumberFormat="0" applyFill="0" applyAlignment="0" applyProtection="0"/>
    <xf numFmtId="0" fontId="39" fillId="4" borderId="4" applyNumberFormat="0" applyAlignment="0" applyProtection="0"/>
    <xf numFmtId="10" fontId="20" fillId="28" borderId="9" applyNumberFormat="0" applyBorder="0" applyAlignment="0" applyProtection="0"/>
    <xf numFmtId="0" fontId="39" fillId="4" borderId="4" applyNumberFormat="0" applyAlignment="0" applyProtection="0"/>
    <xf numFmtId="41" fontId="52" fillId="0" borderId="0">
      <alignment horizontal="left"/>
    </xf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168" fontId="31" fillId="0" borderId="0"/>
    <xf numFmtId="14" fontId="76" fillId="0" borderId="0">
      <alignment horizontal="center"/>
    </xf>
    <xf numFmtId="37" fontId="31" fillId="0" borderId="0" applyFont="0" applyFill="0" applyBorder="0" applyAlignment="0" applyProtection="0"/>
    <xf numFmtId="221" fontId="31" fillId="0" borderId="0" applyFont="0" applyFill="0" applyBorder="0" applyAlignment="0" applyProtection="0">
      <alignment horizontal="left" wrapText="1"/>
    </xf>
    <xf numFmtId="37" fontId="76" fillId="0" borderId="9">
      <alignment horizontal="right"/>
    </xf>
    <xf numFmtId="37" fontId="76" fillId="0" borderId="0">
      <alignment horizontal="center"/>
    </xf>
    <xf numFmtId="37" fontId="76" fillId="0" borderId="0">
      <alignment horizontal="center"/>
    </xf>
    <xf numFmtId="17" fontId="76" fillId="0" borderId="0">
      <alignment horizontal="center"/>
    </xf>
    <xf numFmtId="222" fontId="8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23" fontId="20" fillId="29" borderId="0" applyFont="0" applyBorder="0" applyAlignment="0" applyProtection="0">
      <alignment horizontal="right"/>
      <protection hidden="1"/>
    </xf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37" fontId="96" fillId="0" borderId="0"/>
    <xf numFmtId="224" fontId="97" fillId="0" borderId="0"/>
    <xf numFmtId="0" fontId="43" fillId="0" borderId="0"/>
    <xf numFmtId="0" fontId="43" fillId="0" borderId="0"/>
    <xf numFmtId="38" fontId="20" fillId="0" borderId="0" applyFont="0" applyFill="0" applyBorder="0" applyAlignment="0"/>
    <xf numFmtId="208" fontId="31" fillId="0" borderId="0" applyFont="0" applyFill="0" applyBorder="0" applyAlignment="0"/>
    <xf numFmtId="40" fontId="20" fillId="0" borderId="0" applyFont="0" applyFill="0" applyBorder="0" applyAlignment="0"/>
    <xf numFmtId="225" fontId="20" fillId="0" borderId="0" applyFont="0" applyFill="0" applyBorder="0" applyAlignment="0"/>
    <xf numFmtId="0" fontId="31" fillId="0" borderId="0"/>
    <xf numFmtId="0" fontId="31" fillId="0" borderId="0"/>
    <xf numFmtId="0" fontId="19" fillId="0" borderId="0"/>
    <xf numFmtId="208" fontId="59" fillId="0" borderId="0" applyNumberFormat="0" applyFill="0" applyBorder="0" applyAlignment="0" applyProtection="0"/>
    <xf numFmtId="226" fontId="20" fillId="0" borderId="0" applyFont="0" applyFill="0" applyBorder="0" applyAlignment="0" applyProtection="0"/>
    <xf numFmtId="0" fontId="31" fillId="0" borderId="0"/>
    <xf numFmtId="2" fontId="23" fillId="0" borderId="0" applyFont="0" applyFill="0" applyBorder="0">
      <alignment horizontal="center" vertical="top" wrapText="1" shrinkToFit="1"/>
    </xf>
    <xf numFmtId="0" fontId="98" fillId="0" borderId="0"/>
    <xf numFmtId="0" fontId="19" fillId="6" borderId="15" applyNumberFormat="0" applyFont="0" applyAlignment="0" applyProtection="0"/>
    <xf numFmtId="0" fontId="31" fillId="6" borderId="16" applyNumberFormat="0" applyFont="0" applyAlignment="0" applyProtection="0"/>
    <xf numFmtId="43" fontId="53" fillId="0" borderId="0"/>
    <xf numFmtId="227" fontId="20" fillId="0" borderId="0" applyFont="0" applyFill="0" applyBorder="0" applyAlignment="0" applyProtection="0"/>
    <xf numFmtId="170" fontId="43" fillId="0" borderId="0" applyProtection="0"/>
    <xf numFmtId="173" fontId="54" fillId="0" borderId="0"/>
    <xf numFmtId="228" fontId="20" fillId="0" borderId="0" applyFont="0" applyFill="0" applyBorder="0" applyAlignment="0" applyProtection="0"/>
    <xf numFmtId="37" fontId="33" fillId="30" borderId="9" applyNumberFormat="0" applyFont="0" applyFill="0" applyAlignment="0" applyProtection="0"/>
    <xf numFmtId="0" fontId="44" fillId="2" borderId="17" applyNumberFormat="0" applyAlignment="0" applyProtection="0"/>
    <xf numFmtId="0" fontId="44" fillId="26" borderId="17" applyNumberFormat="0" applyAlignment="0" applyProtection="0"/>
    <xf numFmtId="0" fontId="99" fillId="0" borderId="0" applyFill="0" applyBorder="0" applyProtection="0">
      <alignment horizontal="left"/>
    </xf>
    <xf numFmtId="0" fontId="100" fillId="0" borderId="0" applyFill="0" applyBorder="0" applyProtection="0">
      <alignment horizontal="left"/>
    </xf>
    <xf numFmtId="1" fontId="101" fillId="0" borderId="0" applyProtection="0">
      <alignment horizontal="right" vertical="center"/>
    </xf>
    <xf numFmtId="0" fontId="102" fillId="0" borderId="0">
      <alignment horizontal="centerContinuous"/>
    </xf>
    <xf numFmtId="205" fontId="103" fillId="0" borderId="0">
      <alignment horizontal="right"/>
    </xf>
    <xf numFmtId="205" fontId="103" fillId="0" borderId="0">
      <alignment horizontal="right"/>
    </xf>
    <xf numFmtId="0" fontId="33" fillId="0" borderId="0"/>
    <xf numFmtId="9" fontId="19" fillId="0" borderId="0" applyFont="0" applyFill="0" applyBorder="0" applyAlignment="0" applyProtection="0"/>
    <xf numFmtId="10" fontId="20" fillId="0" borderId="0"/>
    <xf numFmtId="229" fontId="31" fillId="0" borderId="0" applyFont="0" applyFill="0" applyBorder="0" applyAlignment="0"/>
    <xf numFmtId="230" fontId="20" fillId="0" borderId="0" applyFont="0" applyFill="0" applyBorder="0" applyAlignment="0"/>
    <xf numFmtId="231" fontId="31" fillId="0" borderId="0" applyFont="0" applyFill="0" applyBorder="0" applyAlignment="0"/>
    <xf numFmtId="9" fontId="31" fillId="0" borderId="0" applyFont="0" applyFill="0" applyBorder="0" applyAlignment="0" applyProtection="0"/>
    <xf numFmtId="232" fontId="80" fillId="0" borderId="0" applyFont="0" applyFill="0" applyBorder="0" applyProtection="0">
      <alignment horizontal="right"/>
    </xf>
    <xf numFmtId="233" fontId="20" fillId="0" borderId="0" applyFont="0" applyFill="0" applyBorder="0" applyAlignment="0" applyProtection="0"/>
    <xf numFmtId="37" fontId="76" fillId="0" borderId="0"/>
    <xf numFmtId="37" fontId="76" fillId="0" borderId="0"/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208" fontId="104" fillId="0" borderId="0" applyNumberFormat="0" applyFill="0" applyBorder="0" applyAlignment="0" applyProtection="0">
      <alignment horizontal="left"/>
    </xf>
    <xf numFmtId="0" fontId="105" fillId="0" borderId="18">
      <alignment vertical="center"/>
    </xf>
    <xf numFmtId="0" fontId="106" fillId="0" borderId="0"/>
    <xf numFmtId="0" fontId="107" fillId="0" borderId="0"/>
    <xf numFmtId="0" fontId="108" fillId="32" borderId="0" applyNumberFormat="0" applyFont="0" applyBorder="0" applyAlignment="0" applyProtection="0"/>
    <xf numFmtId="169" fontId="31" fillId="0" borderId="0">
      <alignment horizontal="left" wrapText="1"/>
    </xf>
    <xf numFmtId="0" fontId="31" fillId="0" borderId="0"/>
    <xf numFmtId="0" fontId="31" fillId="0" borderId="0"/>
    <xf numFmtId="193" fontId="31" fillId="0" borderId="0">
      <alignment horizontal="left" wrapText="1"/>
    </xf>
    <xf numFmtId="0" fontId="109" fillId="0" borderId="19" applyNumberFormat="0"/>
    <xf numFmtId="177" fontId="110" fillId="0" borderId="0"/>
    <xf numFmtId="0" fontId="49" fillId="0" borderId="0" applyFill="0" applyBorder="0" applyProtection="0">
      <alignment horizontal="center" vertical="center"/>
    </xf>
    <xf numFmtId="0" fontId="111" fillId="0" borderId="0" applyBorder="0" applyProtection="0">
      <alignment vertical="center"/>
    </xf>
    <xf numFmtId="0" fontId="111" fillId="0" borderId="7" applyBorder="0" applyProtection="0">
      <alignment horizontal="right" vertical="center"/>
    </xf>
    <xf numFmtId="0" fontId="112" fillId="33" borderId="0" applyBorder="0" applyProtection="0">
      <alignment horizontal="centerContinuous" vertical="center"/>
    </xf>
    <xf numFmtId="0" fontId="112" fillId="34" borderId="7" applyBorder="0" applyProtection="0">
      <alignment horizontal="centerContinuous" vertical="center"/>
    </xf>
    <xf numFmtId="0" fontId="59" fillId="0" borderId="0" applyBorder="0" applyProtection="0">
      <alignment horizontal="left"/>
    </xf>
    <xf numFmtId="0" fontId="49" fillId="0" borderId="0" applyFill="0" applyBorder="0" applyProtection="0"/>
    <xf numFmtId="0" fontId="98" fillId="0" borderId="0"/>
    <xf numFmtId="0" fontId="23" fillId="0" borderId="0" applyFill="0" applyBorder="0" applyProtection="0">
      <alignment horizontal="left"/>
    </xf>
    <xf numFmtId="0" fontId="114" fillId="0" borderId="0" applyFill="0" applyBorder="0" applyProtection="0">
      <alignment horizontal="left" vertical="top"/>
    </xf>
    <xf numFmtId="0" fontId="115" fillId="0" borderId="0">
      <alignment horizontal="centerContinuous"/>
    </xf>
    <xf numFmtId="0" fontId="116" fillId="0" borderId="0"/>
    <xf numFmtId="0" fontId="117" fillId="0" borderId="0"/>
    <xf numFmtId="234" fontId="118" fillId="0" borderId="0" applyFill="0" applyBorder="0" applyAlignment="0" applyProtection="0">
      <alignment horizontal="right"/>
    </xf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2" fillId="0" borderId="20" applyNumberFormat="0" applyFont="0" applyFill="0" applyAlignment="0" applyProtection="0"/>
    <xf numFmtId="206" fontId="85" fillId="0" borderId="21">
      <protection locked="0"/>
    </xf>
    <xf numFmtId="235" fontId="31" fillId="0" borderId="0"/>
    <xf numFmtId="38" fontId="20" fillId="35" borderId="0" applyNumberFormat="0" applyBorder="0" applyAlignment="0" applyProtection="0"/>
    <xf numFmtId="0" fontId="120" fillId="0" borderId="0">
      <alignment horizontal="fill"/>
    </xf>
    <xf numFmtId="37" fontId="20" fillId="35" borderId="0" applyNumberFormat="0" applyBorder="0" applyAlignment="0" applyProtection="0"/>
    <xf numFmtId="37" fontId="20" fillId="0" borderId="0"/>
    <xf numFmtId="37" fontId="20" fillId="29" borderId="0" applyNumberFormat="0" applyBorder="0" applyAlignment="0" applyProtection="0"/>
    <xf numFmtId="3" fontId="86" fillId="0" borderId="13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0" fontId="80" fillId="0" borderId="0" applyFont="0" applyFill="0" applyBorder="0" applyProtection="0">
      <alignment horizontal="right"/>
    </xf>
    <xf numFmtId="0" fontId="84" fillId="34" borderId="22">
      <alignment horizontal="center" vertical="top"/>
    </xf>
    <xf numFmtId="201" fontId="83" fillId="0" borderId="0">
      <alignment horizontal="center"/>
    </xf>
    <xf numFmtId="205" fontId="31" fillId="0" borderId="0">
      <alignment horizontal="left"/>
    </xf>
    <xf numFmtId="183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0" fontId="31" fillId="0" borderId="0"/>
    <xf numFmtId="43" fontId="122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6" borderId="15" applyNumberFormat="0" applyFont="0" applyAlignment="0" applyProtection="0"/>
    <xf numFmtId="9" fontId="31" fillId="0" borderId="0" applyFont="0" applyFill="0" applyBorder="0" applyAlignment="0" applyProtection="0"/>
    <xf numFmtId="0" fontId="18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185" fontId="19" fillId="0" borderId="0" applyFont="0" applyFill="0" applyBorder="0" applyAlignment="0" applyProtection="0"/>
    <xf numFmtId="0" fontId="19" fillId="0" borderId="0"/>
    <xf numFmtId="236" fontId="126" fillId="0" borderId="0">
      <alignment horizontal="right"/>
    </xf>
    <xf numFmtId="10" fontId="127" fillId="0" borderId="0"/>
    <xf numFmtId="9" fontId="128" fillId="0" borderId="0"/>
    <xf numFmtId="9" fontId="128" fillId="0" borderId="0"/>
    <xf numFmtId="174" fontId="128" fillId="0" borderId="0"/>
    <xf numFmtId="174" fontId="128" fillId="0" borderId="0"/>
    <xf numFmtId="10" fontId="128" fillId="0" borderId="0"/>
    <xf numFmtId="10" fontId="12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9" fillId="0" borderId="0">
      <alignment horizontal="left" wrapText="1"/>
    </xf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237" fillId="0" borderId="59" applyNumberFormat="0" applyFill="0" applyProtection="0">
      <alignment horizontal="center"/>
    </xf>
    <xf numFmtId="42" fontId="10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42" fontId="128" fillId="0" borderId="0" applyFont="0" applyFill="0" applyBorder="0" applyAlignment="0" applyProtection="0"/>
    <xf numFmtId="242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37" fontId="22" fillId="0" borderId="0"/>
    <xf numFmtId="0" fontId="108" fillId="0" borderId="0"/>
    <xf numFmtId="0" fontId="108" fillId="0" borderId="0"/>
    <xf numFmtId="237" fontId="45" fillId="0" borderId="0"/>
    <xf numFmtId="9" fontId="19" fillId="0" borderId="0"/>
    <xf numFmtId="9" fontId="19" fillId="0" borderId="0"/>
    <xf numFmtId="9" fontId="19" fillId="0" borderId="0"/>
    <xf numFmtId="9" fontId="19" fillId="0" borderId="0"/>
    <xf numFmtId="238" fontId="45" fillId="0" borderId="0"/>
    <xf numFmtId="174" fontId="45" fillId="0" borderId="0"/>
    <xf numFmtId="2" fontId="45" fillId="0" borderId="0"/>
    <xf numFmtId="10" fontId="45" fillId="0" borderId="0"/>
    <xf numFmtId="0" fontId="129" fillId="0" borderId="31" applyFont="0" applyFill="0" applyBorder="0" applyAlignment="0" applyProtection="0"/>
    <xf numFmtId="237" fontId="45" fillId="0" borderId="0"/>
    <xf numFmtId="0" fontId="130" fillId="0" borderId="0"/>
    <xf numFmtId="244" fontId="128" fillId="0" borderId="0"/>
    <xf numFmtId="244" fontId="128" fillId="0" borderId="0"/>
    <xf numFmtId="43" fontId="19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3" borderId="0" applyNumberFormat="0" applyBorder="0" applyAlignment="0" applyProtection="0"/>
    <xf numFmtId="0" fontId="125" fillId="1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37" fontId="42" fillId="0" borderId="0">
      <alignment horizontal="center"/>
    </xf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43" fontId="131" fillId="0" borderId="7" applyNumberFormat="0" applyBorder="0"/>
    <xf numFmtId="37" fontId="132" fillId="36" borderId="27" applyBorder="0" applyProtection="0">
      <alignment vertical="center"/>
    </xf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3" fillId="0" borderId="32" applyNumberFormat="0" applyFill="0" applyAlignment="0" applyProtection="0"/>
    <xf numFmtId="0" fontId="134" fillId="0" borderId="7" applyFont="0">
      <alignment horizontal="centerContinuous"/>
    </xf>
    <xf numFmtId="0" fontId="134" fillId="0" borderId="7" applyFont="0">
      <alignment horizontal="centerContinuous"/>
    </xf>
    <xf numFmtId="0" fontId="126" fillId="0" borderId="0"/>
    <xf numFmtId="0" fontId="126" fillId="0" borderId="0"/>
    <xf numFmtId="9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128" fillId="0" borderId="0"/>
    <xf numFmtId="0" fontId="19" fillId="29" borderId="0"/>
    <xf numFmtId="0" fontId="19" fillId="29" borderId="0"/>
    <xf numFmtId="0" fontId="19" fillId="29" borderId="0"/>
    <xf numFmtId="0" fontId="19" fillId="29" borderId="0"/>
    <xf numFmtId="0" fontId="227" fillId="5" borderId="0" applyNumberFormat="0" applyBorder="0" applyAlignment="0" applyProtection="0"/>
    <xf numFmtId="38" fontId="135" fillId="0" borderId="0" applyNumberFormat="0" applyFill="0" applyBorder="0" applyAlignment="0" applyProtection="0"/>
    <xf numFmtId="245" fontId="108" fillId="0" borderId="0" applyFont="0" applyFill="0" applyBorder="0" applyAlignment="0" applyProtection="0"/>
    <xf numFmtId="0" fontId="115" fillId="37" borderId="28" applyFill="0" applyBorder="0" applyProtection="0">
      <alignment horizontal="left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8" fillId="0" borderId="0"/>
    <xf numFmtId="0" fontId="128" fillId="0" borderId="0"/>
    <xf numFmtId="0" fontId="138" fillId="38" borderId="0" applyBorder="0">
      <alignment horizontal="left" vertical="center" indent="1"/>
    </xf>
    <xf numFmtId="0" fontId="134" fillId="0" borderId="7" applyNumberFormat="0" applyFill="0" applyAlignment="0" applyProtection="0"/>
    <xf numFmtId="0" fontId="135" fillId="0" borderId="7" applyNumberFormat="0" applyFont="0" applyFill="0" applyAlignment="0" applyProtection="0"/>
    <xf numFmtId="0" fontId="126" fillId="0" borderId="19"/>
    <xf numFmtId="0" fontId="126" fillId="0" borderId="19"/>
    <xf numFmtId="0" fontId="139" fillId="0" borderId="0" applyFill="0" applyBorder="0">
      <alignment vertical="top"/>
    </xf>
    <xf numFmtId="246" fontId="49" fillId="29" borderId="0" applyBorder="0">
      <alignment vertical="top"/>
    </xf>
    <xf numFmtId="246" fontId="50" fillId="29" borderId="0" applyBorder="0">
      <alignment vertical="top"/>
    </xf>
    <xf numFmtId="1" fontId="62" fillId="0" borderId="0" applyFont="0" applyFill="0" applyBorder="0" applyAlignment="0" applyProtection="0"/>
    <xf numFmtId="0" fontId="128" fillId="0" borderId="7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247" fontId="128" fillId="0" borderId="0" applyFont="0" applyFill="0" applyBorder="0" applyAlignment="0" applyProtection="0"/>
    <xf numFmtId="247" fontId="128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7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43" fontId="126" fillId="0" borderId="0">
      <alignment horizontal="right"/>
    </xf>
    <xf numFmtId="43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37" fontId="128" fillId="0" borderId="0">
      <alignment horizontal="center"/>
    </xf>
    <xf numFmtId="0" fontId="128" fillId="0" borderId="0"/>
    <xf numFmtId="0" fontId="134" fillId="0" borderId="0"/>
    <xf numFmtId="0" fontId="134" fillId="0" borderId="0"/>
    <xf numFmtId="0" fontId="228" fillId="26" borderId="4" applyNumberFormat="0" applyAlignment="0" applyProtection="0"/>
    <xf numFmtId="0" fontId="141" fillId="29" borderId="0" applyNumberFormat="0" applyBorder="0">
      <alignment vertical="center"/>
    </xf>
    <xf numFmtId="0" fontId="49" fillId="0" borderId="0"/>
    <xf numFmtId="0" fontId="49" fillId="0" borderId="0"/>
    <xf numFmtId="0" fontId="142" fillId="0" borderId="0"/>
    <xf numFmtId="1" fontId="143" fillId="0" borderId="0"/>
    <xf numFmtId="0" fontId="229" fillId="27" borderId="5" applyNumberFormat="0" applyAlignment="0" applyProtection="0"/>
    <xf numFmtId="0" fontId="128" fillId="0" borderId="0"/>
    <xf numFmtId="248" fontId="50" fillId="0" borderId="0" applyFill="0" applyBorder="0" applyAlignment="0"/>
    <xf numFmtId="249" fontId="50" fillId="0" borderId="0" applyFill="0" applyBorder="0" applyAlignment="0"/>
    <xf numFmtId="0" fontId="115" fillId="39" borderId="9" applyNumberFormat="0" applyBorder="0" applyProtection="0">
      <alignment horizontal="center" vertical="center" wrapText="1"/>
    </xf>
    <xf numFmtId="43" fontId="19" fillId="0" borderId="0" applyFont="0" applyFill="0" applyBorder="0" applyAlignment="0" applyProtection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0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43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ill="0" applyBorder="0" applyAlignment="0" applyProtection="0"/>
    <xf numFmtId="170" fontId="146" fillId="0" borderId="0" applyFill="0" applyBorder="0">
      <alignment horizontal="left"/>
    </xf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0" fontId="147" fillId="0" borderId="0">
      <alignment horizontal="left"/>
    </xf>
    <xf numFmtId="0" fontId="148" fillId="0" borderId="0"/>
    <xf numFmtId="0" fontId="149" fillId="0" borderId="0">
      <alignment horizontal="left"/>
    </xf>
    <xf numFmtId="44" fontId="19" fillId="0" borderId="0" applyFont="0" applyFill="0" applyBorder="0" applyAlignment="0" applyProtection="0"/>
    <xf numFmtId="252" fontId="80" fillId="0" borderId="0"/>
    <xf numFmtId="252" fontId="80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36" fontId="127" fillId="0" borderId="0">
      <alignment horizontal="right"/>
    </xf>
    <xf numFmtId="253" fontId="128" fillId="0" borderId="0" applyFont="0" applyFill="0" applyBorder="0" applyAlignment="0" applyProtection="0"/>
    <xf numFmtId="253" fontId="128" fillId="0" borderId="0" applyFont="0" applyFill="0" applyBorder="0" applyAlignment="0" applyProtection="0"/>
    <xf numFmtId="254" fontId="19" fillId="0" borderId="0" applyFont="0" applyFill="0" applyBorder="0" applyAlignment="0" applyProtection="0"/>
    <xf numFmtId="14" fontId="115" fillId="0" borderId="0"/>
    <xf numFmtId="14" fontId="115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5" fontId="19" fillId="0" borderId="0"/>
    <xf numFmtId="255" fontId="19" fillId="0" borderId="0"/>
    <xf numFmtId="255" fontId="19" fillId="0" borderId="0"/>
    <xf numFmtId="255" fontId="19" fillId="0" borderId="0"/>
    <xf numFmtId="14" fontId="19" fillId="0" borderId="0"/>
    <xf numFmtId="164" fontId="127" fillId="0" borderId="0"/>
    <xf numFmtId="175" fontId="127" fillId="0" borderId="0"/>
    <xf numFmtId="252" fontId="19" fillId="0" borderId="0"/>
    <xf numFmtId="252" fontId="19" fillId="0" borderId="0"/>
    <xf numFmtId="252" fontId="19" fillId="0" borderId="0"/>
    <xf numFmtId="252" fontId="19" fillId="0" borderId="0"/>
    <xf numFmtId="41" fontId="19" fillId="0" borderId="0" applyFont="0" applyFill="0" applyBorder="0" applyAlignment="0" applyProtection="0"/>
    <xf numFmtId="1" fontId="151" fillId="0" borderId="0" applyFill="0" applyBorder="0" applyAlignment="0" applyProtection="0"/>
    <xf numFmtId="174" fontId="152" fillId="0" borderId="0">
      <alignment horizontal="right"/>
    </xf>
    <xf numFmtId="236" fontId="127" fillId="0" borderId="19">
      <alignment horizontal="right"/>
    </xf>
    <xf numFmtId="176" fontId="19" fillId="0" borderId="0" applyFont="0" applyFill="0" applyBorder="0" applyAlignment="0" applyProtection="0"/>
    <xf numFmtId="170" fontId="28" fillId="0" borderId="0"/>
    <xf numFmtId="2" fontId="153" fillId="0" borderId="0"/>
    <xf numFmtId="256" fontId="19" fillId="0" borderId="0" applyFont="0" applyFill="0" applyBorder="0" applyAlignment="0" applyProtection="0"/>
    <xf numFmtId="216" fontId="19" fillId="0" borderId="0" applyFont="0" applyFill="0" applyBorder="0" applyAlignment="0" applyProtection="0">
      <alignment horizontal="left" wrapText="1"/>
    </xf>
    <xf numFmtId="216" fontId="19" fillId="0" borderId="0" applyFont="0" applyFill="0" applyBorder="0" applyAlignment="0" applyProtection="0">
      <alignment horizontal="left" wrapText="1"/>
    </xf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224" fontId="22" fillId="0" borderId="0" applyNumberFormat="0" applyBorder="0" applyAlignment="0">
      <alignment horizontal="left"/>
    </xf>
    <xf numFmtId="224" fontId="22" fillId="0" borderId="0" applyNumberFormat="0" applyBorder="0" applyAlignment="0">
      <alignment horizontal="left"/>
    </xf>
    <xf numFmtId="236" fontId="126" fillId="0" borderId="0">
      <alignment horizontal="right"/>
    </xf>
    <xf numFmtId="164" fontId="126" fillId="0" borderId="0">
      <alignment horizontal="right"/>
    </xf>
    <xf numFmtId="175" fontId="126" fillId="0" borderId="0">
      <alignment horizontal="right"/>
    </xf>
    <xf numFmtId="1" fontId="50" fillId="0" borderId="0" applyFill="0"/>
    <xf numFmtId="257" fontId="19" fillId="0" borderId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57" fontId="19" fillId="0" borderId="0"/>
    <xf numFmtId="257" fontId="19" fillId="0" borderId="0"/>
    <xf numFmtId="257" fontId="19" fillId="0" borderId="0"/>
    <xf numFmtId="257" fontId="19" fillId="0" borderId="0"/>
    <xf numFmtId="0" fontId="43" fillId="0" borderId="0"/>
    <xf numFmtId="258" fontId="126" fillId="0" borderId="0" applyProtection="0">
      <alignment horizontal="left"/>
    </xf>
    <xf numFmtId="258" fontId="126" fillId="0" borderId="0" applyProtection="0">
      <alignment horizontal="left"/>
    </xf>
    <xf numFmtId="0" fontId="154" fillId="0" borderId="0">
      <alignment horizontal="left"/>
    </xf>
    <xf numFmtId="0" fontId="105" fillId="0" borderId="0">
      <alignment horizontal="left"/>
    </xf>
    <xf numFmtId="0" fontId="155" fillId="0" borderId="0">
      <alignment horizontal="left"/>
    </xf>
    <xf numFmtId="0" fontId="80" fillId="0" borderId="0" applyFill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155" fillId="0" borderId="0">
      <alignment horizontal="left"/>
    </xf>
    <xf numFmtId="259" fontId="156" fillId="0" borderId="0"/>
    <xf numFmtId="260" fontId="156" fillId="0" borderId="0"/>
    <xf numFmtId="261" fontId="156" fillId="0" borderId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38" fontId="20" fillId="29" borderId="0" applyNumberFormat="0" applyBorder="0" applyAlignment="0" applyProtection="0"/>
    <xf numFmtId="0" fontId="23" fillId="38" borderId="11" applyAlignment="0" applyProtection="0"/>
    <xf numFmtId="0" fontId="108" fillId="0" borderId="24" applyFill="0" applyBorder="0" applyProtection="0">
      <alignment horizontal="left"/>
    </xf>
    <xf numFmtId="0" fontId="158" fillId="0" borderId="0" applyNumberFormat="0" applyFill="0" applyProtection="0">
      <alignment horizontal="left"/>
    </xf>
    <xf numFmtId="0" fontId="159" fillId="0" borderId="33">
      <alignment horizontal="centerContinuous"/>
    </xf>
    <xf numFmtId="0" fontId="160" fillId="0" borderId="0">
      <alignment horizontal="centerContinuous"/>
    </xf>
    <xf numFmtId="183" fontId="19" fillId="0" borderId="0" applyFont="0" applyFill="0" applyBorder="0" applyAlignment="0" applyProtection="0"/>
    <xf numFmtId="0" fontId="161" fillId="0" borderId="0">
      <alignment horizontal="left"/>
    </xf>
    <xf numFmtId="0" fontId="162" fillId="0" borderId="0" applyProtection="0">
      <alignment horizontal="right"/>
    </xf>
    <xf numFmtId="0" fontId="161" fillId="0" borderId="0">
      <alignment horizontal="left"/>
    </xf>
    <xf numFmtId="37" fontId="163" fillId="29" borderId="10" applyFill="0">
      <alignment vertical="center"/>
    </xf>
    <xf numFmtId="0" fontId="161" fillId="0" borderId="0">
      <alignment horizontal="left"/>
    </xf>
    <xf numFmtId="0" fontId="163" fillId="0" borderId="2" applyNumberFormat="0" applyFill="0">
      <alignment horizontal="centerContinuous" vertical="top"/>
    </xf>
    <xf numFmtId="0" fontId="164" fillId="36" borderId="34" applyNumberFormat="0" applyBorder="0">
      <alignment horizontal="left" vertical="center" indent="1"/>
    </xf>
    <xf numFmtId="0" fontId="231" fillId="0" borderId="35" applyNumberFormat="0" applyFill="0" applyAlignment="0" applyProtection="0"/>
    <xf numFmtId="0" fontId="165" fillId="0" borderId="0">
      <alignment horizontal="left"/>
    </xf>
    <xf numFmtId="0" fontId="166" fillId="0" borderId="24">
      <alignment horizontal="left" vertical="top"/>
    </xf>
    <xf numFmtId="0" fontId="232" fillId="0" borderId="36" applyNumberFormat="0" applyFill="0" applyAlignment="0" applyProtection="0"/>
    <xf numFmtId="0" fontId="98" fillId="0" borderId="0">
      <alignment horizontal="left"/>
    </xf>
    <xf numFmtId="0" fontId="167" fillId="0" borderId="24">
      <alignment horizontal="left" vertical="top"/>
    </xf>
    <xf numFmtId="0" fontId="233" fillId="0" borderId="37" applyNumberFormat="0" applyFill="0" applyAlignment="0" applyProtection="0"/>
    <xf numFmtId="0" fontId="93" fillId="0" borderId="0">
      <alignment horizontal="left"/>
    </xf>
    <xf numFmtId="0" fontId="233" fillId="0" borderId="0" applyNumberFormat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Fill="0" applyBorder="0" applyProtection="0">
      <alignment horizontal="right"/>
    </xf>
    <xf numFmtId="0" fontId="168" fillId="0" borderId="2">
      <alignment horizontal="centerContinuous"/>
    </xf>
    <xf numFmtId="0" fontId="133" fillId="0" borderId="0" applyNumberFormat="0" applyFill="0" applyBorder="0" applyAlignment="0" applyProtection="0"/>
    <xf numFmtId="263" fontId="169" fillId="0" borderId="0" applyNumberFormat="0" applyFill="0" applyBorder="0" applyAlignment="0">
      <protection locked="0"/>
    </xf>
    <xf numFmtId="0" fontId="134" fillId="0" borderId="0" applyFont="0" applyAlignment="0">
      <alignment horizontal="centerContinuous"/>
    </xf>
    <xf numFmtId="0" fontId="134" fillId="0" borderId="0" applyFont="0" applyAlignment="0">
      <alignment horizontal="centerContinuous"/>
    </xf>
    <xf numFmtId="0" fontId="127" fillId="0" borderId="9">
      <alignment horizontal="centerContinuous"/>
    </xf>
    <xf numFmtId="49" fontId="170" fillId="0" borderId="38"/>
    <xf numFmtId="49" fontId="100" fillId="0" borderId="0"/>
    <xf numFmtId="49" fontId="171" fillId="0" borderId="0"/>
    <xf numFmtId="0" fontId="128" fillId="0" borderId="0"/>
    <xf numFmtId="0" fontId="172" fillId="0" borderId="0"/>
    <xf numFmtId="0" fontId="172" fillId="0" borderId="0"/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63" fontId="173" fillId="0" borderId="0" applyNumberFormat="0" applyFill="0" applyBorder="0" applyAlignment="0"/>
    <xf numFmtId="9" fontId="153" fillId="0" borderId="0" applyAlignment="0">
      <alignment horizontal="center"/>
    </xf>
    <xf numFmtId="10" fontId="20" fillId="28" borderId="9" applyNumberFormat="0" applyBorder="0" applyAlignment="0" applyProtection="0"/>
    <xf numFmtId="0" fontId="53" fillId="4" borderId="4" applyNumberFormat="0" applyAlignment="0" applyProtection="0"/>
    <xf numFmtId="264" fontId="174" fillId="0" borderId="0" applyNumberFormat="0" applyBorder="0" applyProtection="0"/>
    <xf numFmtId="264" fontId="175" fillId="0" borderId="0"/>
    <xf numFmtId="0" fontId="175" fillId="40" borderId="0" applyNumberFormat="0" applyBorder="0" applyProtection="0">
      <alignment horizontal="center" vertical="center"/>
    </xf>
    <xf numFmtId="249" fontId="176" fillId="0" borderId="0" applyBorder="0">
      <alignment horizontal="right" vertical="top"/>
      <protection locked="0"/>
    </xf>
    <xf numFmtId="0" fontId="127" fillId="0" borderId="0" applyNumberFormat="0" applyFill="0" applyBorder="0" applyAlignment="0">
      <protection locked="0"/>
    </xf>
    <xf numFmtId="0" fontId="78" fillId="0" borderId="0" applyNumberFormat="0" applyFill="0" applyBorder="0" applyAlignment="0"/>
    <xf numFmtId="0" fontId="78" fillId="0" borderId="0" applyNumberFormat="0" applyFill="0" applyBorder="0" applyAlignment="0"/>
    <xf numFmtId="265" fontId="176" fillId="0" borderId="0" applyBorder="0">
      <alignment horizontal="right" vertical="top"/>
      <protection locked="0"/>
    </xf>
    <xf numFmtId="237" fontId="157" fillId="29" borderId="0" applyFill="0" applyBorder="0">
      <protection locked="0"/>
    </xf>
    <xf numFmtId="237" fontId="157" fillId="29" borderId="0" applyFill="0" applyBorder="0">
      <protection locked="0"/>
    </xf>
    <xf numFmtId="249" fontId="176" fillId="0" borderId="0" applyBorder="0" applyProtection="0"/>
    <xf numFmtId="249" fontId="176" fillId="0" borderId="0" applyBorder="0" applyProtection="0"/>
    <xf numFmtId="266" fontId="176" fillId="0" borderId="0" applyBorder="0">
      <alignment horizontal="right" vertical="top"/>
      <protection locked="0"/>
    </xf>
    <xf numFmtId="266" fontId="176" fillId="0" borderId="0" applyBorder="0">
      <alignment horizontal="right" vertical="top"/>
      <protection locked="0"/>
    </xf>
    <xf numFmtId="267" fontId="19" fillId="0" borderId="0"/>
    <xf numFmtId="267" fontId="19" fillId="0" borderId="0"/>
    <xf numFmtId="267" fontId="19" fillId="0" borderId="0"/>
    <xf numFmtId="267" fontId="19" fillId="0" borderId="0"/>
    <xf numFmtId="268" fontId="177" fillId="0" borderId="24" applyFill="0" applyBorder="0" applyProtection="0"/>
    <xf numFmtId="0" fontId="178" fillId="0" borderId="0"/>
    <xf numFmtId="269" fontId="179" fillId="0" borderId="0" applyFont="0" applyFill="0" applyBorder="0" applyAlignment="0" applyProtection="0"/>
    <xf numFmtId="270" fontId="179" fillId="0" borderId="0" applyFont="0" applyFill="0" applyBorder="0" applyAlignment="0" applyProtection="0"/>
    <xf numFmtId="1" fontId="180" fillId="1" borderId="39">
      <protection locked="0"/>
    </xf>
    <xf numFmtId="271" fontId="181" fillId="0" borderId="40" applyFont="0" applyFill="0" applyBorder="0" applyAlignment="0" applyProtection="0"/>
    <xf numFmtId="0" fontId="50" fillId="29" borderId="0" applyNumberFormat="0" applyFill="0" applyBorder="0"/>
    <xf numFmtId="249" fontId="182" fillId="0" borderId="0" applyNumberFormat="0" applyFill="0" applyBorder="0" applyProtection="0">
      <alignment horizontal="left" vertical="top"/>
    </xf>
    <xf numFmtId="0" fontId="183" fillId="0" borderId="0">
      <alignment horizontal="left"/>
    </xf>
    <xf numFmtId="0" fontId="184" fillId="0" borderId="0">
      <alignment horizontal="left"/>
    </xf>
    <xf numFmtId="0" fontId="158" fillId="0" borderId="0">
      <alignment horizontal="left"/>
    </xf>
    <xf numFmtId="0" fontId="158" fillId="0" borderId="0">
      <alignment horizontal="left"/>
    </xf>
    <xf numFmtId="0" fontId="124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37" fontId="185" fillId="0" borderId="0" applyNumberFormat="0" applyFill="0" applyBorder="0" applyAlignment="0" applyProtection="0">
      <alignment horizontal="right"/>
    </xf>
    <xf numFmtId="0" fontId="234" fillId="0" borderId="14" applyNumberFormat="0" applyFill="0" applyAlignment="0" applyProtection="0"/>
    <xf numFmtId="272" fontId="126" fillId="0" borderId="0">
      <alignment horizontal="right"/>
    </xf>
    <xf numFmtId="273" fontId="126" fillId="0" borderId="0">
      <alignment horizontal="right"/>
    </xf>
    <xf numFmtId="0" fontId="100" fillId="0" borderId="0" applyNumberFormat="0" applyFill="0" applyBorder="0" applyProtection="0">
      <alignment horizontal="left" vertical="center"/>
    </xf>
    <xf numFmtId="0" fontId="100" fillId="0" borderId="0" applyNumberFormat="0" applyFill="0" applyBorder="0" applyProtection="0">
      <alignment horizontal="left" vertical="center"/>
    </xf>
    <xf numFmtId="0" fontId="139" fillId="0" borderId="0">
      <alignment vertical="top"/>
    </xf>
    <xf numFmtId="0" fontId="186" fillId="0" borderId="0" applyNumberFormat="0" applyFill="0" applyBorder="0" applyAlignment="0" applyProtection="0"/>
    <xf numFmtId="0" fontId="20" fillId="0" borderId="0" applyNumberFormat="0" applyFill="0" applyBorder="0"/>
    <xf numFmtId="0" fontId="20" fillId="0" borderId="0" applyNumberFormat="0" applyFill="0" applyBorder="0"/>
    <xf numFmtId="265" fontId="20" fillId="0" borderId="0" applyFill="0" applyBorder="0">
      <alignment vertical="top"/>
    </xf>
    <xf numFmtId="265" fontId="20" fillId="0" borderId="0" applyFill="0" applyBorder="0" applyAlignment="0"/>
    <xf numFmtId="265" fontId="20" fillId="0" borderId="0" applyFill="0" applyBorder="0" applyAlignment="0"/>
    <xf numFmtId="249" fontId="186" fillId="0" borderId="0" applyNumberFormat="0" applyFill="0" applyBorder="0" applyAlignment="0"/>
    <xf numFmtId="249" fontId="187" fillId="0" borderId="0" applyNumberFormat="0" applyFill="0" applyBorder="0">
      <alignment vertical="center"/>
    </xf>
    <xf numFmtId="249" fontId="20" fillId="0" borderId="0" applyFill="0" applyBorder="0">
      <alignment horizontal="right"/>
    </xf>
    <xf numFmtId="249" fontId="20" fillId="0" borderId="0" applyFill="0" applyBorder="0">
      <alignment horizontal="right"/>
    </xf>
    <xf numFmtId="0" fontId="20" fillId="0" borderId="0" applyFill="0" applyBorder="0" applyProtection="0">
      <alignment vertical="top"/>
    </xf>
    <xf numFmtId="0" fontId="20" fillId="0" borderId="0" applyFill="0" applyBorder="0" applyProtection="0">
      <alignment vertical="top"/>
    </xf>
    <xf numFmtId="249" fontId="20" fillId="0" borderId="0" applyFill="0" applyBorder="0">
      <alignment horizontal="right" vertical="top"/>
    </xf>
    <xf numFmtId="249" fontId="20" fillId="0" borderId="0" applyFill="0" applyBorder="0">
      <alignment horizontal="right" vertical="top"/>
    </xf>
    <xf numFmtId="41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274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76" fontId="181" fillId="0" borderId="40" applyFont="0" applyFill="0" applyBorder="0" applyAlignment="0" applyProtection="0"/>
    <xf numFmtId="0" fontId="188" fillId="0" borderId="0">
      <alignment horizontal="centerContinuous"/>
    </xf>
    <xf numFmtId="277" fontId="189" fillId="0" borderId="0" applyFont="0" applyFill="0" applyBorder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3" fontId="128" fillId="0" borderId="0"/>
    <xf numFmtId="43" fontId="128" fillId="0" borderId="0"/>
    <xf numFmtId="0" fontId="190" fillId="0" borderId="0" applyNumberFormat="0" applyFill="0" applyBorder="0" applyProtection="0">
      <alignment horizontal="left"/>
    </xf>
    <xf numFmtId="0" fontId="235" fillId="12" borderId="0" applyNumberFormat="0" applyBorder="0" applyAlignment="0" applyProtection="0"/>
    <xf numFmtId="0" fontId="126" fillId="0" borderId="0">
      <alignment horizontal="left"/>
    </xf>
    <xf numFmtId="170" fontId="45" fillId="0" borderId="0"/>
    <xf numFmtId="0" fontId="191" fillId="29" borderId="0">
      <alignment horizontal="left" indent="1"/>
    </xf>
    <xf numFmtId="0" fontId="192" fillId="0" borderId="0"/>
    <xf numFmtId="0" fontId="192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0" fontId="19" fillId="0" borderId="0"/>
    <xf numFmtId="0" fontId="192" fillId="0" borderId="0"/>
    <xf numFmtId="0" fontId="19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92" fillId="0" borderId="0"/>
    <xf numFmtId="0" fontId="192" fillId="0" borderId="0"/>
    <xf numFmtId="0" fontId="193" fillId="0" borderId="0"/>
    <xf numFmtId="37" fontId="194" fillId="0" borderId="0" applyNumberFormat="0" applyFont="0" applyFill="0" applyBorder="0" applyAlignment="0" applyProtection="0"/>
    <xf numFmtId="0" fontId="57" fillId="6" borderId="16" applyNumberFormat="0" applyFont="0" applyAlignment="0" applyProtection="0"/>
    <xf numFmtId="0" fontId="57" fillId="6" borderId="16" applyNumberFormat="0" applyFont="0" applyAlignment="0" applyProtection="0"/>
    <xf numFmtId="0" fontId="195" fillId="0" borderId="30"/>
    <xf numFmtId="38" fontId="108" fillId="0" borderId="25" applyFont="0" applyFill="0" applyBorder="0" applyAlignment="0" applyProtection="0"/>
    <xf numFmtId="37" fontId="19" fillId="0" borderId="0"/>
    <xf numFmtId="215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236" fillId="26" borderId="17" applyNumberFormat="0" applyAlignment="0" applyProtection="0"/>
    <xf numFmtId="10" fontId="128" fillId="0" borderId="25"/>
    <xf numFmtId="174" fontId="196" fillId="0" borderId="0" applyProtection="0">
      <alignment horizontal="right"/>
    </xf>
    <xf numFmtId="174" fontId="126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65" fillId="0" borderId="0" applyNumberFormat="0" applyFill="0" applyBorder="0" applyProtection="0">
      <alignment horizontal="left"/>
    </xf>
    <xf numFmtId="1" fontId="101" fillId="0" borderId="0" applyProtection="0">
      <alignment horizontal="right" vertical="center"/>
    </xf>
    <xf numFmtId="246" fontId="50" fillId="0" borderId="0" applyFont="0" applyFill="0" applyBorder="0">
      <alignment horizontal="right" vertical="top"/>
    </xf>
    <xf numFmtId="278" fontId="50" fillId="29" borderId="0" applyFill="0" applyBorder="0">
      <alignment horizontal="right" vertical="top"/>
    </xf>
    <xf numFmtId="174" fontId="152" fillId="0" borderId="0">
      <alignment horizontal="right"/>
    </xf>
    <xf numFmtId="0" fontId="126" fillId="0" borderId="0"/>
    <xf numFmtId="0" fontId="126" fillId="0" borderId="0"/>
    <xf numFmtId="0" fontId="197" fillId="0" borderId="0"/>
    <xf numFmtId="0" fontId="43" fillId="0" borderId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98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45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79" fontId="189" fillId="0" borderId="0" applyFont="0" applyFill="0" applyBorder="0" applyProtection="0">
      <alignment horizontal="right"/>
    </xf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174" fontId="196" fillId="0" borderId="0">
      <alignment horizontal="right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10" fontId="127" fillId="0" borderId="0"/>
    <xf numFmtId="9" fontId="127" fillId="0" borderId="0"/>
    <xf numFmtId="281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0" fontId="200" fillId="38" borderId="0">
      <alignment horizontal="left" indent="1"/>
    </xf>
    <xf numFmtId="0" fontId="201" fillId="0" borderId="0">
      <alignment horizontal="centerContinuous"/>
    </xf>
    <xf numFmtId="0" fontId="202" fillId="0" borderId="7"/>
    <xf numFmtId="236" fontId="203" fillId="0" borderId="0">
      <alignment horizontal="right"/>
    </xf>
    <xf numFmtId="10" fontId="126" fillId="0" borderId="9"/>
    <xf numFmtId="10" fontId="126" fillId="0" borderId="9"/>
    <xf numFmtId="10" fontId="19" fillId="0" borderId="0"/>
    <xf numFmtId="10" fontId="19" fillId="0" borderId="0"/>
    <xf numFmtId="10" fontId="19" fillId="0" borderId="0"/>
    <xf numFmtId="10" fontId="19" fillId="0" borderId="0"/>
    <xf numFmtId="248" fontId="130" fillId="0" borderId="0" applyFont="0" applyFill="0" applyBorder="0" applyAlignment="0" applyProtection="0">
      <alignment horizontal="right"/>
    </xf>
    <xf numFmtId="283" fontId="49" fillId="41" borderId="9" applyNumberFormat="0" applyProtection="0">
      <alignment horizontal="center" vertical="center" wrapText="1"/>
    </xf>
    <xf numFmtId="166" fontId="19" fillId="0" borderId="0" applyFont="0" applyFill="0" applyBorder="0" applyAlignment="0" applyProtection="0"/>
    <xf numFmtId="0" fontId="19" fillId="0" borderId="41" applyNumberFormat="0" applyFont="0" applyFill="0" applyAlignment="0" applyProtection="0"/>
    <xf numFmtId="0" fontId="19" fillId="0" borderId="42" applyNumberFormat="0" applyFont="0" applyFill="0" applyAlignment="0" applyProtection="0"/>
    <xf numFmtId="0" fontId="19" fillId="0" borderId="31" applyNumberFormat="0" applyFont="0" applyFill="0" applyAlignment="0" applyProtection="0"/>
    <xf numFmtId="0" fontId="19" fillId="0" borderId="43" applyNumberFormat="0" applyFont="0" applyFill="0" applyAlignment="0" applyProtection="0"/>
    <xf numFmtId="0" fontId="19" fillId="0" borderId="44" applyNumberFormat="0" applyFont="0" applyFill="0" applyAlignment="0" applyProtection="0"/>
    <xf numFmtId="0" fontId="19" fillId="17" borderId="0" applyNumberFormat="0" applyFont="0" applyBorder="0" applyAlignment="0" applyProtection="0"/>
    <xf numFmtId="0" fontId="19" fillId="0" borderId="45" applyNumberFormat="0" applyFont="0" applyFill="0" applyAlignment="0" applyProtection="0"/>
    <xf numFmtId="0" fontId="19" fillId="0" borderId="46" applyNumberFormat="0" applyFont="0" applyFill="0" applyAlignment="0" applyProtection="0"/>
    <xf numFmtId="46" fontId="1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47" applyNumberFormat="0" applyFont="0" applyFill="0" applyAlignment="0" applyProtection="0"/>
    <xf numFmtId="0" fontId="19" fillId="0" borderId="48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49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0" applyNumberFormat="0" applyFont="0" applyFill="0" applyBorder="0" applyProtection="0">
      <alignment horizontal="center"/>
    </xf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49" fillId="0" borderId="0" applyNumberFormat="0" applyFill="0" applyBorder="0" applyProtection="0">
      <alignment horizontal="left"/>
    </xf>
    <xf numFmtId="0" fontId="19" fillId="17" borderId="0" applyNumberFormat="0" applyFont="0" applyBorder="0" applyAlignment="0" applyProtection="0"/>
    <xf numFmtId="0" fontId="20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50" applyNumberFormat="0" applyFont="0" applyFill="0" applyAlignment="0" applyProtection="0"/>
    <xf numFmtId="0" fontId="19" fillId="0" borderId="51" applyNumberFormat="0" applyFont="0" applyFill="0" applyAlignment="0" applyProtection="0"/>
    <xf numFmtId="284" fontId="19" fillId="0" borderId="0" applyFont="0" applyFill="0" applyBorder="0" applyAlignment="0" applyProtection="0"/>
    <xf numFmtId="0" fontId="19" fillId="0" borderId="52" applyNumberFormat="0" applyFont="0" applyFill="0" applyAlignment="0" applyProtection="0"/>
    <xf numFmtId="0" fontId="19" fillId="0" borderId="53" applyNumberFormat="0" applyFont="0" applyFill="0" applyAlignment="0" applyProtection="0"/>
    <xf numFmtId="0" fontId="19" fillId="0" borderId="40" applyNumberFormat="0" applyFont="0" applyFill="0" applyAlignment="0" applyProtection="0"/>
    <xf numFmtId="0" fontId="19" fillId="0" borderId="54" applyNumberFormat="0" applyFont="0" applyFill="0" applyAlignment="0" applyProtection="0"/>
    <xf numFmtId="0" fontId="19" fillId="0" borderId="55" applyNumberFormat="0" applyFont="0" applyFill="0" applyAlignment="0" applyProtection="0"/>
    <xf numFmtId="0" fontId="115" fillId="39" borderId="6" applyNumberFormat="0" applyBorder="0" applyProtection="0">
      <alignment horizontal="left" wrapText="1"/>
    </xf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0"/>
    <xf numFmtId="0" fontId="207" fillId="0" borderId="31">
      <protection locked="0"/>
    </xf>
    <xf numFmtId="0" fontId="28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0" fontId="108" fillId="0" borderId="0">
      <alignment horizontal="center"/>
    </xf>
    <xf numFmtId="0" fontId="108" fillId="0" borderId="0">
      <alignment horizontal="center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236" fontId="126" fillId="0" borderId="19">
      <alignment horizontal="right"/>
    </xf>
    <xf numFmtId="236" fontId="126" fillId="0" borderId="19">
      <alignment horizontal="right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208" fillId="35" borderId="17" applyNumberFormat="0" applyProtection="0">
      <alignment vertical="center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209" fillId="52" borderId="17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210" fillId="54" borderId="0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53" borderId="17" applyNumberFormat="0" applyProtection="0">
      <alignment horizontal="left" vertical="center" indent="1"/>
    </xf>
    <xf numFmtId="4" fontId="57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208" fillId="28" borderId="17" applyNumberFormat="0" applyProtection="0">
      <alignment vertical="center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208" fillId="53" borderId="17" applyNumberFormat="0" applyProtection="0">
      <alignment horizontal="right" vertical="center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211" fillId="0" borderId="0"/>
    <xf numFmtId="4" fontId="51" fillId="53" borderId="17" applyNumberFormat="0" applyProtection="0">
      <alignment horizontal="right" vertical="center"/>
    </xf>
    <xf numFmtId="177" fontId="212" fillId="0" borderId="0">
      <protection locked="0"/>
    </xf>
    <xf numFmtId="285" fontId="65" fillId="0" borderId="0" applyNumberFormat="0" applyFill="0" applyBorder="0"/>
    <xf numFmtId="0" fontId="213" fillId="0" borderId="9">
      <alignment horizontal="center" vertical="center"/>
    </xf>
    <xf numFmtId="0" fontId="214" fillId="0" borderId="0" applyNumberFormat="0" applyFill="0" applyBorder="0" applyProtection="0">
      <alignment horizontal="left" vertical="center"/>
    </xf>
    <xf numFmtId="0" fontId="60" fillId="29" borderId="0" applyNumberFormat="0" applyBorder="0">
      <alignment vertical="center"/>
    </xf>
    <xf numFmtId="177" fontId="215" fillId="0" borderId="0"/>
    <xf numFmtId="37" fontId="215" fillId="0" borderId="0"/>
    <xf numFmtId="0" fontId="108" fillId="32" borderId="0" applyNumberFormat="0" applyFont="0" applyBorder="0" applyAlignment="0" applyProtection="0"/>
    <xf numFmtId="0" fontId="175" fillId="37" borderId="0" applyNumberFormat="0" applyFont="0" applyBorder="0" applyAlignment="0" applyProtection="0"/>
    <xf numFmtId="0" fontId="175" fillId="37" borderId="0" applyNumberFormat="0" applyFont="0" applyBorder="0" applyAlignment="0" applyProtection="0"/>
    <xf numFmtId="1" fontId="62" fillId="0" borderId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40" fontId="10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202" fillId="0" borderId="20">
      <alignment horizontal="right"/>
    </xf>
    <xf numFmtId="0" fontId="216" fillId="0" borderId="31"/>
    <xf numFmtId="0" fontId="134" fillId="0" borderId="0">
      <alignment horizontal="centerContinuous"/>
    </xf>
    <xf numFmtId="0" fontId="134" fillId="0" borderId="0">
      <alignment horizontal="centerContinuous"/>
    </xf>
    <xf numFmtId="0" fontId="179" fillId="0" borderId="0"/>
    <xf numFmtId="0" fontId="193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57" fillId="0" borderId="0" applyNumberFormat="0" applyBorder="0" applyAlignment="0"/>
    <xf numFmtId="0" fontId="217" fillId="0" borderId="0" applyNumberFormat="0" applyBorder="0" applyAlignment="0"/>
    <xf numFmtId="0" fontId="140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57" fillId="0" borderId="0" applyNumberFormat="0" applyBorder="0" applyAlignment="0"/>
    <xf numFmtId="0" fontId="140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210" fillId="0" borderId="0" applyNumberFormat="0" applyBorder="0" applyAlignment="0"/>
    <xf numFmtId="0" fontId="66" fillId="0" borderId="0" applyNumberFormat="0" applyBorder="0" applyAlignment="0"/>
    <xf numFmtId="0" fontId="220" fillId="0" borderId="0" applyNumberFormat="0" applyBorder="0" applyAlignment="0"/>
    <xf numFmtId="0" fontId="63" fillId="0" borderId="0" applyNumberFormat="0" applyBorder="0" applyAlignment="0"/>
    <xf numFmtId="287" fontId="49" fillId="0" borderId="0" applyFill="0" applyBorder="0" applyProtection="0"/>
    <xf numFmtId="287" fontId="49" fillId="0" borderId="0" applyFill="0" applyBorder="0" applyProtection="0"/>
    <xf numFmtId="0" fontId="134" fillId="0" borderId="7">
      <alignment horizontal="center"/>
    </xf>
    <xf numFmtId="0" fontId="134" fillId="0" borderId="7">
      <alignment horizontal="center"/>
    </xf>
    <xf numFmtId="0" fontId="126" fillId="0" borderId="0"/>
    <xf numFmtId="0" fontId="134" fillId="0" borderId="7">
      <alignment horizontal="centerContinuous"/>
    </xf>
    <xf numFmtId="0" fontId="134" fillId="0" borderId="7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9" fontId="134" fillId="0" borderId="0">
      <alignment horizontal="centerContinuous"/>
    </xf>
    <xf numFmtId="9" fontId="134" fillId="0" borderId="0">
      <alignment horizontal="centerContinuous"/>
    </xf>
    <xf numFmtId="0" fontId="113" fillId="0" borderId="0" applyNumberFormat="0" applyFill="0" applyBorder="0" applyProtection="0">
      <alignment horizontal="left"/>
    </xf>
    <xf numFmtId="0" fontId="111" fillId="0" borderId="0" applyBorder="0" applyProtection="0">
      <alignment vertical="center"/>
    </xf>
    <xf numFmtId="0" fontId="113" fillId="0" borderId="0" applyNumberFormat="0" applyFill="0" applyBorder="0" applyProtection="0">
      <alignment horizontal="left"/>
    </xf>
    <xf numFmtId="187" fontId="19" fillId="0" borderId="0" applyFont="0" applyFill="0" applyBorder="0" applyAlignment="0" applyProtection="0"/>
    <xf numFmtId="0" fontId="59" fillId="0" borderId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221" fillId="0" borderId="0" applyFill="0" applyBorder="0" applyProtection="0"/>
    <xf numFmtId="0" fontId="98" fillId="0" borderId="0" applyNumberFormat="0" applyFill="0" applyBorder="0" applyProtection="0"/>
    <xf numFmtId="0" fontId="165" fillId="0" borderId="0" applyNumberFormat="0" applyFill="0" applyBorder="0" applyProtection="0"/>
    <xf numFmtId="0" fontId="49" fillId="0" borderId="0" applyFill="0" applyBorder="0" applyProtection="0">
      <alignment horizontal="left"/>
    </xf>
    <xf numFmtId="0" fontId="155" fillId="0" borderId="0" applyNumberFormat="0" applyFill="0" applyBorder="0" applyProtection="0"/>
    <xf numFmtId="0" fontId="20" fillId="0" borderId="24" applyFill="0" applyBorder="0" applyProtection="0">
      <alignment horizontal="left" vertical="top"/>
    </xf>
    <xf numFmtId="0" fontId="222" fillId="38" borderId="0" applyBorder="0">
      <alignment horizontal="left" vertical="center" indent="1"/>
    </xf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/>
    <xf numFmtId="288" fontId="50" fillId="56" borderId="0" applyFill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15" fillId="39" borderId="57" applyNumberFormat="0" applyBorder="0" applyProtection="0">
      <alignment horizontal="left" vertical="center"/>
    </xf>
    <xf numFmtId="289" fontId="51" fillId="0" borderId="0" applyNumberFormat="0" applyFill="0" applyBorder="0" applyAlignment="0" applyProtection="0"/>
    <xf numFmtId="0" fontId="224" fillId="0" borderId="0"/>
    <xf numFmtId="0" fontId="223" fillId="0" borderId="0"/>
    <xf numFmtId="0" fontId="135" fillId="0" borderId="21" applyNumberFormat="0" applyFont="0" applyFill="0" applyAlignment="0" applyProtection="0"/>
    <xf numFmtId="0" fontId="209" fillId="0" borderId="58" applyNumberFormat="0" applyFill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164" fontId="127" fillId="0" borderId="0" applyFont="0" applyFill="0" applyBorder="0">
      <alignment horizontal="right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262" fontId="19" fillId="0" borderId="0" applyNumberFormat="0"/>
    <xf numFmtId="262" fontId="19" fillId="0" borderId="0" applyNumberFormat="0"/>
    <xf numFmtId="262" fontId="19" fillId="0" borderId="0" applyNumberFormat="0"/>
    <xf numFmtId="262" fontId="19" fillId="0" borderId="0" applyNumberFormat="0"/>
    <xf numFmtId="290" fontId="19" fillId="0" borderId="0" applyFont="0" applyFill="0" applyBorder="0" applyAlignment="0" applyProtection="0"/>
    <xf numFmtId="291" fontId="179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96" fillId="0" borderId="0" applyFill="0" applyBorder="0" applyProtection="0">
      <alignment horizontal="right"/>
    </xf>
    <xf numFmtId="0" fontId="196" fillId="0" borderId="0" applyFill="0" applyBorder="0" applyProtection="0">
      <alignment horizontal="right"/>
    </xf>
    <xf numFmtId="0" fontId="203" fillId="0" borderId="9"/>
    <xf numFmtId="236" fontId="203" fillId="0" borderId="0">
      <alignment horizontal="right"/>
    </xf>
    <xf numFmtId="0" fontId="51" fillId="0" borderId="0" applyNumberFormat="0" applyFill="0" applyBorder="0" applyAlignment="0" applyProtection="0"/>
    <xf numFmtId="288" fontId="225" fillId="0" borderId="9">
      <alignment horizontal="right" vertical="top"/>
      <protection locked="0"/>
    </xf>
    <xf numFmtId="249" fontId="50" fillId="29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0" fontId="108" fillId="39" borderId="0" applyNumberFormat="0" applyBorder="0" applyProtection="0">
      <alignment horizontal="left"/>
    </xf>
    <xf numFmtId="14" fontId="108" fillId="0" borderId="0" applyFont="0" applyFill="0" applyBorder="0" applyProtection="0"/>
    <xf numFmtId="1" fontId="61" fillId="0" borderId="0">
      <alignment horizontal="right"/>
    </xf>
    <xf numFmtId="1" fontId="108" fillId="0" borderId="0" applyFill="0" applyBorder="0" applyProtection="0">
      <alignment horizontal="center"/>
    </xf>
    <xf numFmtId="1" fontId="62" fillId="0" borderId="0" applyFont="0" applyFill="0" applyBorder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292" fontId="19" fillId="0" borderId="0" applyFont="0" applyFill="0" applyBorder="0" applyAlignment="0" applyProtection="0"/>
    <xf numFmtId="9" fontId="126" fillId="0" borderId="0">
      <alignment horizontal="left"/>
    </xf>
    <xf numFmtId="0" fontId="126" fillId="0" borderId="0">
      <alignment horizontal="left"/>
    </xf>
    <xf numFmtId="0" fontId="126" fillId="0" borderId="0">
      <alignment horizontal="left"/>
    </xf>
    <xf numFmtId="0" fontId="19" fillId="0" borderId="0"/>
    <xf numFmtId="293" fontId="226" fillId="0" borderId="0"/>
    <xf numFmtId="0" fontId="19" fillId="0" borderId="0">
      <alignment horizontal="left" wrapText="1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0" fontId="19" fillId="0" borderId="0"/>
    <xf numFmtId="181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18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19" fillId="0" borderId="0"/>
    <xf numFmtId="191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3" fontId="19" fillId="0" borderId="0">
      <alignment horizontal="left" wrapText="1"/>
    </xf>
    <xf numFmtId="193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5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>
      <alignment horizontal="left" wrapText="1"/>
    </xf>
    <xf numFmtId="199" fontId="19" fillId="0" borderId="0" applyFont="0" applyFill="0" applyBorder="0" applyAlignment="0" applyProtection="0"/>
    <xf numFmtId="257" fontId="19" fillId="0" borderId="0"/>
    <xf numFmtId="20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/>
    <xf numFmtId="0" fontId="19" fillId="0" borderId="0"/>
    <xf numFmtId="202" fontId="19" fillId="25" borderId="1">
      <alignment horizontal="center" vertical="center"/>
    </xf>
    <xf numFmtId="8" fontId="19" fillId="0" borderId="0" applyFont="0" applyFill="0" applyBorder="0" applyAlignment="0"/>
    <xf numFmtId="211" fontId="19" fillId="0" borderId="0" applyFont="0" applyFill="0" applyBorder="0" applyAlignment="0" applyProtection="0">
      <alignment vertical="top"/>
    </xf>
    <xf numFmtId="213" fontId="19" fillId="0" borderId="0" applyFont="0" applyFill="0" applyBorder="0" applyAlignment="0" applyProtection="0">
      <alignment horizontal="right"/>
    </xf>
    <xf numFmtId="216" fontId="19" fillId="0" borderId="0" applyFont="0" applyFill="0" applyBorder="0" applyAlignment="0" applyProtection="0"/>
    <xf numFmtId="218" fontId="19" fillId="28" borderId="0" applyFont="0" applyFill="0" applyBorder="0" applyAlignment="0"/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37" fontId="19" fillId="0" borderId="0" applyFont="0" applyFill="0" applyBorder="0" applyAlignment="0" applyProtection="0"/>
    <xf numFmtId="221" fontId="19" fillId="0" borderId="0" applyFont="0" applyFill="0" applyBorder="0" applyAlignment="0" applyProtection="0">
      <alignment horizontal="left" wrapText="1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0" fontId="19" fillId="6" borderId="16" applyNumberFormat="0" applyFont="0" applyAlignment="0" applyProtection="0"/>
    <xf numFmtId="229" fontId="19" fillId="0" borderId="0" applyFont="0" applyFill="0" applyBorder="0" applyAlignment="0"/>
    <xf numFmtId="231" fontId="19" fillId="0" borderId="0" applyFont="0" applyFill="0" applyBorder="0" applyAlignment="0"/>
    <xf numFmtId="169" fontId="19" fillId="0" borderId="0">
      <alignment horizontal="left" wrapText="1"/>
    </xf>
    <xf numFmtId="0" fontId="19" fillId="0" borderId="0"/>
    <xf numFmtId="0" fontId="19" fillId="0" borderId="0"/>
    <xf numFmtId="193" fontId="19" fillId="0" borderId="0">
      <alignment horizontal="left" wrapText="1"/>
    </xf>
    <xf numFmtId="235" fontId="19" fillId="0" borderId="0"/>
    <xf numFmtId="205" fontId="19" fillId="0" borderId="0">
      <alignment horizontal="left"/>
    </xf>
    <xf numFmtId="257" fontId="19" fillId="0" borderId="0"/>
    <xf numFmtId="257" fontId="19" fillId="0" borderId="0"/>
    <xf numFmtId="257" fontId="19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68" fontId="19" fillId="0" borderId="0"/>
    <xf numFmtId="0" fontId="19" fillId="0" borderId="0"/>
    <xf numFmtId="19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208" fontId="19" fillId="0" borderId="0" applyFont="0" applyFill="0" applyBorder="0" applyAlignment="0"/>
    <xf numFmtId="220" fontId="19" fillId="0" borderId="0">
      <alignment horizontal="left"/>
    </xf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0" fontId="240" fillId="0" borderId="0"/>
    <xf numFmtId="44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5" fillId="0" borderId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3" borderId="0" applyNumberFormat="0" applyBorder="0" applyAlignment="0" applyProtection="0"/>
    <xf numFmtId="0" fontId="57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244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244" fillId="7" borderId="0" applyNumberFormat="0" applyBorder="0" applyAlignment="0" applyProtection="0"/>
    <xf numFmtId="0" fontId="57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4" fillId="9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4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10" borderId="0" applyNumberFormat="0" applyBorder="0" applyAlignment="0" applyProtection="0"/>
    <xf numFmtId="0" fontId="5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244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244" fillId="13" borderId="0" applyNumberFormat="0" applyBorder="0" applyAlignment="0" applyProtection="0"/>
    <xf numFmtId="0" fontId="57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244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14" borderId="0" applyNumberFormat="0" applyBorder="0" applyAlignment="0" applyProtection="0"/>
    <xf numFmtId="0" fontId="57" fillId="14" borderId="0" applyNumberFormat="0" applyBorder="0" applyAlignment="0" applyProtection="0"/>
    <xf numFmtId="0" fontId="26" fillId="14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6" borderId="0" applyNumberFormat="0" applyBorder="0" applyAlignment="0" applyProtection="0"/>
    <xf numFmtId="0" fontId="125" fillId="16" borderId="0" applyNumberFormat="0" applyBorder="0" applyAlignment="0" applyProtection="0"/>
    <xf numFmtId="0" fontId="77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1" borderId="0" applyNumberFormat="0" applyBorder="0" applyAlignment="0" applyProtection="0"/>
    <xf numFmtId="0" fontId="77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245" fillId="13" borderId="0" applyNumberFormat="0" applyBorder="0" applyAlignment="0" applyProtection="0"/>
    <xf numFmtId="0" fontId="125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77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9" borderId="0" applyNumberFormat="0" applyBorder="0" applyAlignment="0" applyProtection="0"/>
    <xf numFmtId="0" fontId="125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20" borderId="0" applyNumberFormat="0" applyBorder="0" applyAlignment="0" applyProtection="0"/>
    <xf numFmtId="0" fontId="125" fillId="20" borderId="0" applyNumberFormat="0" applyBorder="0" applyAlignment="0" applyProtection="0"/>
    <xf numFmtId="0" fontId="77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24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245" fillId="23" borderId="0" applyNumberFormat="0" applyBorder="0" applyAlignment="0" applyProtection="0"/>
    <xf numFmtId="0" fontId="77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0" fontId="245" fillId="21" borderId="0" applyNumberFormat="0" applyBorder="0" applyAlignment="0" applyProtection="0"/>
    <xf numFmtId="0" fontId="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46" fillId="5" borderId="0" applyNumberFormat="0" applyBorder="0" applyAlignment="0" applyProtection="0"/>
    <xf numFmtId="0" fontId="227" fillId="5" borderId="0" applyNumberFormat="0" applyBorder="0" applyAlignment="0" applyProtection="0"/>
    <xf numFmtId="0" fontId="27" fillId="5" borderId="0" applyNumberFormat="0" applyBorder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47" fillId="26" borderId="4" applyNumberFormat="0" applyAlignment="0" applyProtection="0"/>
    <xf numFmtId="0" fontId="81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48" fillId="27" borderId="5" applyNumberFormat="0" applyAlignment="0" applyProtection="0"/>
    <xf numFmtId="0" fontId="229" fillId="27" borderId="5" applyNumberFormat="0" applyAlignment="0" applyProtection="0"/>
    <xf numFmtId="0" fontId="81" fillId="27" borderId="5" applyNumberFormat="0" applyAlignment="0" applyProtection="0"/>
    <xf numFmtId="43" fontId="1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8" fontId="45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251" fillId="7" borderId="0" applyNumberFormat="0" applyBorder="0" applyAlignment="0" applyProtection="0"/>
    <xf numFmtId="0" fontId="252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4" fillId="0" borderId="35" applyNumberFormat="0" applyFill="0" applyAlignment="0" applyProtection="0"/>
    <xf numFmtId="0" fontId="231" fillId="0" borderId="35" applyNumberFormat="0" applyFill="0" applyAlignment="0" applyProtection="0"/>
    <xf numFmtId="0" fontId="241" fillId="0" borderId="35" applyNumberFormat="0" applyFill="0" applyAlignment="0" applyProtection="0"/>
    <xf numFmtId="0" fontId="255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7" fillId="0" borderId="36" applyNumberFormat="0" applyFill="0" applyAlignment="0" applyProtection="0"/>
    <xf numFmtId="0" fontId="232" fillId="0" borderId="36" applyNumberFormat="0" applyFill="0" applyAlignment="0" applyProtection="0"/>
    <xf numFmtId="0" fontId="242" fillId="0" borderId="36" applyNumberFormat="0" applyFill="0" applyAlignment="0" applyProtection="0"/>
    <xf numFmtId="0" fontId="3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9" fillId="0" borderId="37" applyNumberFormat="0" applyFill="0" applyAlignment="0" applyProtection="0"/>
    <xf numFmtId="0" fontId="233" fillId="0" borderId="37" applyNumberFormat="0" applyFill="0" applyAlignment="0" applyProtection="0"/>
    <xf numFmtId="0" fontId="94" fillId="0" borderId="37" applyNumberFormat="0" applyFill="0" applyAlignment="0" applyProtection="0"/>
    <xf numFmtId="0" fontId="3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260" fillId="4" borderId="4" applyNumberFormat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61" fillId="0" borderId="14" applyNumberFormat="0" applyFill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62" fillId="12" borderId="0" applyNumberFormat="0" applyBorder="0" applyAlignment="0" applyProtection="0"/>
    <xf numFmtId="0" fontId="238" fillId="0" borderId="0"/>
    <xf numFmtId="0" fontId="243" fillId="0" borderId="0"/>
    <xf numFmtId="37" fontId="42" fillId="0" borderId="0"/>
    <xf numFmtId="0" fontId="42" fillId="0" borderId="0"/>
    <xf numFmtId="0" fontId="4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263" fillId="0" borderId="0"/>
    <xf numFmtId="0" fontId="263" fillId="0" borderId="0"/>
    <xf numFmtId="0" fontId="243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263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4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38" fillId="0" borderId="0"/>
    <xf numFmtId="0" fontId="238" fillId="0" borderId="0"/>
    <xf numFmtId="0" fontId="238" fillId="0" borderId="0"/>
    <xf numFmtId="0" fontId="19" fillId="6" borderId="16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64" fillId="26" borderId="17" applyNumberFormat="0" applyAlignment="0" applyProtection="0"/>
    <xf numFmtId="9" fontId="1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0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65" fillId="0" borderId="58" applyNumberFormat="0" applyFill="0" applyAlignment="0" applyProtection="0"/>
    <xf numFmtId="0" fontId="209" fillId="0" borderId="58" applyNumberFormat="0" applyFill="0" applyAlignment="0" applyProtection="0"/>
    <xf numFmtId="0" fontId="30" fillId="0" borderId="58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20" fillId="29" borderId="0"/>
    <xf numFmtId="168" fontId="19" fillId="0" borderId="0"/>
    <xf numFmtId="0" fontId="267" fillId="59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19" fillId="0" borderId="0"/>
    <xf numFmtId="0" fontId="14" fillId="0" borderId="0"/>
    <xf numFmtId="0" fontId="19" fillId="0" borderId="0" applyNumberFormat="0" applyFill="0" applyBorder="0" applyAlignment="0" applyProtection="0"/>
    <xf numFmtId="0" fontId="14" fillId="0" borderId="0"/>
    <xf numFmtId="0" fontId="268" fillId="0" borderId="0"/>
    <xf numFmtId="0" fontId="268" fillId="0" borderId="0"/>
    <xf numFmtId="0" fontId="19" fillId="0" borderId="0"/>
    <xf numFmtId="0" fontId="45" fillId="0" borderId="0"/>
    <xf numFmtId="0" fontId="4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9" fillId="0" borderId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44" fontId="14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9" fillId="0" borderId="0" applyNumberFormat="0">
      <alignment horizontal="right" vertical="top" wrapText="1"/>
    </xf>
    <xf numFmtId="0" fontId="19" fillId="0" borderId="0" applyNumberFormat="0">
      <alignment horizontal="left" vertical="top" wrapText="1"/>
    </xf>
    <xf numFmtId="0" fontId="118" fillId="0" borderId="0"/>
    <xf numFmtId="0" fontId="269" fillId="0" borderId="0"/>
    <xf numFmtId="0" fontId="270" fillId="60" borderId="0">
      <alignment horizontal="left" vertical="center"/>
    </xf>
    <xf numFmtId="0" fontId="23" fillId="0" borderId="63" applyNumberFormat="0">
      <alignment horizontal="right"/>
    </xf>
    <xf numFmtId="0" fontId="23" fillId="0" borderId="63">
      <alignment horizontal="left"/>
    </xf>
    <xf numFmtId="168" fontId="19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0" fillId="60" borderId="0">
      <alignment horizontal="left" vertical="center"/>
    </xf>
    <xf numFmtId="0" fontId="14" fillId="0" borderId="0"/>
    <xf numFmtId="0" fontId="270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9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0" fillId="60" borderId="0">
      <alignment horizontal="left" vertical="center"/>
    </xf>
    <xf numFmtId="0" fontId="13" fillId="0" borderId="0"/>
    <xf numFmtId="0" fontId="270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9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0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0" fillId="60" borderId="0">
      <alignment horizontal="left" vertical="center"/>
    </xf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8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54" fontId="19" fillId="0" borderId="0" applyFont="0" applyFill="0" applyBorder="0" applyAlignment="0" applyProtection="0"/>
    <xf numFmtId="257" fontId="19" fillId="0" borderId="0"/>
    <xf numFmtId="272" fontId="126" fillId="0" borderId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2" fontId="126" fillId="0" borderId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0" fillId="0" borderId="0" applyFont="0" applyFill="0" applyBorder="0" applyAlignment="0" applyProtection="0"/>
    <xf numFmtId="257" fontId="19" fillId="0" borderId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0" fillId="60" borderId="0">
      <alignment horizontal="left"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6" fillId="0" borderId="0" applyFont="0" applyFill="0" applyBorder="0" applyAlignment="0" applyProtection="0"/>
    <xf numFmtId="0" fontId="1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76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94" fontId="26" fillId="0" borderId="0"/>
    <xf numFmtId="0" fontId="4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7" fillId="62" borderId="0" applyBorder="0"/>
    <xf numFmtId="41" fontId="278" fillId="63" borderId="0" applyNumberFormat="0"/>
    <xf numFmtId="9" fontId="26" fillId="0" borderId="0" applyFont="0" applyFill="0" applyBorder="0" applyAlignment="0" applyProtection="0"/>
    <xf numFmtId="41" fontId="278" fillId="63" borderId="9" applyNumberFormat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4" fontId="279" fillId="64" borderId="9" applyNumberFormat="0"/>
    <xf numFmtId="0" fontId="280" fillId="65" borderId="9" applyNumberFormat="0"/>
    <xf numFmtId="9" fontId="268" fillId="0" borderId="0" applyFont="0" applyFill="0" applyBorder="0" applyAlignment="0" applyProtection="0"/>
    <xf numFmtId="0" fontId="268" fillId="0" borderId="0"/>
    <xf numFmtId="0" fontId="281" fillId="66" borderId="0">
      <alignment horizontal="left" vertical="center"/>
    </xf>
    <xf numFmtId="215" fontId="4" fillId="0" borderId="0" applyFont="0" applyFill="0" applyBorder="0" applyAlignment="0" applyProtection="0"/>
    <xf numFmtId="0" fontId="284" fillId="0" borderId="0"/>
    <xf numFmtId="0" fontId="19" fillId="0" borderId="0"/>
    <xf numFmtId="0" fontId="50" fillId="0" borderId="0"/>
    <xf numFmtId="0" fontId="19" fillId="0" borderId="0"/>
    <xf numFmtId="9" fontId="4" fillId="0" borderId="0" applyFont="0" applyFill="0" applyBorder="0" applyAlignment="0" applyProtection="0"/>
    <xf numFmtId="43" fontId="282" fillId="0" borderId="0" applyFont="0" applyFill="0" applyBorder="0" applyAlignment="0" applyProtection="0"/>
    <xf numFmtId="295" fontId="19" fillId="0" borderId="0" applyFont="0" applyFill="0" applyBorder="0" applyProtection="0">
      <alignment vertical="top"/>
    </xf>
    <xf numFmtId="0" fontId="19" fillId="0" borderId="0"/>
    <xf numFmtId="0" fontId="285" fillId="0" borderId="0"/>
    <xf numFmtId="0" fontId="4" fillId="0" borderId="0"/>
    <xf numFmtId="0" fontId="286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87" fillId="0" borderId="0" applyBorder="0"/>
    <xf numFmtId="0" fontId="285" fillId="0" borderId="0"/>
    <xf numFmtId="0" fontId="305" fillId="0" borderId="0" applyNumberFormat="0" applyFill="0" applyBorder="0" applyAlignment="0" applyProtection="0"/>
    <xf numFmtId="0" fontId="288" fillId="0" borderId="64" applyNumberFormat="0" applyFill="0" applyAlignment="0" applyProtection="0"/>
    <xf numFmtId="0" fontId="289" fillId="0" borderId="65" applyNumberFormat="0" applyFill="0" applyAlignment="0" applyProtection="0"/>
    <xf numFmtId="0" fontId="290" fillId="0" borderId="66" applyNumberFormat="0" applyFill="0" applyAlignment="0" applyProtection="0"/>
    <xf numFmtId="0" fontId="291" fillId="0" borderId="0" applyNumberFormat="0" applyFill="0" applyBorder="0" applyAlignment="0" applyProtection="0"/>
    <xf numFmtId="0" fontId="299" fillId="0" borderId="0" applyProtection="0"/>
    <xf numFmtId="0" fontId="300" fillId="69" borderId="0" applyProtection="0">
      <alignment vertical="center"/>
    </xf>
    <xf numFmtId="0" fontId="285" fillId="72" borderId="0" applyProtection="0">
      <alignment vertical="center"/>
    </xf>
    <xf numFmtId="0" fontId="296" fillId="70" borderId="0" applyProtection="0">
      <alignment horizontal="center" vertical="center" readingOrder="1"/>
    </xf>
    <xf numFmtId="0" fontId="301" fillId="67" borderId="0" applyProtection="0">
      <alignment horizontal="left" vertical="center" readingOrder="1"/>
    </xf>
    <xf numFmtId="0" fontId="296" fillId="68" borderId="0" applyProtection="0">
      <alignment horizontal="center" vertical="center" wrapText="1" readingOrder="1"/>
    </xf>
    <xf numFmtId="0" fontId="301" fillId="68" borderId="0" applyProtection="0">
      <alignment horizontal="left" vertical="center" readingOrder="1"/>
    </xf>
    <xf numFmtId="0" fontId="302" fillId="0" borderId="0" applyProtection="0">
      <alignment vertical="center"/>
    </xf>
    <xf numFmtId="0" fontId="303" fillId="71" borderId="0" applyProtection="0">
      <alignment vertical="center" readingOrder="1"/>
    </xf>
    <xf numFmtId="0" fontId="304" fillId="0" borderId="0" applyProtection="0">
      <alignment horizontal="right" vertical="center" readingOrder="1"/>
    </xf>
    <xf numFmtId="298" fontId="20" fillId="0" borderId="0" applyProtection="0"/>
    <xf numFmtId="296" fontId="20" fillId="0" borderId="0" applyProtection="0"/>
    <xf numFmtId="0" fontId="293" fillId="0" borderId="67" applyNumberFormat="0" applyProtection="0">
      <alignment vertical="center"/>
    </xf>
    <xf numFmtId="0" fontId="294" fillId="0" borderId="0" applyNumberFormat="0" applyProtection="0">
      <alignment vertical="center"/>
    </xf>
    <xf numFmtId="0" fontId="295" fillId="0" borderId="0" applyNumberFormat="0" applyProtection="0">
      <alignment vertical="center"/>
    </xf>
    <xf numFmtId="297" fontId="296" fillId="70" borderId="68" applyProtection="0">
      <alignment vertical="center" readingOrder="1"/>
    </xf>
    <xf numFmtId="297" fontId="296" fillId="68" borderId="68" applyProtection="0">
      <alignment vertical="center" readingOrder="1"/>
    </xf>
    <xf numFmtId="297" fontId="297" fillId="0" borderId="67" applyProtection="0">
      <alignment vertical="center" readingOrder="1"/>
    </xf>
    <xf numFmtId="0" fontId="285" fillId="0" borderId="0" applyNumberFormat="0" applyProtection="0">
      <alignment vertical="center"/>
    </xf>
    <xf numFmtId="0" fontId="285" fillId="0" borderId="67" applyProtection="0">
      <alignment vertical="center" wrapText="1" readingOrder="1"/>
    </xf>
    <xf numFmtId="298" fontId="292" fillId="0" borderId="69" applyProtection="0">
      <alignment vertical="center"/>
    </xf>
    <xf numFmtId="0" fontId="298" fillId="0" borderId="0" applyProtection="0">
      <alignment vertical="top"/>
    </xf>
    <xf numFmtId="0" fontId="285" fillId="0" borderId="0"/>
    <xf numFmtId="0" fontId="19" fillId="0" borderId="0"/>
    <xf numFmtId="0" fontId="19" fillId="0" borderId="0"/>
    <xf numFmtId="0" fontId="4" fillId="0" borderId="0"/>
    <xf numFmtId="9" fontId="286" fillId="0" borderId="0" applyFont="0" applyFill="0" applyBorder="0" applyAlignment="0" applyProtection="0"/>
    <xf numFmtId="0" fontId="4" fillId="0" borderId="0"/>
    <xf numFmtId="43" fontId="286" fillId="0" borderId="0" applyFont="0" applyFill="0" applyBorder="0" applyAlignment="0" applyProtection="0"/>
    <xf numFmtId="0" fontId="19" fillId="0" borderId="0"/>
    <xf numFmtId="0" fontId="4" fillId="0" borderId="0"/>
    <xf numFmtId="0" fontId="19" fillId="0" borderId="0"/>
    <xf numFmtId="0" fontId="4" fillId="0" borderId="0"/>
    <xf numFmtId="44" fontId="19" fillId="0" borderId="0" applyFont="0" applyFill="0" applyBorder="0" applyAlignment="0" applyProtection="0"/>
    <xf numFmtId="9" fontId="287" fillId="0" borderId="0" applyFont="0" applyFill="0" applyBorder="0" applyAlignment="0" applyProtection="0"/>
    <xf numFmtId="44" fontId="285" fillId="0" borderId="0" applyFont="0" applyFill="0" applyBorder="0" applyAlignment="0" applyProtection="0"/>
    <xf numFmtId="0" fontId="4" fillId="0" borderId="0"/>
    <xf numFmtId="0" fontId="283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06" fillId="0" borderId="70" applyNumberFormat="0" applyFont="0" applyProtection="0">
      <alignment wrapText="1"/>
    </xf>
    <xf numFmtId="0" fontId="306" fillId="0" borderId="0" applyNumberFormat="0" applyFill="0" applyBorder="0" applyAlignment="0" applyProtection="0"/>
    <xf numFmtId="0" fontId="306" fillId="0" borderId="71" applyNumberFormat="0" applyProtection="0">
      <alignment wrapText="1"/>
    </xf>
    <xf numFmtId="0" fontId="307" fillId="0" borderId="72" applyNumberFormat="0" applyProtection="0">
      <alignment wrapText="1"/>
    </xf>
    <xf numFmtId="0" fontId="307" fillId="0" borderId="73" applyNumberFormat="0" applyProtection="0">
      <alignment wrapText="1"/>
    </xf>
    <xf numFmtId="0" fontId="308" fillId="0" borderId="0" applyNumberFormat="0" applyProtection="0">
      <alignment horizontal="left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76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14" fillId="0" borderId="0">
      <protection locked="0"/>
    </xf>
    <xf numFmtId="0" fontId="3" fillId="0" borderId="0"/>
    <xf numFmtId="0" fontId="315" fillId="0" borderId="0" applyNumberFormat="0" applyFont="0" applyFill="0" applyBorder="0" applyAlignment="0" applyProtection="0">
      <alignment horizontal="left"/>
    </xf>
    <xf numFmtId="15" fontId="315" fillId="0" borderId="0" applyFont="0" applyFill="0" applyBorder="0" applyAlignment="0" applyProtection="0"/>
    <xf numFmtId="4" fontId="315" fillId="0" borderId="0" applyFont="0" applyFill="0" applyBorder="0" applyAlignment="0" applyProtection="0"/>
    <xf numFmtId="0" fontId="316" fillId="0" borderId="2">
      <alignment horizontal="center"/>
    </xf>
    <xf numFmtId="3" fontId="315" fillId="0" borderId="0" applyFont="0" applyFill="0" applyBorder="0" applyAlignment="0" applyProtection="0"/>
    <xf numFmtId="0" fontId="315" fillId="31" borderId="0" applyNumberFormat="0" applyFon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12" fillId="0" borderId="0"/>
    <xf numFmtId="43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2" fillId="0" borderId="0"/>
    <xf numFmtId="0" fontId="22" fillId="0" borderId="0"/>
    <xf numFmtId="9" fontId="23" fillId="0" borderId="0" applyFont="0" applyFill="0" applyBorder="0" applyAlignment="0" applyProtection="0"/>
    <xf numFmtId="38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317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8" fillId="0" borderId="0" applyNumberFormat="0" applyFill="0" applyBorder="0" applyAlignment="0" applyProtection="0"/>
    <xf numFmtId="0" fontId="319" fillId="75" borderId="77">
      <alignment horizontal="left"/>
    </xf>
    <xf numFmtId="38" fontId="319" fillId="75" borderId="77"/>
    <xf numFmtId="0" fontId="320" fillId="63" borderId="76" applyProtection="0"/>
    <xf numFmtId="300" fontId="319" fillId="76" borderId="77">
      <alignment horizontal="center"/>
    </xf>
    <xf numFmtId="9" fontId="320" fillId="63" borderId="76" applyProtection="0">
      <alignment horizontal="center"/>
    </xf>
    <xf numFmtId="38" fontId="319" fillId="75" borderId="77"/>
    <xf numFmtId="0" fontId="321" fillId="0" borderId="0">
      <alignment horizontal="center"/>
    </xf>
    <xf numFmtId="0" fontId="322" fillId="77" borderId="76" applyNumberFormat="0" applyAlignment="0" applyProtection="0"/>
    <xf numFmtId="0" fontId="313" fillId="0" borderId="7">
      <alignment horizontal="center" wrapText="1"/>
    </xf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5" fontId="19" fillId="0" borderId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61">
    <xf numFmtId="0" fontId="0" fillId="0" borderId="0" xfId="0"/>
    <xf numFmtId="0" fontId="31" fillId="0" borderId="0" xfId="0" applyFont="1"/>
    <xf numFmtId="164" fontId="31" fillId="0" borderId="0" xfId="0" applyNumberFormat="1" applyFont="1"/>
    <xf numFmtId="37" fontId="31" fillId="0" borderId="0" xfId="0" applyNumberFormat="1" applyFont="1"/>
    <xf numFmtId="0" fontId="19" fillId="0" borderId="0" xfId="0" applyFont="1"/>
    <xf numFmtId="37" fontId="23" fillId="0" borderId="23" xfId="0" applyNumberFormat="1" applyFont="1" applyBorder="1"/>
    <xf numFmtId="8" fontId="31" fillId="0" borderId="0" xfId="0" applyNumberFormat="1" applyFont="1"/>
    <xf numFmtId="3" fontId="31" fillId="0" borderId="0" xfId="0" applyNumberFormat="1" applyFont="1"/>
    <xf numFmtId="43" fontId="31" fillId="0" borderId="0" xfId="0" applyNumberFormat="1" applyFont="1"/>
    <xf numFmtId="179" fontId="31" fillId="0" borderId="0" xfId="436" applyNumberFormat="1" applyFont="1" applyFill="1"/>
    <xf numFmtId="0" fontId="23" fillId="61" borderId="0" xfId="0" applyFont="1" applyFill="1"/>
    <xf numFmtId="0" fontId="23" fillId="61" borderId="0" xfId="0" applyFont="1" applyFill="1" applyAlignment="1">
      <alignment horizontal="center"/>
    </xf>
    <xf numFmtId="0" fontId="24" fillId="61" borderId="7" xfId="0" applyFont="1" applyFill="1" applyBorder="1" applyAlignment="1">
      <alignment horizontal="center" vertical="center" wrapText="1"/>
    </xf>
    <xf numFmtId="0" fontId="23" fillId="61" borderId="7" xfId="0" applyFont="1" applyFill="1" applyBorder="1" applyAlignment="1">
      <alignment horizontal="center" vertical="center" wrapText="1"/>
    </xf>
    <xf numFmtId="0" fontId="23" fillId="61" borderId="19" xfId="0" applyFont="1" applyFill="1" applyBorder="1" applyAlignment="1">
      <alignment horizontal="left"/>
    </xf>
    <xf numFmtId="0" fontId="23" fillId="61" borderId="0" xfId="0" applyFont="1" applyFill="1" applyAlignment="1">
      <alignment horizontal="left"/>
    </xf>
    <xf numFmtId="0" fontId="23" fillId="61" borderId="0" xfId="0" applyFont="1" applyFill="1" applyAlignment="1">
      <alignment horizontal="left" vertical="center" wrapText="1"/>
    </xf>
    <xf numFmtId="0" fontId="23" fillId="61" borderId="0" xfId="0" applyFont="1" applyFill="1" applyAlignment="1">
      <alignment vertical="center" wrapText="1"/>
    </xf>
    <xf numFmtId="0" fontId="23" fillId="61" borderId="0" xfId="0" applyFont="1" applyFill="1" applyAlignment="1">
      <alignment horizontal="left" vertical="center"/>
    </xf>
    <xf numFmtId="38" fontId="121" fillId="61" borderId="0" xfId="0" applyNumberFormat="1" applyFont="1" applyFill="1"/>
    <xf numFmtId="43" fontId="23" fillId="61" borderId="0" xfId="0" applyNumberFormat="1" applyFont="1" applyFill="1" applyAlignment="1">
      <alignment horizontal="left" vertical="center"/>
    </xf>
    <xf numFmtId="0" fontId="56" fillId="61" borderId="0" xfId="0" applyFont="1" applyFill="1" applyAlignment="1">
      <alignment vertical="center"/>
    </xf>
    <xf numFmtId="37" fontId="31" fillId="0" borderId="19" xfId="0" applyNumberFormat="1" applyFont="1" applyBorder="1"/>
    <xf numFmtId="0" fontId="55" fillId="0" borderId="0" xfId="0" applyFont="1"/>
    <xf numFmtId="0" fontId="238" fillId="0" borderId="0" xfId="0" applyFont="1"/>
    <xf numFmtId="0" fontId="274" fillId="0" borderId="0" xfId="0" applyFont="1" applyAlignment="1">
      <alignment horizontal="center"/>
    </xf>
    <xf numFmtId="0" fontId="274" fillId="0" borderId="0" xfId="0" applyFont="1"/>
    <xf numFmtId="0" fontId="238" fillId="0" borderId="0" xfId="0" applyFont="1" applyAlignment="1">
      <alignment horizontal="center"/>
    </xf>
    <xf numFmtId="164" fontId="238" fillId="0" borderId="0" xfId="424" applyNumberFormat="1" applyFont="1"/>
    <xf numFmtId="164" fontId="238" fillId="0" borderId="7" xfId="424" applyNumberFormat="1" applyFont="1" applyFill="1" applyBorder="1"/>
    <xf numFmtId="164" fontId="238" fillId="0" borderId="0" xfId="424" applyNumberFormat="1" applyFont="1" applyFill="1"/>
    <xf numFmtId="171" fontId="274" fillId="0" borderId="0" xfId="436" applyNumberFormat="1" applyFont="1"/>
    <xf numFmtId="164" fontId="238" fillId="0" borderId="0" xfId="0" applyNumberFormat="1" applyFont="1"/>
    <xf numFmtId="171" fontId="238" fillId="0" borderId="0" xfId="0" applyNumberFormat="1" applyFont="1"/>
    <xf numFmtId="164" fontId="238" fillId="0" borderId="7" xfId="424" applyNumberFormat="1" applyFont="1" applyBorder="1"/>
    <xf numFmtId="171" fontId="238" fillId="0" borderId="0" xfId="436" applyNumberFormat="1" applyFont="1"/>
    <xf numFmtId="9" fontId="238" fillId="0" borderId="7" xfId="0" applyNumberFormat="1" applyFont="1" applyBorder="1"/>
    <xf numFmtId="0" fontId="238" fillId="0" borderId="7" xfId="0" applyFont="1" applyBorder="1"/>
    <xf numFmtId="171" fontId="31" fillId="0" borderId="0" xfId="436" applyNumberFormat="1" applyFont="1" applyFill="1"/>
    <xf numFmtId="171" fontId="31" fillId="0" borderId="0" xfId="0" applyNumberFormat="1" applyFont="1"/>
    <xf numFmtId="174" fontId="31" fillId="0" borderId="0" xfId="553" applyNumberFormat="1" applyFont="1" applyFill="1"/>
    <xf numFmtId="38" fontId="121" fillId="61" borderId="7" xfId="0" applyNumberFormat="1" applyFont="1" applyFill="1" applyBorder="1"/>
    <xf numFmtId="0" fontId="19" fillId="0" borderId="7" xfId="0" applyFont="1" applyBorder="1"/>
    <xf numFmtId="171" fontId="31" fillId="0" borderId="7" xfId="436" applyNumberFormat="1" applyFont="1" applyFill="1" applyBorder="1"/>
    <xf numFmtId="171" fontId="31" fillId="0" borderId="7" xfId="0" applyNumberFormat="1" applyFont="1" applyBorder="1"/>
    <xf numFmtId="0" fontId="19" fillId="0" borderId="11" xfId="0" applyFont="1" applyBorder="1"/>
    <xf numFmtId="171" fontId="31" fillId="0" borderId="11" xfId="436" applyNumberFormat="1" applyFont="1" applyFill="1" applyBorder="1"/>
    <xf numFmtId="43" fontId="31" fillId="0" borderId="0" xfId="424" applyFont="1" applyFill="1"/>
    <xf numFmtId="3" fontId="31" fillId="0" borderId="7" xfId="0" applyNumberFormat="1" applyFont="1" applyBorder="1"/>
    <xf numFmtId="164" fontId="19" fillId="61" borderId="0" xfId="424" applyNumberFormat="1" applyFont="1" applyFill="1" applyBorder="1" applyAlignment="1">
      <alignment vertical="center"/>
    </xf>
    <xf numFmtId="0" fontId="19" fillId="61" borderId="0" xfId="0" applyFont="1" applyFill="1" applyAlignment="1">
      <alignment vertical="center"/>
    </xf>
    <xf numFmtId="0" fontId="19" fillId="0" borderId="0" xfId="0" applyFont="1" applyAlignment="1">
      <alignment horizontal="center"/>
    </xf>
    <xf numFmtId="0" fontId="23" fillId="0" borderId="7" xfId="0" applyFont="1" applyBorder="1"/>
    <xf numFmtId="165" fontId="31" fillId="0" borderId="7" xfId="553" applyNumberFormat="1" applyFont="1" applyFill="1" applyBorder="1" applyAlignment="1">
      <alignment horizontal="right" vertical="center"/>
    </xf>
    <xf numFmtId="37" fontId="31" fillId="0" borderId="11" xfId="0" applyNumberFormat="1" applyFont="1" applyBorder="1"/>
    <xf numFmtId="164" fontId="31" fillId="0" borderId="0" xfId="424" applyNumberFormat="1" applyFont="1" applyFill="1" applyBorder="1" applyAlignment="1">
      <alignment horizontal="center"/>
    </xf>
    <xf numFmtId="0" fontId="274" fillId="0" borderId="7" xfId="0" applyFont="1" applyBorder="1" applyAlignment="1">
      <alignment horizontal="center"/>
    </xf>
    <xf numFmtId="164" fontId="19" fillId="0" borderId="0" xfId="424" applyNumberFormat="1" applyFont="1" applyFill="1"/>
    <xf numFmtId="0" fontId="19" fillId="61" borderId="0" xfId="0" applyFont="1" applyFill="1"/>
    <xf numFmtId="0" fontId="19" fillId="61" borderId="0" xfId="0" applyFont="1" applyFill="1" applyAlignment="1">
      <alignment vertical="center" wrapText="1"/>
    </xf>
    <xf numFmtId="0" fontId="19" fillId="61" borderId="0" xfId="0" applyFont="1" applyFill="1" applyAlignment="1">
      <alignment horizontal="left"/>
    </xf>
    <xf numFmtId="164" fontId="19" fillId="61" borderId="0" xfId="424" applyNumberFormat="1" applyFont="1" applyFill="1" applyBorder="1"/>
    <xf numFmtId="0" fontId="19" fillId="61" borderId="7" xfId="0" applyFont="1" applyFill="1" applyBorder="1" applyAlignment="1">
      <alignment horizontal="left"/>
    </xf>
    <xf numFmtId="164" fontId="19" fillId="61" borderId="19" xfId="424" applyNumberFormat="1" applyFont="1" applyFill="1" applyBorder="1"/>
    <xf numFmtId="0" fontId="19" fillId="61" borderId="0" xfId="0" applyFont="1" applyFill="1" applyAlignment="1">
      <alignment horizontal="left" vertical="center" wrapText="1"/>
    </xf>
    <xf numFmtId="38" fontId="19" fillId="61" borderId="0" xfId="0" applyNumberFormat="1" applyFont="1" applyFill="1" applyAlignment="1">
      <alignment horizontal="left" vertical="center" wrapText="1"/>
    </xf>
    <xf numFmtId="164" fontId="19" fillId="61" borderId="0" xfId="424" applyNumberFormat="1" applyFont="1" applyFill="1" applyBorder="1" applyAlignment="1">
      <alignment horizontal="left" vertical="center"/>
    </xf>
    <xf numFmtId="0" fontId="19" fillId="61" borderId="0" xfId="0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left" vertical="center" wrapText="1"/>
    </xf>
    <xf numFmtId="164" fontId="19" fillId="61" borderId="0" xfId="0" applyNumberFormat="1" applyFont="1" applyFill="1" applyAlignment="1">
      <alignment vertical="center"/>
    </xf>
    <xf numFmtId="43" fontId="19" fillId="61" borderId="0" xfId="0" applyNumberFormat="1" applyFont="1" applyFill="1" applyAlignment="1">
      <alignment vertical="center"/>
    </xf>
    <xf numFmtId="236" fontId="19" fillId="61" borderId="0" xfId="424" applyNumberFormat="1" applyFont="1" applyFill="1" applyBorder="1" applyAlignment="1">
      <alignment vertical="center"/>
    </xf>
    <xf numFmtId="164" fontId="19" fillId="61" borderId="0" xfId="424" applyNumberFormat="1" applyFont="1" applyFill="1" applyBorder="1" applyAlignment="1">
      <alignment horizontal="center" vertical="center"/>
    </xf>
    <xf numFmtId="43" fontId="19" fillId="61" borderId="0" xfId="424" applyFont="1" applyFill="1" applyBorder="1" applyAlignment="1">
      <alignment vertical="center"/>
    </xf>
    <xf numFmtId="0" fontId="19" fillId="61" borderId="0" xfId="0" applyFont="1" applyFill="1" applyAlignment="1">
      <alignment horizontal="right" vertical="center"/>
    </xf>
    <xf numFmtId="165" fontId="19" fillId="61" borderId="0" xfId="553" applyNumberFormat="1" applyFont="1" applyFill="1" applyBorder="1" applyAlignment="1">
      <alignment vertical="center"/>
    </xf>
    <xf numFmtId="43" fontId="19" fillId="61" borderId="0" xfId="0" applyNumberFormat="1" applyFont="1" applyFill="1" applyAlignment="1">
      <alignment horizontal="left" vertical="center"/>
    </xf>
    <xf numFmtId="2" fontId="19" fillId="61" borderId="0" xfId="553" applyNumberFormat="1" applyFont="1" applyFill="1" applyBorder="1" applyAlignment="1">
      <alignment vertical="center"/>
    </xf>
    <xf numFmtId="164" fontId="19" fillId="61" borderId="0" xfId="0" applyNumberFormat="1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center" vertical="center"/>
    </xf>
    <xf numFmtId="43" fontId="19" fillId="61" borderId="0" xfId="0" applyNumberFormat="1" applyFont="1" applyFill="1"/>
    <xf numFmtId="8" fontId="275" fillId="0" borderId="0" xfId="0" applyNumberFormat="1" applyFont="1"/>
    <xf numFmtId="0" fontId="0" fillId="0" borderId="0" xfId="0" applyAlignment="1">
      <alignment horizontal="left"/>
    </xf>
    <xf numFmtId="9" fontId="19" fillId="0" borderId="0" xfId="553" applyFont="1" applyFill="1" applyAlignment="1"/>
    <xf numFmtId="0" fontId="23" fillId="0" borderId="0" xfId="0" applyFont="1"/>
    <xf numFmtId="0" fontId="19" fillId="73" borderId="0" xfId="0" applyFont="1" applyFill="1"/>
    <xf numFmtId="164" fontId="19" fillId="73" borderId="0" xfId="424" applyNumberFormat="1" applyFont="1" applyFill="1"/>
    <xf numFmtId="3" fontId="19" fillId="0" borderId="24" xfId="0" applyNumberFormat="1" applyFont="1" applyBorder="1"/>
    <xf numFmtId="0" fontId="23" fillId="0" borderId="27" xfId="0" applyFont="1" applyBorder="1"/>
    <xf numFmtId="9" fontId="19" fillId="73" borderId="0" xfId="553" applyFont="1" applyFill="1"/>
    <xf numFmtId="164" fontId="19" fillId="73" borderId="0" xfId="424" applyNumberFormat="1" applyFont="1" applyFill="1" applyBorder="1" applyAlignment="1">
      <alignment horizontal="right"/>
    </xf>
    <xf numFmtId="38" fontId="121" fillId="61" borderId="19" xfId="0" applyNumberFormat="1" applyFont="1" applyFill="1" applyBorder="1"/>
    <xf numFmtId="38" fontId="121" fillId="61" borderId="19" xfId="0" quotePrefix="1" applyNumberFormat="1" applyFont="1" applyFill="1" applyBorder="1"/>
    <xf numFmtId="0" fontId="19" fillId="74" borderId="11" xfId="0" applyFont="1" applyFill="1" applyBorder="1" applyAlignment="1">
      <alignment horizontal="right"/>
    </xf>
    <xf numFmtId="164" fontId="19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3" fontId="19" fillId="0" borderId="0" xfId="0" applyNumberFormat="1" applyFont="1"/>
    <xf numFmtId="44" fontId="31" fillId="0" borderId="0" xfId="0" applyNumberFormat="1" applyFont="1"/>
    <xf numFmtId="3" fontId="310" fillId="0" borderId="0" xfId="0" applyNumberFormat="1" applyFont="1" applyAlignment="1">
      <alignment wrapText="1"/>
    </xf>
    <xf numFmtId="171" fontId="31" fillId="0" borderId="19" xfId="0" applyNumberFormat="1" applyFont="1" applyBorder="1"/>
    <xf numFmtId="164" fontId="19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9" fillId="0" borderId="0" xfId="0" applyFont="1" applyProtection="1">
      <protection locked="0"/>
    </xf>
    <xf numFmtId="164" fontId="19" fillId="0" borderId="0" xfId="424" applyNumberFormat="1" applyFont="1" applyFill="1" applyBorder="1"/>
    <xf numFmtId="174" fontId="19" fillId="0" borderId="0" xfId="553" applyNumberFormat="1" applyFont="1" applyFill="1" applyBorder="1"/>
    <xf numFmtId="299" fontId="31" fillId="0" borderId="0" xfId="0" applyNumberFormat="1" applyFont="1"/>
    <xf numFmtId="0" fontId="31" fillId="0" borderId="19" xfId="0" applyFont="1" applyBorder="1"/>
    <xf numFmtId="164" fontId="19" fillId="61" borderId="0" xfId="424" applyNumberFormat="1" applyFont="1" applyFill="1" applyBorder="1" applyAlignment="1">
      <alignment horizontal="right"/>
    </xf>
    <xf numFmtId="0" fontId="19" fillId="61" borderId="0" xfId="0" applyFont="1" applyFill="1" applyAlignment="1">
      <alignment horizontal="right"/>
    </xf>
    <xf numFmtId="10" fontId="19" fillId="0" borderId="0" xfId="553" applyNumberFormat="1" applyFont="1" applyFill="1"/>
    <xf numFmtId="3" fontId="23" fillId="0" borderId="0" xfId="0" applyNumberFormat="1" applyFont="1"/>
    <xf numFmtId="37" fontId="23" fillId="0" borderId="11" xfId="0" applyNumberFormat="1" applyFont="1" applyBorder="1"/>
    <xf numFmtId="0" fontId="19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9" fillId="0" borderId="7" xfId="0" applyFont="1" applyBorder="1" applyAlignment="1">
      <alignment horizontal="center"/>
    </xf>
    <xf numFmtId="0" fontId="19" fillId="0" borderId="0" xfId="0" applyFont="1" applyAlignment="1">
      <alignment horizontal="left" indent="2"/>
    </xf>
    <xf numFmtId="164" fontId="19" fillId="73" borderId="7" xfId="424" applyNumberFormat="1" applyFont="1" applyFill="1" applyBorder="1"/>
    <xf numFmtId="164" fontId="19" fillId="0" borderId="0" xfId="0" applyNumberFormat="1" applyFont="1"/>
    <xf numFmtId="164" fontId="19" fillId="73" borderId="0" xfId="424" applyNumberFormat="1" applyFont="1" applyFill="1" applyBorder="1"/>
    <xf numFmtId="10" fontId="19" fillId="0" borderId="0" xfId="553" applyNumberFormat="1" applyFont="1" applyFill="1" applyBorder="1"/>
    <xf numFmtId="301" fontId="19" fillId="0" borderId="0" xfId="424" applyNumberFormat="1" applyFont="1" applyFill="1" applyBorder="1"/>
    <xf numFmtId="43" fontId="31" fillId="0" borderId="7" xfId="424" applyFont="1" applyFill="1" applyBorder="1"/>
    <xf numFmtId="10" fontId="19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4" fillId="78" borderId="0" xfId="0" applyFont="1" applyFill="1" applyAlignment="1">
      <alignment horizontal="center"/>
    </xf>
    <xf numFmtId="0" fontId="274" fillId="78" borderId="0" xfId="0" applyFont="1" applyFill="1"/>
    <xf numFmtId="171" fontId="23" fillId="78" borderId="0" xfId="0" applyNumberFormat="1" applyFont="1" applyFill="1"/>
    <xf numFmtId="0" fontId="56" fillId="74" borderId="11" xfId="0" applyFont="1" applyFill="1" applyBorder="1" applyAlignment="1">
      <alignment horizontal="right"/>
    </xf>
    <xf numFmtId="164" fontId="56" fillId="74" borderId="11" xfId="424" applyNumberFormat="1" applyFont="1" applyFill="1" applyBorder="1" applyAlignment="1">
      <alignment horizontal="right"/>
    </xf>
    <xf numFmtId="0" fontId="2" fillId="0" borderId="0" xfId="2959"/>
    <xf numFmtId="0" fontId="323" fillId="0" borderId="0" xfId="2959" applyFont="1"/>
    <xf numFmtId="10" fontId="2" fillId="0" borderId="0" xfId="2960" applyNumberFormat="1"/>
    <xf numFmtId="0" fontId="19" fillId="0" borderId="24" xfId="0" applyFont="1" applyBorder="1" applyAlignment="1">
      <alignment horizontal="left"/>
    </xf>
    <xf numFmtId="10" fontId="19" fillId="73" borderId="0" xfId="553" applyNumberFormat="1" applyFont="1" applyFill="1"/>
    <xf numFmtId="0" fontId="19" fillId="0" borderId="0" xfId="0" applyFont="1" applyAlignment="1">
      <alignment horizontal="left"/>
    </xf>
    <xf numFmtId="2" fontId="19" fillId="73" borderId="0" xfId="0" applyNumberFormat="1" applyFont="1" applyFill="1"/>
    <xf numFmtId="0" fontId="19" fillId="0" borderId="24" xfId="0" applyFont="1" applyBorder="1"/>
    <xf numFmtId="0" fontId="19" fillId="0" borderId="26" xfId="0" applyFont="1" applyBorder="1"/>
    <xf numFmtId="0" fontId="19" fillId="0" borderId="28" xfId="0" applyFont="1" applyBorder="1"/>
    <xf numFmtId="0" fontId="23" fillId="0" borderId="74" xfId="0" applyFont="1" applyBorder="1" applyAlignment="1">
      <alignment horizontal="center"/>
    </xf>
    <xf numFmtId="0" fontId="19" fillId="0" borderId="25" xfId="0" applyFont="1" applyBorder="1"/>
    <xf numFmtId="171" fontId="19" fillId="0" borderId="25" xfId="436" applyNumberFormat="1" applyFont="1" applyFill="1" applyBorder="1" applyProtection="1"/>
    <xf numFmtId="171" fontId="19" fillId="0" borderId="75" xfId="436" applyNumberFormat="1" applyFont="1" applyFill="1" applyBorder="1" applyProtection="1"/>
    <xf numFmtId="164" fontId="23" fillId="0" borderId="25" xfId="424" applyNumberFormat="1" applyFont="1" applyFill="1" applyBorder="1" applyProtection="1"/>
    <xf numFmtId="0" fontId="23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/>
    </xf>
    <xf numFmtId="5" fontId="19" fillId="0" borderId="0" xfId="0" applyNumberFormat="1" applyFont="1"/>
    <xf numFmtId="10" fontId="19" fillId="0" borderId="0" xfId="0" applyNumberFormat="1" applyFont="1"/>
    <xf numFmtId="0" fontId="19" fillId="0" borderId="0" xfId="1157"/>
    <xf numFmtId="49" fontId="23" fillId="0" borderId="0" xfId="1157" applyNumberFormat="1" applyFont="1" applyAlignment="1">
      <alignment horizontal="center" wrapText="1"/>
    </xf>
    <xf numFmtId="0" fontId="325" fillId="0" borderId="0" xfId="1157" applyFont="1" applyAlignment="1">
      <alignment horizontal="center"/>
    </xf>
    <xf numFmtId="37" fontId="23" fillId="0" borderId="0" xfId="1157" applyNumberFormat="1" applyFont="1" applyAlignment="1">
      <alignment horizontal="center"/>
    </xf>
    <xf numFmtId="37" fontId="23" fillId="0" borderId="0" xfId="1157" applyNumberFormat="1" applyFont="1" applyAlignment="1">
      <alignment horizontal="center" wrapText="1"/>
    </xf>
    <xf numFmtId="49" fontId="19" fillId="0" borderId="0" xfId="1157" applyNumberFormat="1" applyAlignment="1">
      <alignment wrapText="1"/>
    </xf>
    <xf numFmtId="37" fontId="19" fillId="0" borderId="0" xfId="1157" applyNumberFormat="1" applyAlignment="1">
      <alignment horizontal="center"/>
    </xf>
    <xf numFmtId="304" fontId="19" fillId="0" borderId="0" xfId="1157" applyNumberFormat="1"/>
    <xf numFmtId="49" fontId="19" fillId="0" borderId="0" xfId="1157" applyNumberFormat="1"/>
    <xf numFmtId="302" fontId="19" fillId="0" borderId="0" xfId="1157" applyNumberFormat="1"/>
    <xf numFmtId="305" fontId="19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9" fillId="0" borderId="0" xfId="0" applyNumberFormat="1" applyFont="1"/>
    <xf numFmtId="10" fontId="1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right"/>
    </xf>
    <xf numFmtId="303" fontId="23" fillId="0" borderId="0" xfId="0" applyNumberFormat="1" applyFont="1"/>
    <xf numFmtId="10" fontId="31" fillId="0" borderId="0" xfId="553" applyNumberFormat="1" applyFont="1" applyFill="1"/>
    <xf numFmtId="164" fontId="31" fillId="0" borderId="0" xfId="424" applyNumberFormat="1" applyFont="1" applyFill="1"/>
    <xf numFmtId="44" fontId="31" fillId="0" borderId="0" xfId="436" applyFont="1" applyFill="1"/>
    <xf numFmtId="9" fontId="19" fillId="61" borderId="0" xfId="553" applyFont="1" applyFill="1" applyBorder="1" applyAlignment="1">
      <alignment vertical="center"/>
    </xf>
    <xf numFmtId="44" fontId="31" fillId="0" borderId="0" xfId="436" applyFont="1" applyFill="1" applyAlignment="1"/>
    <xf numFmtId="165" fontId="31" fillId="0" borderId="0" xfId="553" applyNumberFormat="1" applyFont="1" applyFill="1" applyBorder="1" applyAlignment="1">
      <alignment horizontal="right" vertical="center"/>
    </xf>
    <xf numFmtId="171" fontId="31" fillId="0" borderId="0" xfId="436" applyNumberFormat="1" applyFont="1" applyFill="1" applyBorder="1"/>
    <xf numFmtId="43" fontId="31" fillId="0" borderId="0" xfId="424" applyFont="1" applyFill="1" applyBorder="1"/>
    <xf numFmtId="37" fontId="23" fillId="0" borderId="0" xfId="0" applyNumberFormat="1" applyFont="1"/>
    <xf numFmtId="179" fontId="31" fillId="0" borderId="0" xfId="436" applyNumberFormat="1" applyFont="1" applyFill="1" applyBorder="1"/>
    <xf numFmtId="44" fontId="31" fillId="0" borderId="0" xfId="436" applyFont="1" applyFill="1" applyBorder="1"/>
    <xf numFmtId="174" fontId="31" fillId="0" borderId="0" xfId="553" applyNumberFormat="1" applyFont="1" applyFill="1" applyBorder="1"/>
    <xf numFmtId="9" fontId="19" fillId="0" borderId="0" xfId="553" applyFont="1" applyFill="1" applyBorder="1"/>
    <xf numFmtId="10" fontId="0" fillId="61" borderId="7" xfId="0" applyNumberFormat="1" applyFill="1" applyBorder="1"/>
    <xf numFmtId="0" fontId="19" fillId="0" borderId="11" xfId="0" applyFont="1" applyBorder="1" applyAlignment="1">
      <alignment horizontal="right"/>
    </xf>
    <xf numFmtId="164" fontId="19" fillId="0" borderId="0" xfId="424" applyNumberFormat="1" applyFont="1" applyFill="1" applyBorder="1" applyAlignment="1">
      <alignment horizontal="right"/>
    </xf>
    <xf numFmtId="0" fontId="311" fillId="0" borderId="0" xfId="2916" applyFill="1" applyBorder="1"/>
    <xf numFmtId="0" fontId="326" fillId="0" borderId="0" xfId="0" applyFont="1"/>
    <xf numFmtId="0" fontId="327" fillId="0" borderId="0" xfId="0" applyFont="1"/>
    <xf numFmtId="164" fontId="327" fillId="0" borderId="0" xfId="424" applyNumberFormat="1" applyFont="1" applyFill="1" applyBorder="1"/>
    <xf numFmtId="0" fontId="19" fillId="73" borderId="0" xfId="0" applyFont="1" applyFill="1" applyProtection="1">
      <protection locked="0"/>
    </xf>
    <xf numFmtId="171" fontId="0" fillId="0" borderId="0" xfId="436" applyNumberFormat="1" applyFont="1" applyFill="1"/>
    <xf numFmtId="166" fontId="19" fillId="0" borderId="7" xfId="553" applyNumberFormat="1" applyFont="1" applyFill="1" applyBorder="1"/>
    <xf numFmtId="166" fontId="19" fillId="0" borderId="7" xfId="0" applyNumberFormat="1" applyFont="1" applyBorder="1"/>
    <xf numFmtId="169" fontId="19" fillId="0" borderId="23" xfId="553" applyNumberFormat="1" applyFont="1" applyFill="1" applyBorder="1"/>
    <xf numFmtId="0" fontId="328" fillId="0" borderId="0" xfId="0" applyFont="1"/>
    <xf numFmtId="0" fontId="329" fillId="0" borderId="0" xfId="0" applyFont="1"/>
    <xf numFmtId="0" fontId="328" fillId="0" borderId="0" xfId="1158" applyFont="1"/>
    <xf numFmtId="0" fontId="330" fillId="0" borderId="0" xfId="1158" applyFont="1"/>
    <xf numFmtId="0" fontId="328" fillId="0" borderId="0" xfId="1158" applyFont="1" applyAlignment="1">
      <alignment horizontal="center"/>
    </xf>
    <xf numFmtId="0" fontId="330" fillId="0" borderId="0" xfId="1158" applyFont="1" applyAlignment="1">
      <alignment horizontal="center"/>
    </xf>
    <xf numFmtId="49" fontId="330" fillId="0" borderId="0" xfId="1158" applyNumberFormat="1" applyFont="1" applyAlignment="1">
      <alignment horizontal="center"/>
    </xf>
    <xf numFmtId="0" fontId="331" fillId="0" borderId="0" xfId="1158" applyFont="1" applyAlignment="1">
      <alignment horizontal="center"/>
    </xf>
    <xf numFmtId="0" fontId="330" fillId="0" borderId="7" xfId="1158" applyFont="1" applyBorder="1" applyAlignment="1">
      <alignment horizontal="center"/>
    </xf>
    <xf numFmtId="49" fontId="330" fillId="0" borderId="0" xfId="2343" applyNumberFormat="1" applyFont="1" applyAlignment="1">
      <alignment horizontal="center"/>
    </xf>
    <xf numFmtId="3" fontId="330" fillId="0" borderId="0" xfId="1158" applyNumberFormat="1" applyFont="1"/>
    <xf numFmtId="165" fontId="330" fillId="0" borderId="0" xfId="2807" applyNumberFormat="1" applyFont="1" applyFill="1" applyAlignment="1">
      <alignment horizontal="right"/>
    </xf>
    <xf numFmtId="10" fontId="330" fillId="0" borderId="0" xfId="553" applyNumberFormat="1" applyFont="1" applyFill="1" applyAlignment="1">
      <alignment horizontal="right"/>
    </xf>
    <xf numFmtId="0" fontId="330" fillId="0" borderId="0" xfId="2807" applyNumberFormat="1" applyFont="1" applyFill="1" applyAlignment="1">
      <alignment horizontal="right"/>
    </xf>
    <xf numFmtId="3" fontId="331" fillId="0" borderId="0" xfId="1158" applyNumberFormat="1" applyFont="1"/>
    <xf numFmtId="165" fontId="331" fillId="0" borderId="0" xfId="2807" applyNumberFormat="1" applyFont="1" applyFill="1" applyAlignment="1">
      <alignment horizontal="right"/>
    </xf>
    <xf numFmtId="3" fontId="330" fillId="0" borderId="0" xfId="1158" applyNumberFormat="1" applyFont="1" applyAlignment="1">
      <alignment horizontal="center"/>
    </xf>
    <xf numFmtId="165" fontId="330" fillId="0" borderId="0" xfId="1158" applyNumberFormat="1" applyFont="1"/>
    <xf numFmtId="10" fontId="330" fillId="0" borderId="0" xfId="2807" applyNumberFormat="1" applyFont="1" applyFill="1"/>
    <xf numFmtId="165" fontId="330" fillId="0" borderId="0" xfId="1158" applyNumberFormat="1" applyFont="1" applyAlignment="1">
      <alignment horizontal="right"/>
    </xf>
    <xf numFmtId="3" fontId="332" fillId="0" borderId="0" xfId="1158" applyNumberFormat="1" applyFont="1"/>
    <xf numFmtId="165" fontId="332" fillId="0" borderId="0" xfId="1158" applyNumberFormat="1" applyFont="1"/>
    <xf numFmtId="9" fontId="330" fillId="0" borderId="0" xfId="2807" applyFont="1" applyFill="1"/>
    <xf numFmtId="0" fontId="330" fillId="0" borderId="0" xfId="0" applyFont="1"/>
    <xf numFmtId="166" fontId="330" fillId="0" borderId="0" xfId="553" applyNumberFormat="1" applyFont="1" applyFill="1"/>
    <xf numFmtId="164" fontId="23" fillId="0" borderId="0" xfId="424" applyNumberFormat="1" applyFont="1" applyFill="1"/>
    <xf numFmtId="43" fontId="0" fillId="0" borderId="0" xfId="424" applyFont="1" applyFill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3" fontId="0" fillId="0" borderId="0" xfId="0" applyNumberFormat="1"/>
    <xf numFmtId="164" fontId="19" fillId="0" borderId="0" xfId="424" applyNumberFormat="1" applyFont="1" applyFill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10" fontId="0" fillId="0" borderId="0" xfId="0" applyNumberFormat="1"/>
    <xf numFmtId="0" fontId="0" fillId="0" borderId="0" xfId="0" applyAlignment="1">
      <alignment horizontal="center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0" fontId="0" fillId="0" borderId="0" xfId="0"/>
    <xf numFmtId="49" fontId="324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273" fillId="61" borderId="0" xfId="0" applyFont="1" applyFill="1" applyAlignment="1">
      <alignment horizontal="center"/>
    </xf>
    <xf numFmtId="0" fontId="21" fillId="0" borderId="0" xfId="533" applyFont="1" applyAlignment="1">
      <alignment horizontal="center"/>
    </xf>
    <xf numFmtId="0" fontId="19" fillId="79" borderId="0" xfId="0" applyFont="1" applyFill="1"/>
    <xf numFmtId="0" fontId="23" fillId="79" borderId="0" xfId="0" applyFont="1" applyFill="1"/>
    <xf numFmtId="0" fontId="0" fillId="79" borderId="0" xfId="0" applyFill="1"/>
    <xf numFmtId="0" fontId="0" fillId="79" borderId="0" xfId="0" applyFill="1" applyAlignment="1">
      <alignment horizontal="center"/>
    </xf>
    <xf numFmtId="0" fontId="0" fillId="79" borderId="0" xfId="0" applyFill="1" applyAlignment="1">
      <alignment horizontal="center"/>
    </xf>
    <xf numFmtId="164" fontId="0" fillId="79" borderId="0" xfId="424" applyNumberFormat="1" applyFont="1" applyFill="1"/>
    <xf numFmtId="164" fontId="0" fillId="79" borderId="0" xfId="0" applyNumberFormat="1" applyFill="1"/>
    <xf numFmtId="164" fontId="1" fillId="79" borderId="0" xfId="0" applyNumberFormat="1" applyFont="1" applyFill="1"/>
    <xf numFmtId="43" fontId="0" fillId="79" borderId="0" xfId="0" applyNumberForma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S57"/>
  <sheetViews>
    <sheetView tabSelected="1" zoomScaleNormal="100" workbookViewId="0">
      <selection activeCell="K4" sqref="K4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27" width="13.85546875" style="4" customWidth="1"/>
    <col min="28" max="35" width="12.140625" style="4" bestFit="1" customWidth="1"/>
    <col min="36" max="44" width="5" style="4" bestFit="1" customWidth="1"/>
    <col min="45" max="45" width="12.28515625" style="4" bestFit="1" customWidth="1"/>
    <col min="46" max="46" width="53.140625" style="4" bestFit="1" customWidth="1"/>
    <col min="47" max="16384" width="9.140625" style="4"/>
  </cols>
  <sheetData>
    <row r="1" spans="1:45" ht="15">
      <c r="A1" s="23" t="s">
        <v>312</v>
      </c>
    </row>
    <row r="2" spans="1:45">
      <c r="A2" s="4" t="s">
        <v>106</v>
      </c>
      <c r="B2" s="150" t="s">
        <v>208</v>
      </c>
      <c r="D2" s="144"/>
      <c r="E2" s="145" t="s">
        <v>205</v>
      </c>
    </row>
    <row r="3" spans="1:45">
      <c r="A3" s="4" t="s">
        <v>183</v>
      </c>
      <c r="B3" s="150" t="s">
        <v>209</v>
      </c>
      <c r="D3" s="142"/>
      <c r="E3" s="146"/>
      <c r="F3" s="103"/>
      <c r="I3" s="103"/>
      <c r="J3" s="103" t="s">
        <v>319</v>
      </c>
      <c r="K3" s="203">
        <v>1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>
      <c r="D4" s="142" t="s">
        <v>120</v>
      </c>
      <c r="E4" s="149">
        <f>B8</f>
        <v>1560</v>
      </c>
      <c r="F4" s="84"/>
      <c r="J4" s="4" t="s">
        <v>317</v>
      </c>
      <c r="K4" s="252"/>
      <c r="L4" s="200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200"/>
    </row>
    <row r="5" spans="1:45">
      <c r="A5" s="4" t="s">
        <v>121</v>
      </c>
      <c r="B5" s="85" t="s">
        <v>322</v>
      </c>
      <c r="D5" s="142"/>
      <c r="E5" s="146"/>
    </row>
    <row r="6" spans="1:45">
      <c r="A6" s="4" t="s">
        <v>122</v>
      </c>
      <c r="B6" s="85" t="s">
        <v>314</v>
      </c>
      <c r="D6" s="142" t="s">
        <v>38</v>
      </c>
      <c r="E6" s="147">
        <f>B10</f>
        <v>113217000</v>
      </c>
      <c r="AS6" s="51"/>
    </row>
    <row r="7" spans="1:45">
      <c r="A7" s="4" t="s">
        <v>128</v>
      </c>
      <c r="B7" s="85">
        <v>2028</v>
      </c>
      <c r="D7" s="142" t="s">
        <v>101</v>
      </c>
      <c r="E7" s="147">
        <f>B17</f>
        <v>0</v>
      </c>
    </row>
    <row r="8" spans="1:45">
      <c r="A8" s="4" t="s">
        <v>120</v>
      </c>
      <c r="B8" s="86">
        <v>1560</v>
      </c>
      <c r="D8" s="142" t="s">
        <v>321</v>
      </c>
      <c r="E8" s="147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9"/>
    </row>
    <row r="9" spans="1:45">
      <c r="D9" s="143" t="s">
        <v>70</v>
      </c>
      <c r="E9" s="148">
        <f>B18</f>
        <v>113217000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>
      <c r="A10" s="4" t="s">
        <v>130</v>
      </c>
      <c r="B10" s="233">
        <f>'Cash Flow of U2'!H6</f>
        <v>113217000</v>
      </c>
      <c r="C10" s="201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>
      <c r="A11" s="4" t="s">
        <v>321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1">
        <f>AVERAGE(GRCF!D25,GRCF!E41)</f>
        <v>1.3258945200000001</v>
      </c>
      <c r="F12" s="202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296</v>
      </c>
      <c r="E13" s="139">
        <f>Allocators!G10</f>
        <v>1</v>
      </c>
      <c r="F13" s="202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9">
        <f>AVERAGE('CAP Structure'!F18,'CAP Structure'!F36)</f>
        <v>6.9533995942596558E-2</v>
      </c>
      <c r="F14" s="202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9"/>
    </row>
    <row r="15" spans="1:45">
      <c r="A15" s="102" t="s">
        <v>118</v>
      </c>
      <c r="B15" s="86"/>
      <c r="D15" s="4" t="s">
        <v>166</v>
      </c>
      <c r="E15" s="139">
        <f>AVERAGE('CAP Structure'!E16,'CAP Structure'!E34)</f>
        <v>9.5000000000000001E-2</v>
      </c>
      <c r="F15" s="202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9">
        <f>AVERAGE(('CAP Structure'!F12+'CAP Structure'!F14),('CAP Structure'!F31+'CAP Structure'!F32))</f>
        <v>2.6818459913803945E-2</v>
      </c>
      <c r="F16" s="202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9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Structure'!D34)</f>
        <v>0.45064228139235252</v>
      </c>
      <c r="F17" s="202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9"/>
    </row>
    <row r="18" spans="1:27" ht="12" customHeight="1">
      <c r="A18" s="4" t="s">
        <v>70</v>
      </c>
      <c r="B18" s="57">
        <f>B10+B17+B11</f>
        <v>113217000</v>
      </c>
      <c r="F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9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9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9"/>
    </row>
    <row r="21" spans="1:27" ht="12" customHeight="1">
      <c r="A21" s="102" t="s">
        <v>182</v>
      </c>
      <c r="B21" s="119">
        <v>12</v>
      </c>
      <c r="C21" s="200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9"/>
    </row>
    <row r="22" spans="1:27" ht="12" customHeight="1">
      <c r="A22" s="116" t="s">
        <v>199</v>
      </c>
      <c r="B22" s="120">
        <f>IF(B30&lt;&gt;0,(B30+E9)/B21/E9,1/B21)</f>
        <v>8.3333333333333329E-2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9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9"/>
    </row>
    <row r="24" spans="1:27">
      <c r="A24" s="140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9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2"/>
      <c r="E33" s="118"/>
      <c r="K33" s="83"/>
    </row>
    <row r="34" spans="1:45">
      <c r="A34" s="116" t="s">
        <v>51</v>
      </c>
      <c r="B34" s="139">
        <f>GRCF!C16</f>
        <v>5.0065000000000005E-2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201"/>
      <c r="AB36" s="201"/>
      <c r="AC36" s="104"/>
      <c r="AD36" s="104"/>
      <c r="AE36" s="104"/>
      <c r="AF36" s="104"/>
      <c r="AG36" s="104"/>
      <c r="AH36" s="104"/>
      <c r="AI36" s="104"/>
    </row>
    <row r="37" spans="1:45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04"/>
      <c r="AB37" s="104"/>
      <c r="AC37" s="104"/>
      <c r="AD37" s="104"/>
      <c r="AE37" s="104"/>
      <c r="AF37" s="104"/>
      <c r="AG37" s="104"/>
      <c r="AH37" s="104"/>
      <c r="AI37" s="104"/>
    </row>
    <row r="38" spans="1:45">
      <c r="A38" s="88" t="str">
        <f>IF(B5="","",B5)</f>
        <v>Option 3: New Mechanical Draft Cooling Tower</v>
      </c>
      <c r="B38" s="93">
        <f>B7</f>
        <v>2028</v>
      </c>
      <c r="C38" s="93">
        <f>B38+1</f>
        <v>2029</v>
      </c>
      <c r="D38" s="93">
        <f t="shared" ref="D38:Z38" si="0">C38+1</f>
        <v>2030</v>
      </c>
      <c r="E38" s="93">
        <f t="shared" si="0"/>
        <v>2031</v>
      </c>
      <c r="F38" s="93">
        <f t="shared" si="0"/>
        <v>2032</v>
      </c>
      <c r="G38" s="93">
        <f t="shared" si="0"/>
        <v>2033</v>
      </c>
      <c r="H38" s="93">
        <f t="shared" si="0"/>
        <v>2034</v>
      </c>
      <c r="I38" s="93">
        <f t="shared" si="0"/>
        <v>2035</v>
      </c>
      <c r="J38" s="93">
        <f t="shared" si="0"/>
        <v>2036</v>
      </c>
      <c r="K38" s="93">
        <f t="shared" si="0"/>
        <v>2037</v>
      </c>
      <c r="L38" s="93">
        <f t="shared" si="0"/>
        <v>2038</v>
      </c>
      <c r="M38" s="93">
        <f t="shared" si="0"/>
        <v>2039</v>
      </c>
      <c r="N38" s="93">
        <f t="shared" si="0"/>
        <v>2040</v>
      </c>
      <c r="O38" s="93">
        <f t="shared" si="0"/>
        <v>2041</v>
      </c>
      <c r="P38" s="93">
        <f t="shared" si="0"/>
        <v>2042</v>
      </c>
      <c r="Q38" s="93">
        <f t="shared" si="0"/>
        <v>2043</v>
      </c>
      <c r="R38" s="93">
        <f t="shared" si="0"/>
        <v>2044</v>
      </c>
      <c r="S38" s="93">
        <f t="shared" si="0"/>
        <v>2045</v>
      </c>
      <c r="T38" s="93">
        <f t="shared" si="0"/>
        <v>2046</v>
      </c>
      <c r="U38" s="93">
        <f t="shared" si="0"/>
        <v>2047</v>
      </c>
      <c r="V38" s="93">
        <f t="shared" si="0"/>
        <v>2048</v>
      </c>
      <c r="W38" s="93">
        <f t="shared" si="0"/>
        <v>2049</v>
      </c>
      <c r="X38" s="93">
        <f t="shared" si="0"/>
        <v>2050</v>
      </c>
      <c r="Y38" s="93">
        <f t="shared" si="0"/>
        <v>2051</v>
      </c>
      <c r="Z38" s="93">
        <f t="shared" si="0"/>
        <v>2052</v>
      </c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97"/>
      <c r="AO38" s="197"/>
      <c r="AP38" s="197"/>
      <c r="AQ38" s="197"/>
      <c r="AR38" s="197"/>
      <c r="AS38" s="84"/>
    </row>
    <row r="39" spans="1:45">
      <c r="A39" s="144" t="s">
        <v>172</v>
      </c>
      <c r="B39" s="90">
        <v>0</v>
      </c>
      <c r="C39" s="90">
        <v>28917000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3000000</v>
      </c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8"/>
      <c r="AB39" s="198"/>
      <c r="AC39" s="198"/>
      <c r="AD39" s="198"/>
      <c r="AE39" s="198"/>
      <c r="AF39" s="198"/>
      <c r="AG39" s="198"/>
      <c r="AH39" s="198"/>
      <c r="AI39" s="198"/>
      <c r="AJ39" s="198"/>
      <c r="AK39" s="198"/>
      <c r="AL39" s="198"/>
      <c r="AM39" s="198"/>
      <c r="AN39" s="198"/>
      <c r="AO39" s="198"/>
      <c r="AP39" s="198"/>
      <c r="AQ39" s="198"/>
      <c r="AR39" s="198"/>
      <c r="AS39" s="84"/>
    </row>
    <row r="40" spans="1:45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8"/>
      <c r="AM40" s="198"/>
      <c r="AN40" s="198"/>
      <c r="AO40" s="198"/>
      <c r="AP40" s="198"/>
      <c r="AQ40" s="198"/>
      <c r="AR40" s="198"/>
      <c r="AS40" s="84"/>
    </row>
    <row r="41" spans="1:45">
      <c r="A41" s="142" t="s">
        <v>3</v>
      </c>
      <c r="B41" s="101">
        <f>B39+B40</f>
        <v>0</v>
      </c>
      <c r="C41" s="101">
        <f>C39+C40</f>
        <v>28917000</v>
      </c>
      <c r="D41" s="101">
        <f t="shared" ref="D41:Z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0</v>
      </c>
      <c r="L41" s="101">
        <f t="shared" si="1"/>
        <v>0</v>
      </c>
      <c r="M41" s="101">
        <f t="shared" si="1"/>
        <v>0</v>
      </c>
      <c r="N41" s="101">
        <f t="shared" si="1"/>
        <v>3000000</v>
      </c>
      <c r="O41" s="101">
        <f t="shared" si="1"/>
        <v>0</v>
      </c>
      <c r="P41" s="101">
        <f t="shared" si="1"/>
        <v>0</v>
      </c>
      <c r="Q41" s="101">
        <f t="shared" si="1"/>
        <v>0</v>
      </c>
      <c r="R41" s="101">
        <f t="shared" si="1"/>
        <v>0</v>
      </c>
      <c r="S41" s="101">
        <f t="shared" si="1"/>
        <v>0</v>
      </c>
      <c r="T41" s="101">
        <f t="shared" si="1"/>
        <v>0</v>
      </c>
      <c r="U41" s="101">
        <f t="shared" si="1"/>
        <v>0</v>
      </c>
      <c r="V41" s="101">
        <f t="shared" si="1"/>
        <v>0</v>
      </c>
      <c r="W41" s="101">
        <f t="shared" si="1"/>
        <v>0</v>
      </c>
      <c r="X41" s="101">
        <f t="shared" si="1"/>
        <v>0</v>
      </c>
      <c r="Y41" s="101">
        <f t="shared" si="1"/>
        <v>0</v>
      </c>
      <c r="Z41" s="101">
        <f t="shared" si="1"/>
        <v>0</v>
      </c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101"/>
      <c r="AO41" s="101"/>
      <c r="AP41" s="101"/>
      <c r="AQ41" s="101"/>
      <c r="AR41" s="101"/>
    </row>
    <row r="42" spans="1:45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</row>
    <row r="43" spans="1:45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8"/>
      <c r="AO43" s="198"/>
      <c r="AP43" s="198"/>
      <c r="AQ43" s="198"/>
      <c r="AR43" s="198"/>
    </row>
    <row r="44" spans="1:45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</row>
    <row r="45" spans="1:45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198"/>
      <c r="AB45" s="198"/>
      <c r="AC45" s="198"/>
      <c r="AD45" s="198"/>
      <c r="AE45" s="198"/>
      <c r="AF45" s="198"/>
      <c r="AG45" s="198"/>
      <c r="AH45" s="198"/>
      <c r="AI45" s="198"/>
      <c r="AJ45" s="198"/>
      <c r="AK45" s="198"/>
      <c r="AL45" s="198"/>
      <c r="AM45" s="198"/>
      <c r="AN45" s="198"/>
      <c r="AO45" s="198"/>
      <c r="AP45" s="198"/>
      <c r="AQ45" s="198"/>
      <c r="AR45" s="198"/>
      <c r="AS45" s="84"/>
    </row>
    <row r="46" spans="1:45">
      <c r="A46" s="142" t="s">
        <v>114</v>
      </c>
      <c r="B46" s="101">
        <f t="shared" ref="B46" si="2">SUM(B43:B45)</f>
        <v>0</v>
      </c>
      <c r="C46" s="101">
        <f t="shared" ref="C46:M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198"/>
      <c r="O46" s="198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/>
      <c r="AE46" s="198"/>
      <c r="AF46" s="198"/>
      <c r="AG46" s="198"/>
      <c r="AH46" s="198"/>
      <c r="AI46" s="198"/>
      <c r="AJ46" s="198"/>
      <c r="AK46" s="198"/>
      <c r="AL46" s="198"/>
      <c r="AM46" s="198"/>
      <c r="AN46" s="101"/>
      <c r="AO46" s="101"/>
      <c r="AP46" s="101"/>
      <c r="AQ46" s="101"/>
      <c r="AR46" s="101"/>
    </row>
    <row r="47" spans="1:45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98"/>
      <c r="AB47" s="198"/>
      <c r="AC47" s="198"/>
      <c r="AD47" s="198"/>
      <c r="AE47" s="198"/>
      <c r="AF47" s="198"/>
      <c r="AG47" s="198"/>
      <c r="AH47" s="198"/>
      <c r="AI47" s="198"/>
      <c r="AJ47" s="198"/>
      <c r="AK47" s="198"/>
      <c r="AL47" s="198"/>
      <c r="AM47" s="198"/>
      <c r="AN47" s="198"/>
      <c r="AO47" s="198"/>
      <c r="AP47" s="198"/>
      <c r="AQ47" s="198"/>
      <c r="AR47" s="198"/>
    </row>
    <row r="48" spans="1:45">
      <c r="A48" s="142" t="s">
        <v>115</v>
      </c>
      <c r="B48" s="198"/>
      <c r="C48" s="198"/>
      <c r="D48" s="198"/>
      <c r="E48" s="198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200"/>
      <c r="AB48" s="200"/>
      <c r="AC48" s="198"/>
      <c r="AD48" s="198"/>
      <c r="AE48" s="198"/>
      <c r="AF48" s="198"/>
      <c r="AG48" s="198"/>
      <c r="AH48" s="198"/>
      <c r="AI48" s="198"/>
      <c r="AJ48" s="198"/>
      <c r="AK48" s="198"/>
      <c r="AL48" s="198"/>
      <c r="AM48" s="198"/>
      <c r="AN48" s="198"/>
      <c r="AO48" s="198"/>
      <c r="AP48" s="198"/>
      <c r="AQ48" s="198"/>
      <c r="AR48" s="198"/>
    </row>
    <row r="49" spans="1:44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8"/>
      <c r="AB49" s="198"/>
      <c r="AC49" s="198"/>
      <c r="AD49" s="198"/>
      <c r="AE49" s="198"/>
      <c r="AF49" s="198"/>
      <c r="AG49" s="198"/>
      <c r="AH49" s="198"/>
      <c r="AI49" s="198"/>
      <c r="AJ49" s="198"/>
      <c r="AK49" s="198"/>
      <c r="AL49" s="198"/>
      <c r="AM49" s="198"/>
      <c r="AN49" s="198"/>
      <c r="AO49" s="198"/>
      <c r="AP49" s="198"/>
      <c r="AQ49" s="198"/>
      <c r="AR49" s="198"/>
    </row>
    <row r="50" spans="1:44">
      <c r="A50" s="142" t="s">
        <v>313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200"/>
      <c r="AB50" s="200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98"/>
    </row>
    <row r="51" spans="1:44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</row>
    <row r="52" spans="1:44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98"/>
    </row>
    <row r="53" spans="1:44">
      <c r="A53" s="143" t="s">
        <v>170</v>
      </c>
      <c r="B53" s="101">
        <f t="shared" ref="B53" si="4">SUM(B46:B52)</f>
        <v>0</v>
      </c>
      <c r="C53" s="101">
        <f t="shared" ref="C53:M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01"/>
      <c r="AO53" s="101"/>
      <c r="AP53" s="101"/>
      <c r="AQ53" s="101"/>
      <c r="AR53" s="101"/>
    </row>
    <row r="57" spans="1:44">
      <c r="A57"/>
    </row>
  </sheetData>
  <phoneticPr fontId="309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Confidential Exhibit NMC-R7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C3" sqref="C3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str">
        <f>'Retail Rev Req'!O3</f>
        <v>Year 14</v>
      </c>
      <c r="R2" s="129" t="str">
        <f>'Retail Rev Req'!P3</f>
        <v>Year 15</v>
      </c>
      <c r="S2" s="129" t="str">
        <f>'Retail Rev Req'!Q3</f>
        <v>Year 16</v>
      </c>
      <c r="T2" s="129" t="str">
        <f>'Retail Rev Req'!R3</f>
        <v>Year 17</v>
      </c>
      <c r="U2" s="129" t="str">
        <f>'Retail Rev Req'!S3</f>
        <v>Year 18</v>
      </c>
      <c r="V2" s="129" t="str">
        <f>'Retail Rev Req'!T3</f>
        <v>Year 19</v>
      </c>
      <c r="W2" s="129" t="str">
        <f>'Retail Rev Req'!U3</f>
        <v>Year 20</v>
      </c>
      <c r="X2" s="129" t="str">
        <f>'Retail Rev Req'!V3</f>
        <v>Year 21</v>
      </c>
      <c r="Y2" s="129" t="str">
        <f>'Retail Rev Req'!W3</f>
        <v>Year 22</v>
      </c>
      <c r="Z2" s="129" t="str">
        <f>'Retail Rev Req'!X3</f>
        <v>Year 23</v>
      </c>
      <c r="AA2" s="129" t="str">
        <f>'Retail Rev Req'!Y3</f>
        <v>Year 24</v>
      </c>
      <c r="AB2" s="129" t="str">
        <f>'Retail Rev Req'!Z3</f>
        <v>Year 25</v>
      </c>
      <c r="AC2" s="129" t="str">
        <f>'Retail Rev Req'!AA3</f>
        <v>Year 26</v>
      </c>
      <c r="AD2" s="129" t="str">
        <f>'Retail Rev Req'!AB3</f>
        <v>Year 27</v>
      </c>
      <c r="AE2" s="129" t="str">
        <f>'Retail Rev Req'!AC3</f>
        <v>Year 28</v>
      </c>
      <c r="AF2" s="129" t="str">
        <f>'Retail Rev Req'!AD3</f>
        <v>Year 29</v>
      </c>
      <c r="AG2" s="129" t="str">
        <f>'Retail Rev Req'!AE3</f>
        <v>Year 30</v>
      </c>
      <c r="AH2" s="129" t="str">
        <f>'Retail Rev Req'!AF3</f>
        <v>Year 31</v>
      </c>
      <c r="AI2" s="129" t="str">
        <f>'Retail Rev Req'!AG3</f>
        <v>Year 32</v>
      </c>
      <c r="AJ2" s="129" t="str">
        <f>'Retail Rev Req'!AH3</f>
        <v>Year 33</v>
      </c>
      <c r="AK2" s="129" t="str">
        <f>'Retail Rev Req'!AI3</f>
        <v>Year 34</v>
      </c>
      <c r="AL2" s="129" t="str">
        <f>'Retail Rev Req'!AJ3</f>
        <v>Year 35</v>
      </c>
    </row>
    <row r="3" spans="1:38">
      <c r="A3" s="56" t="s">
        <v>42</v>
      </c>
      <c r="B3" s="56"/>
      <c r="C3" s="56" t="s">
        <v>43</v>
      </c>
      <c r="D3" s="128">
        <f>'Retail Rev Req'!B4</f>
        <v>2028</v>
      </c>
      <c r="E3" s="128">
        <f>'Retail Rev Req'!C4</f>
        <v>2029</v>
      </c>
      <c r="F3" s="128">
        <f>'Retail Rev Req'!D4</f>
        <v>2030</v>
      </c>
      <c r="G3" s="128">
        <f>'Retail Rev Req'!E4</f>
        <v>2031</v>
      </c>
      <c r="H3" s="128">
        <f>'Retail Rev Req'!F4</f>
        <v>2032</v>
      </c>
      <c r="I3" s="128">
        <f>'Retail Rev Req'!G4</f>
        <v>2033</v>
      </c>
      <c r="J3" s="128">
        <f>'Retail Rev Req'!H4</f>
        <v>2034</v>
      </c>
      <c r="K3" s="128">
        <f>'Retail Rev Req'!I4</f>
        <v>2035</v>
      </c>
      <c r="L3" s="128">
        <f>'Retail Rev Req'!J4</f>
        <v>2036</v>
      </c>
      <c r="M3" s="128">
        <f>'Retail Rev Req'!K4</f>
        <v>2037</v>
      </c>
      <c r="N3" s="128">
        <f>'Retail Rev Req'!L4</f>
        <v>2038</v>
      </c>
      <c r="O3" s="128">
        <f>'Retail Rev Req'!M4</f>
        <v>2039</v>
      </c>
      <c r="P3" s="128">
        <f>'Retail Rev Req'!N4</f>
        <v>2040</v>
      </c>
      <c r="Q3" s="128">
        <f>'Retail Rev Req'!O4</f>
        <v>2041</v>
      </c>
      <c r="R3" s="128">
        <f>'Retail Rev Req'!P4</f>
        <v>2042</v>
      </c>
      <c r="S3" s="128">
        <f>'Retail Rev Req'!Q4</f>
        <v>2043</v>
      </c>
      <c r="T3" s="128">
        <f>'Retail Rev Req'!R4</f>
        <v>2044</v>
      </c>
      <c r="U3" s="128">
        <f>'Retail Rev Req'!S4</f>
        <v>2045</v>
      </c>
      <c r="V3" s="128">
        <f>'Retail Rev Req'!T4</f>
        <v>2046</v>
      </c>
      <c r="W3" s="128">
        <f>'Retail Rev Req'!U4</f>
        <v>2047</v>
      </c>
      <c r="X3" s="128">
        <f>'Retail Rev Req'!V4</f>
        <v>2048</v>
      </c>
      <c r="Y3" s="128">
        <f>'Retail Rev Req'!W4</f>
        <v>2049</v>
      </c>
      <c r="Z3" s="128">
        <f>'Retail Rev Req'!X4</f>
        <v>2050</v>
      </c>
      <c r="AA3" s="128">
        <f>'Retail Rev Req'!Y4</f>
        <v>2051</v>
      </c>
      <c r="AB3" s="128">
        <f>'Retail Rev Req'!Z4</f>
        <v>2052</v>
      </c>
      <c r="AC3" s="128">
        <f>'Retail Rev Req'!AA4</f>
        <v>0</v>
      </c>
      <c r="AD3" s="128">
        <f>'Retail Rev Req'!AB4</f>
        <v>0</v>
      </c>
      <c r="AE3" s="128">
        <f>'Retail Rev Req'!AC4</f>
        <v>0</v>
      </c>
      <c r="AF3" s="128">
        <f>'Retail Rev Req'!AD4</f>
        <v>0</v>
      </c>
      <c r="AG3" s="128">
        <f>'Retail Rev Req'!AE4</f>
        <v>0</v>
      </c>
      <c r="AH3" s="128">
        <f>'Retail Rev Req'!AF4</f>
        <v>0</v>
      </c>
      <c r="AI3" s="128">
        <f>'Retail Rev Req'!AG4</f>
        <v>0</v>
      </c>
      <c r="AJ3" s="128">
        <f>'Retail Rev Req'!AH4</f>
        <v>0</v>
      </c>
      <c r="AK3" s="128">
        <f>'Retail Rev Req'!AI4</f>
        <v>0</v>
      </c>
      <c r="AL3" s="128">
        <f>'Retail Rev Req'!AJ4</f>
        <v>0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>
        <f>'OPCO Rev Req'!O13</f>
        <v>0</v>
      </c>
      <c r="R6" s="124">
        <f>'OPCO Rev Req'!P13</f>
        <v>0</v>
      </c>
      <c r="S6" s="124">
        <f>'OPCO Rev Req'!Q13</f>
        <v>0</v>
      </c>
      <c r="T6" s="124">
        <f>'OPCO Rev Req'!R13</f>
        <v>0</v>
      </c>
      <c r="U6" s="124">
        <f>'OPCO Rev Req'!S13</f>
        <v>0</v>
      </c>
      <c r="V6" s="124">
        <f>'OPCO Rev Req'!T13</f>
        <v>0</v>
      </c>
      <c r="W6" s="124">
        <f>'OPCO Rev Req'!U13</f>
        <v>0</v>
      </c>
      <c r="X6" s="124">
        <f>'OPCO Rev Req'!V13</f>
        <v>0</v>
      </c>
      <c r="Y6" s="124">
        <f>'OPCO Rev Req'!W13</f>
        <v>0</v>
      </c>
      <c r="Z6" s="124">
        <f>'OPCO Rev Req'!X13</f>
        <v>0</v>
      </c>
      <c r="AA6" s="124">
        <f>'OPCO Rev Req'!Y13</f>
        <v>0</v>
      </c>
      <c r="AB6" s="124">
        <f>'OPCO Rev Req'!Z13</f>
        <v>0</v>
      </c>
      <c r="AC6" s="124">
        <f>'OPCO Rev Req'!AA13</f>
        <v>0</v>
      </c>
      <c r="AD6" s="124">
        <f>'OPCO Rev Req'!AB13</f>
        <v>0</v>
      </c>
      <c r="AE6" s="124">
        <f>'OPCO Rev Req'!AC13</f>
        <v>0</v>
      </c>
      <c r="AF6" s="124">
        <f>'OPCO Rev Req'!AD13</f>
        <v>0</v>
      </c>
      <c r="AG6" s="124">
        <f>'OPCO Rev Req'!AE13</f>
        <v>0</v>
      </c>
      <c r="AH6" s="124">
        <f>'OPCO Rev Req'!AF13</f>
        <v>0</v>
      </c>
      <c r="AI6" s="124">
        <f>'OPCO Rev Req'!AG13</f>
        <v>0</v>
      </c>
      <c r="AJ6" s="124">
        <f>'OPCO Rev Req'!AH13</f>
        <v>0</v>
      </c>
      <c r="AK6" s="124">
        <f>'OPCO Rev Req'!AI13</f>
        <v>0</v>
      </c>
      <c r="AL6" s="124">
        <f>'OPCO Rev Req'!AJ13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9434750</v>
      </c>
      <c r="E7" s="124">
        <f>'OPCO Rev Req'!C14</f>
        <v>11844500</v>
      </c>
      <c r="F7" s="124">
        <f>'OPCO Rev Req'!D14</f>
        <v>11844500</v>
      </c>
      <c r="G7" s="124">
        <f>'OPCO Rev Req'!E14</f>
        <v>11844500</v>
      </c>
      <c r="H7" s="124">
        <f>'OPCO Rev Req'!F14</f>
        <v>11844500</v>
      </c>
      <c r="I7" s="124">
        <f>'OPCO Rev Req'!G14</f>
        <v>11844500</v>
      </c>
      <c r="J7" s="124">
        <f>'OPCO Rev Req'!H14</f>
        <v>11844500</v>
      </c>
      <c r="K7" s="124">
        <f>'OPCO Rev Req'!I14</f>
        <v>11844500</v>
      </c>
      <c r="L7" s="124">
        <f>'OPCO Rev Req'!J14</f>
        <v>11844500</v>
      </c>
      <c r="M7" s="124">
        <f>'OPCO Rev Req'!K14</f>
        <v>11844500</v>
      </c>
      <c r="N7" s="124">
        <f>'OPCO Rev Req'!L14</f>
        <v>11844500</v>
      </c>
      <c r="O7" s="124">
        <f>'OPCO Rev Req'!M14</f>
        <v>11844500</v>
      </c>
      <c r="P7" s="124">
        <f>'OPCO Rev Req'!N14</f>
        <v>0</v>
      </c>
      <c r="Q7" s="124">
        <f>'OPCO Rev Req'!O14</f>
        <v>0</v>
      </c>
      <c r="R7" s="124">
        <f>'OPCO Rev Req'!P14</f>
        <v>0</v>
      </c>
      <c r="S7" s="124">
        <f>'OPCO Rev Req'!Q14</f>
        <v>0</v>
      </c>
      <c r="T7" s="124">
        <f>'OPCO Rev Req'!R14</f>
        <v>0</v>
      </c>
      <c r="U7" s="124">
        <f>'OPCO Rev Req'!S14</f>
        <v>0</v>
      </c>
      <c r="V7" s="124">
        <f>'OPCO Rev Req'!T14</f>
        <v>0</v>
      </c>
      <c r="W7" s="124">
        <f>'OPCO Rev Req'!U14</f>
        <v>0</v>
      </c>
      <c r="X7" s="124">
        <f>'OPCO Rev Req'!V14</f>
        <v>0</v>
      </c>
      <c r="Y7" s="124">
        <f>'OPCO Rev Req'!W14</f>
        <v>0</v>
      </c>
      <c r="Z7" s="124">
        <f>'OPCO Rev Req'!X14</f>
        <v>0</v>
      </c>
      <c r="AA7" s="124">
        <f>'OPCO Rev Req'!Y14</f>
        <v>0</v>
      </c>
      <c r="AB7" s="124">
        <f>'OPCO Rev Req'!Z14</f>
        <v>0</v>
      </c>
      <c r="AC7" s="124">
        <f>'OPCO Rev Req'!AA14</f>
        <v>0</v>
      </c>
      <c r="AD7" s="124">
        <f>'OPCO Rev Req'!AB14</f>
        <v>0</v>
      </c>
      <c r="AE7" s="124">
        <f>'OPCO Rev Req'!AC14</f>
        <v>0</v>
      </c>
      <c r="AF7" s="124">
        <f>'OPCO Rev Req'!AD14</f>
        <v>0</v>
      </c>
      <c r="AG7" s="124">
        <f>'OPCO Rev Req'!AE14</f>
        <v>0</v>
      </c>
      <c r="AH7" s="124">
        <f>'OPCO Rev Req'!AF14</f>
        <v>0</v>
      </c>
      <c r="AI7" s="124">
        <f>'OPCO Rev Req'!AG14</f>
        <v>0</v>
      </c>
      <c r="AJ7" s="124">
        <f>'OPCO Rev Req'!AH14</f>
        <v>0</v>
      </c>
      <c r="AK7" s="124">
        <f>'OPCO Rev Req'!AI14</f>
        <v>0</v>
      </c>
      <c r="AL7" s="124">
        <f>'OPCO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3146530.8387964563</v>
      </c>
      <c r="E9" s="125">
        <f>'OPCO Rev Req'!C23*(WACD)</f>
        <v>3597062.5400034874</v>
      </c>
      <c r="F9" s="125">
        <f>'OPCO Rev Req'!D23*(WACD)</f>
        <v>3271328.0748182586</v>
      </c>
      <c r="G9" s="125">
        <f>'OPCO Rev Req'!E23*(WACD)</f>
        <v>2952137.7184952889</v>
      </c>
      <c r="H9" s="125">
        <f>'OPCO Rev Req'!F23*(WACD)</f>
        <v>2639014.5357609848</v>
      </c>
      <c r="I9" s="125">
        <f>'OPCO Rev Req'!G23*(WACD)</f>
        <v>2331493.2031068965</v>
      </c>
      <c r="J9" s="125">
        <f>'OPCO Rev Req'!H23*(WACD)</f>
        <v>2029163.3488186821</v>
      </c>
      <c r="K9" s="125">
        <f>'OPCO Rev Req'!I23*(WACD)</f>
        <v>1731624.2776529542</v>
      </c>
      <c r="L9" s="125">
        <f>'OPCO Rev Req'!J23*(WACD)</f>
        <v>1435452.9456902321</v>
      </c>
      <c r="M9" s="125">
        <f>'OPCO Rev Req'!K23*(WACD)</f>
        <v>1139408.7217377541</v>
      </c>
      <c r="N9" s="125">
        <f>'OPCO Rev Req'!L23*(WACD)</f>
        <v>843355.44272064441</v>
      </c>
      <c r="O9" s="125">
        <f>'OPCO Rev Req'!M23*(WACD)</f>
        <v>547311.21876816638</v>
      </c>
      <c r="P9" s="125">
        <f>'OPCO Rev Req'!N23*(WACD)</f>
        <v>569341.35448827723</v>
      </c>
      <c r="Q9" s="125">
        <f>'OPCO Rev Req'!O23*(WACD)</f>
        <v>510228.66843165969</v>
      </c>
      <c r="R9" s="125">
        <f>'OPCO Rev Req'!P23*(WACD)</f>
        <v>451215.74870798102</v>
      </c>
      <c r="S9" s="125">
        <f>'OPCO Rev Req'!Q23*(WACD)</f>
        <v>392312.27279208024</v>
      </c>
      <c r="T9" s="125">
        <f>'OPCO Rev Req'!R23*(WACD)</f>
        <v>333492.90256518725</v>
      </c>
      <c r="U9" s="125">
        <f>'OPCO Rev Req'!S23*(WACD)</f>
        <v>274768.52016705921</v>
      </c>
      <c r="V9" s="125">
        <f>'OPCO Rev Req'!T23*(WACD)</f>
        <v>216114.79136635741</v>
      </c>
      <c r="W9" s="125">
        <f>'OPCO Rev Req'!U23*(WACD)</f>
        <v>157543.60219027038</v>
      </c>
      <c r="X9" s="125">
        <f>'OPCO Rev Req'!V23*(WACD)</f>
        <v>123494.89513095758</v>
      </c>
      <c r="Y9" s="125">
        <f>'OPCO Rev Req'!W23*(WACD)</f>
        <v>118281.58542588838</v>
      </c>
      <c r="Z9" s="125">
        <f>'OPCO Rev Req'!X23*(WACD)</f>
        <v>117385.71628205202</v>
      </c>
      <c r="AA9" s="125">
        <f>'OPCO Rev Req'!Y23*(WACD)</f>
        <v>116490.04791570199</v>
      </c>
      <c r="AB9" s="125">
        <f>'OPCO Rev Req'!Z23*(WACD)</f>
        <v>115594.17877186564</v>
      </c>
      <c r="AC9" s="125">
        <f>'OPCO Rev Req'!AA23*(WACD)</f>
        <v>0</v>
      </c>
      <c r="AD9" s="125">
        <f>'OPCO Rev Req'!AB23*(WACD)</f>
        <v>0</v>
      </c>
      <c r="AE9" s="125">
        <f>'OPCO Rev Req'!AC23*(WACD)</f>
        <v>0</v>
      </c>
      <c r="AF9" s="125">
        <f>'OPCO Rev Req'!AD23*(WACD)</f>
        <v>0</v>
      </c>
      <c r="AG9" s="125">
        <f>'OPCO Rev Req'!AE23*(WACD)</f>
        <v>0</v>
      </c>
      <c r="AH9" s="125">
        <f>'OPCO Rev Req'!AF23*(WACD)</f>
        <v>0</v>
      </c>
      <c r="AI9" s="125">
        <f>'OPCO Rev Req'!AG23*(WACD)</f>
        <v>0</v>
      </c>
      <c r="AJ9" s="125">
        <f>'OPCO Rev Req'!AH23*(WACD)</f>
        <v>0</v>
      </c>
      <c r="AK9" s="125">
        <f>'OPCO Rev Req'!AI23*(WACD)</f>
        <v>0</v>
      </c>
      <c r="AL9" s="125">
        <f>'OPCO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-12581280.838796455</v>
      </c>
      <c r="E11" s="31">
        <f>E4-E6-E7-E8-E9</f>
        <v>-15441562.540003488</v>
      </c>
      <c r="F11" s="31">
        <f>F4-F6-F7-F8-F9</f>
        <v>-15115828.074818259</v>
      </c>
      <c r="G11" s="31">
        <f>G4-G6-G7-G8-G9</f>
        <v>-14796637.718495289</v>
      </c>
      <c r="H11" s="31">
        <f t="shared" ref="H11:X11" si="0">H4-H6-H7-H8-H9</f>
        <v>-14483514.535760984</v>
      </c>
      <c r="I11" s="31">
        <f t="shared" si="0"/>
        <v>-14175993.203106897</v>
      </c>
      <c r="J11" s="31">
        <f t="shared" si="0"/>
        <v>-13873663.348818682</v>
      </c>
      <c r="K11" s="31">
        <f t="shared" si="0"/>
        <v>-13576124.277652955</v>
      </c>
      <c r="L11" s="31">
        <f t="shared" si="0"/>
        <v>-13279952.945690231</v>
      </c>
      <c r="M11" s="31">
        <f t="shared" si="0"/>
        <v>-12983908.721737754</v>
      </c>
      <c r="N11" s="31">
        <f t="shared" si="0"/>
        <v>-12687855.442720644</v>
      </c>
      <c r="O11" s="31">
        <f t="shared" si="0"/>
        <v>-12391811.218768166</v>
      </c>
      <c r="P11" s="31">
        <f t="shared" si="0"/>
        <v>-569341.35448827723</v>
      </c>
      <c r="Q11" s="31">
        <f t="shared" si="0"/>
        <v>-510228.66843165969</v>
      </c>
      <c r="R11" s="31">
        <f t="shared" si="0"/>
        <v>-451215.74870798102</v>
      </c>
      <c r="S11" s="31">
        <f t="shared" si="0"/>
        <v>-392312.27279208024</v>
      </c>
      <c r="T11" s="31">
        <f t="shared" si="0"/>
        <v>-333492.90256518725</v>
      </c>
      <c r="U11" s="31">
        <f t="shared" si="0"/>
        <v>-274768.52016705921</v>
      </c>
      <c r="V11" s="31">
        <f t="shared" si="0"/>
        <v>-216114.79136635741</v>
      </c>
      <c r="W11" s="31">
        <f t="shared" si="0"/>
        <v>-157543.60219027038</v>
      </c>
      <c r="X11" s="31">
        <f t="shared" si="0"/>
        <v>-123494.89513095758</v>
      </c>
      <c r="Y11" s="31">
        <f t="shared" ref="Y11:AK11" si="1">Y4-Y6-Y7-Y8-Y9</f>
        <v>-118281.58542588838</v>
      </c>
      <c r="Z11" s="31">
        <f t="shared" si="1"/>
        <v>-117385.71628205202</v>
      </c>
      <c r="AA11" s="31">
        <f t="shared" si="1"/>
        <v>-116490.04791570199</v>
      </c>
      <c r="AB11" s="31">
        <f t="shared" si="1"/>
        <v>-115594.17877186564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coal'!C62-'Rate Base - coal'!C19)*1000</f>
        <v>54276612.5</v>
      </c>
      <c r="E14" s="124">
        <f>-('Rate Base - coal'!D62-'Rate Base - coal'!D19)*1000</f>
        <v>-1094712.7300000011</v>
      </c>
      <c r="F14" s="124">
        <f>-('Rate Base - coal'!E62-'Rate Base - coal'!E19)*1000</f>
        <v>-1207787.3199999994</v>
      </c>
      <c r="G14" s="124">
        <f>-('Rate Base - coal'!F62-'Rate Base - coal'!F19)*1000</f>
        <v>-229972.18000000066</v>
      </c>
      <c r="H14" s="124">
        <f>-('Rate Base - coal'!G62-'Rate Base - coal'!G19)*1000</f>
        <v>676579.70000000205</v>
      </c>
      <c r="I14" s="124">
        <f>-('Rate Base - coal'!H62-'Rate Base - coal'!H19)*1000</f>
        <v>1513603.3399999996</v>
      </c>
      <c r="J14" s="124">
        <f>-('Rate Base - coal'!I62-'Rate Base - coal'!I19)*1000</f>
        <v>2289309.5900000008</v>
      </c>
      <c r="K14" s="124">
        <f>-('Rate Base - coal'!J62-'Rate Base - coal'!J19)*1000</f>
        <v>3005144.3</v>
      </c>
      <c r="L14" s="124">
        <f>-('Rate Base - coal'!K62-'Rate Base - coal'!K19)*1000</f>
        <v>3209510.72</v>
      </c>
      <c r="M14" s="124">
        <f>-('Rate Base - coal'!L62-'Rate Base - coal'!L19)*1000</f>
        <v>3228503.0900000003</v>
      </c>
      <c r="N14" s="124">
        <f>-('Rate Base - coal'!M62-'Rate Base - coal'!M19)*1000</f>
        <v>3227150.0899999994</v>
      </c>
      <c r="O14" s="124">
        <f>-('Rate Base - coal'!N62-'Rate Base - coal'!N19)*1000</f>
        <v>3228503.0900000003</v>
      </c>
      <c r="P14" s="124">
        <f>-('Rate Base - coal'!O62-'Rate Base - coal'!O19)*1000</f>
        <v>-8729849.9100000001</v>
      </c>
      <c r="Q14" s="124">
        <f>-('Rate Base - coal'!P62-'Rate Base - coal'!P19)*1000</f>
        <v>-8832566.9100000001</v>
      </c>
      <c r="R14" s="124">
        <f>-('Rate Base - coal'!Q62-'Rate Base - coal'!Q19)*1000</f>
        <v>-8817659.9100000001</v>
      </c>
      <c r="S14" s="124">
        <f>-('Rate Base - coal'!R62-'Rate Base - coal'!R19)*1000</f>
        <v>-8801306.9100000001</v>
      </c>
      <c r="T14" s="124">
        <f>-('Rate Base - coal'!S62-'Rate Base - coal'!S19)*1000</f>
        <v>-8788739.9100000001</v>
      </c>
      <c r="U14" s="124">
        <f>-('Rate Base - coal'!T62-'Rate Base - coal'!T19)*1000</f>
        <v>-8774546.9099999983</v>
      </c>
      <c r="V14" s="124">
        <f>-('Rate Base - coal'!U62-'Rate Base - coal'!U19)*1000</f>
        <v>-8763989.9100000001</v>
      </c>
      <c r="W14" s="124">
        <f>-('Rate Base - coal'!V62-'Rate Base - coal'!V19)*1000</f>
        <v>-8751656.9100000001</v>
      </c>
      <c r="X14" s="124">
        <f>-('Rate Base - coal'!W62-'Rate Base - coal'!W19)*1000</f>
        <v>-5087528.6399999997</v>
      </c>
      <c r="Y14" s="124">
        <f>-('Rate Base - coal'!X62-'Rate Base - coal'!X19)*1000</f>
        <v>-778968.27</v>
      </c>
      <c r="Z14" s="124">
        <f>-('Rate Base - coal'!Y62-'Rate Base - coal'!Y19)*1000</f>
        <v>-133860</v>
      </c>
      <c r="AA14" s="124">
        <f>-('Rate Base - coal'!Z62-'Rate Base - coal'!Z19)*1000</f>
        <v>-133829.99999999997</v>
      </c>
      <c r="AB14" s="124">
        <f>-('Rate Base - coal'!AA62-'Rate Base - coal'!AA19)*1000</f>
        <v>-133860</v>
      </c>
      <c r="AC14" s="124">
        <f>-('Rate Base - coal'!AB62-'Rate Base - coal'!AB19)*1000</f>
        <v>0</v>
      </c>
      <c r="AD14" s="124">
        <f>-('Rate Base - coal'!AC62-'Rate Base - coal'!AC19)*1000</f>
        <v>0</v>
      </c>
      <c r="AE14" s="124">
        <f>-('Rate Base - coal'!AD62-'Rate Base - coal'!AD19)*1000</f>
        <v>0</v>
      </c>
      <c r="AF14" s="124">
        <f>-('Rate Base - coal'!AE62-'Rate Base - coal'!AE19)*1000</f>
        <v>0</v>
      </c>
      <c r="AG14" s="124">
        <f>-('Rate Base - coal'!AF62-'Rate Base - coal'!AF19)*1000</f>
        <v>0</v>
      </c>
      <c r="AH14" s="124">
        <f>-('Rate Base - coal'!AG62-'Rate Base - coal'!AG19)*1000</f>
        <v>0</v>
      </c>
      <c r="AI14" s="124">
        <f>-('Rate Base - coal'!AH62-'Rate Base - coal'!AH19)*1000</f>
        <v>0</v>
      </c>
      <c r="AJ14" s="124">
        <f>-('Rate Base - coal'!AI62-'Rate Base - coal'!AI19)*1000</f>
        <v>0</v>
      </c>
      <c r="AK14" s="124">
        <f>-('Rate Base - coal'!AJ62-'Rate Base - coal'!AJ19)*1000</f>
        <v>0</v>
      </c>
      <c r="AL14" s="124">
        <f>-('Rate Base - coal'!AK62-'Rate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41695331.661203548</v>
      </c>
      <c r="E16" s="33">
        <f>SUM(E11:E14)</f>
        <v>-16536275.270003488</v>
      </c>
      <c r="F16" s="33">
        <f>SUM(F11:F14)</f>
        <v>-16323615.394818258</v>
      </c>
      <c r="G16" s="33">
        <f>SUM(G11:G14)</f>
        <v>-15026609.89849529</v>
      </c>
      <c r="H16" s="33">
        <f t="shared" ref="H16:X16" si="2">SUM(H11:H14)</f>
        <v>-13806934.835760981</v>
      </c>
      <c r="I16" s="33">
        <f t="shared" si="2"/>
        <v>-12662389.863106897</v>
      </c>
      <c r="J16" s="33">
        <f t="shared" si="2"/>
        <v>-11584353.758818682</v>
      </c>
      <c r="K16" s="33">
        <f t="shared" si="2"/>
        <v>-10570979.977652956</v>
      </c>
      <c r="L16" s="33">
        <f t="shared" si="2"/>
        <v>-10070442.225690231</v>
      </c>
      <c r="M16" s="33">
        <f t="shared" si="2"/>
        <v>-9755405.6317377537</v>
      </c>
      <c r="N16" s="33">
        <f t="shared" si="2"/>
        <v>-9460705.3527206443</v>
      </c>
      <c r="O16" s="33">
        <f t="shared" si="2"/>
        <v>-9163308.1287681665</v>
      </c>
      <c r="P16" s="33">
        <f t="shared" si="2"/>
        <v>-9299191.264488278</v>
      </c>
      <c r="Q16" s="33">
        <f t="shared" si="2"/>
        <v>-9342795.5784316603</v>
      </c>
      <c r="R16" s="33">
        <f t="shared" si="2"/>
        <v>-9268875.6587079819</v>
      </c>
      <c r="S16" s="33">
        <f t="shared" si="2"/>
        <v>-9193619.1827920806</v>
      </c>
      <c r="T16" s="33">
        <f t="shared" si="2"/>
        <v>-9122232.812565187</v>
      </c>
      <c r="U16" s="33">
        <f t="shared" si="2"/>
        <v>-9049315.4301670566</v>
      </c>
      <c r="V16" s="33">
        <f t="shared" si="2"/>
        <v>-8980104.7013663575</v>
      </c>
      <c r="W16" s="33">
        <f t="shared" si="2"/>
        <v>-8909200.5121902712</v>
      </c>
      <c r="X16" s="33">
        <f t="shared" si="2"/>
        <v>-5211023.5351309571</v>
      </c>
      <c r="Y16" s="33">
        <f t="shared" ref="Y16:AK16" si="3">SUM(Y11:Y14)</f>
        <v>-897249.85542588844</v>
      </c>
      <c r="Z16" s="33">
        <f t="shared" si="3"/>
        <v>-251245.71628205202</v>
      </c>
      <c r="AA16" s="33">
        <f t="shared" si="3"/>
        <v>-250320.04791570196</v>
      </c>
      <c r="AB16" s="33">
        <f t="shared" si="3"/>
        <v>-249454.17877186564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5.0065000000000005E-2</v>
      </c>
      <c r="E18" s="126">
        <f>Input!$B$34</f>
        <v>5.0065000000000005E-2</v>
      </c>
      <c r="F18" s="126">
        <f>Input!$B$34</f>
        <v>5.0065000000000005E-2</v>
      </c>
      <c r="G18" s="126">
        <f>Input!$B$34</f>
        <v>5.0065000000000005E-2</v>
      </c>
      <c r="H18" s="126">
        <f>Input!$B$34</f>
        <v>5.0065000000000005E-2</v>
      </c>
      <c r="I18" s="126">
        <f>Input!$B$34</f>
        <v>5.0065000000000005E-2</v>
      </c>
      <c r="J18" s="126">
        <f>Input!$B$34</f>
        <v>5.0065000000000005E-2</v>
      </c>
      <c r="K18" s="126">
        <f>Input!$B$34</f>
        <v>5.0065000000000005E-2</v>
      </c>
      <c r="L18" s="126">
        <f>Input!$B$34</f>
        <v>5.0065000000000005E-2</v>
      </c>
      <c r="M18" s="126">
        <f>Input!$B$34</f>
        <v>5.0065000000000005E-2</v>
      </c>
      <c r="N18" s="126">
        <f>Input!$B$34</f>
        <v>5.0065000000000005E-2</v>
      </c>
      <c r="O18" s="126">
        <f>Input!$B$34</f>
        <v>5.0065000000000005E-2</v>
      </c>
      <c r="P18" s="126">
        <f>Input!$B$34</f>
        <v>5.0065000000000005E-2</v>
      </c>
      <c r="Q18" s="126">
        <f>Input!$B$34</f>
        <v>5.0065000000000005E-2</v>
      </c>
      <c r="R18" s="126">
        <f>Input!$B$34</f>
        <v>5.0065000000000005E-2</v>
      </c>
      <c r="S18" s="126">
        <f>Input!$B$34</f>
        <v>5.0065000000000005E-2</v>
      </c>
      <c r="T18" s="126">
        <f>Input!$B$34</f>
        <v>5.0065000000000005E-2</v>
      </c>
      <c r="U18" s="126">
        <f>Input!$B$34</f>
        <v>5.0065000000000005E-2</v>
      </c>
      <c r="V18" s="126">
        <f>Input!$B$34</f>
        <v>5.0065000000000005E-2</v>
      </c>
      <c r="W18" s="126">
        <f>Input!$B$34</f>
        <v>5.0065000000000005E-2</v>
      </c>
      <c r="X18" s="126">
        <f>Input!$B$34</f>
        <v>5.0065000000000005E-2</v>
      </c>
      <c r="Y18" s="126">
        <f>Input!$B$34</f>
        <v>5.0065000000000005E-2</v>
      </c>
      <c r="Z18" s="126">
        <f>Input!$B$34</f>
        <v>5.0065000000000005E-2</v>
      </c>
      <c r="AA18" s="126">
        <f>Input!$B$34</f>
        <v>5.0065000000000005E-2</v>
      </c>
      <c r="AB18" s="126">
        <f>Input!$B$34</f>
        <v>5.0065000000000005E-2</v>
      </c>
      <c r="AC18" s="126">
        <f>Input!$B$34</f>
        <v>5.0065000000000005E-2</v>
      </c>
      <c r="AD18" s="126">
        <f>Input!$B$34</f>
        <v>5.0065000000000005E-2</v>
      </c>
      <c r="AE18" s="126">
        <f>Input!$B$34</f>
        <v>5.0065000000000005E-2</v>
      </c>
      <c r="AF18" s="126">
        <f>Input!$B$34</f>
        <v>5.0065000000000005E-2</v>
      </c>
      <c r="AG18" s="126">
        <f>Input!$B$34</f>
        <v>5.0065000000000005E-2</v>
      </c>
      <c r="AH18" s="126">
        <f>Input!$B$34</f>
        <v>5.0065000000000005E-2</v>
      </c>
      <c r="AI18" s="126">
        <f>Input!$B$34</f>
        <v>5.0065000000000005E-2</v>
      </c>
      <c r="AJ18" s="126">
        <f>Input!$B$34</f>
        <v>5.0065000000000005E-2</v>
      </c>
      <c r="AK18" s="126">
        <f>Input!$B$34</f>
        <v>5.0065000000000005E-2</v>
      </c>
      <c r="AL18" s="126">
        <f>Input!$B$34</f>
        <v>5.0065000000000005E-2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2087476.7796181559</v>
      </c>
      <c r="E20" s="132">
        <f>E16*E18</f>
        <v>-827888.62139272469</v>
      </c>
      <c r="F20" s="132">
        <f>F16*F18</f>
        <v>-817241.8047415762</v>
      </c>
      <c r="G20" s="132">
        <f>G16*G18</f>
        <v>-752307.22456816677</v>
      </c>
      <c r="H20" s="132">
        <f t="shared" ref="H20:X20" si="4">H16*H18</f>
        <v>-691244.19255237363</v>
      </c>
      <c r="I20" s="132">
        <f t="shared" si="4"/>
        <v>-633942.54849644692</v>
      </c>
      <c r="J20" s="132">
        <f t="shared" si="4"/>
        <v>-579970.67093525734</v>
      </c>
      <c r="K20" s="132">
        <f t="shared" si="4"/>
        <v>-529236.11258119531</v>
      </c>
      <c r="L20" s="132">
        <f t="shared" si="4"/>
        <v>-504176.69002918148</v>
      </c>
      <c r="M20" s="132">
        <f t="shared" si="4"/>
        <v>-488404.38295295072</v>
      </c>
      <c r="N20" s="132">
        <f t="shared" si="4"/>
        <v>-473650.21348395909</v>
      </c>
      <c r="O20" s="132">
        <f t="shared" si="4"/>
        <v>-458761.0214667783</v>
      </c>
      <c r="P20" s="132">
        <f t="shared" si="4"/>
        <v>-465564.01065660571</v>
      </c>
      <c r="Q20" s="132">
        <f t="shared" si="4"/>
        <v>-467747.06063418114</v>
      </c>
      <c r="R20" s="132">
        <f t="shared" si="4"/>
        <v>-464046.25985321519</v>
      </c>
      <c r="S20" s="132">
        <f t="shared" si="4"/>
        <v>-460278.54438648559</v>
      </c>
      <c r="T20" s="132">
        <f t="shared" si="4"/>
        <v>-456704.58576107613</v>
      </c>
      <c r="U20" s="132">
        <f t="shared" si="4"/>
        <v>-453053.97701131372</v>
      </c>
      <c r="V20" s="132">
        <f t="shared" si="4"/>
        <v>-449588.94187390676</v>
      </c>
      <c r="W20" s="132">
        <f t="shared" si="4"/>
        <v>-446039.12364280596</v>
      </c>
      <c r="X20" s="132">
        <f t="shared" si="4"/>
        <v>-260889.89328633141</v>
      </c>
      <c r="Y20" s="132">
        <f t="shared" ref="Y20:AK20" si="5">Y16*Y18</f>
        <v>-44920.814011897106</v>
      </c>
      <c r="Z20" s="132">
        <f t="shared" si="5"/>
        <v>-12578.616785660935</v>
      </c>
      <c r="AA20" s="132">
        <f t="shared" si="5"/>
        <v>-12532.27319889962</v>
      </c>
      <c r="AB20" s="132">
        <f t="shared" si="5"/>
        <v>-12488.923460213455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19163542.162730128</v>
      </c>
      <c r="E22" s="124">
        <f>'OPCO Rev Req'!C28</f>
        <v>22961018.359200247</v>
      </c>
      <c r="F22" s="124">
        <f>'OPCO Rev Req'!D28</f>
        <v>21949008.377347909</v>
      </c>
      <c r="G22" s="124">
        <f>'OPCO Rev Req'!E28</f>
        <v>20957329.997455988</v>
      </c>
      <c r="H22" s="124">
        <f>'OPCO Rev Req'!F28</f>
        <v>19984501.450448256</v>
      </c>
      <c r="I22" s="124">
        <f>'OPCO Rev Req'!G28</f>
        <v>19029077.043327264</v>
      </c>
      <c r="J22" s="124">
        <f>'OPCO Rev Req'!H28</f>
        <v>18089781.81039067</v>
      </c>
      <c r="K22" s="124">
        <f>'OPCO Rev Req'!I28</f>
        <v>17165370.849335138</v>
      </c>
      <c r="L22" s="124">
        <f>'OPCO Rev Req'!J28</f>
        <v>16245209.256626992</v>
      </c>
      <c r="M22" s="124">
        <f>'OPCO Rev Req'!K28</f>
        <v>15325442.570165772</v>
      </c>
      <c r="N22" s="124">
        <f>'OPCO Rev Req'!L28</f>
        <v>14405647.750925329</v>
      </c>
      <c r="O22" s="124">
        <f>'OPCO Rev Req'!M28</f>
        <v>13485881.064464107</v>
      </c>
      <c r="P22" s="124">
        <f>'OPCO Rev Req'!N28</f>
        <v>1768861.4359423744</v>
      </c>
      <c r="Q22" s="124">
        <f>'OPCO Rev Req'!O28</f>
        <v>1585206.8499611756</v>
      </c>
      <c r="R22" s="124">
        <f>'OPCO Rev Req'!P28</f>
        <v>1401862.2235807509</v>
      </c>
      <c r="S22" s="124">
        <f>'OPCO Rev Req'!Q28</f>
        <v>1218857.6233190238</v>
      </c>
      <c r="T22" s="124">
        <f>'OPCO Rev Req'!R28</f>
        <v>1036114.3272971109</v>
      </c>
      <c r="U22" s="124">
        <f>'OPCO Rev Req'!S28</f>
        <v>853666.14475301257</v>
      </c>
      <c r="V22" s="124">
        <f>'OPCO Rev Req'!T28</f>
        <v>671437.47274123668</v>
      </c>
      <c r="W22" s="124">
        <f>'OPCO Rev Req'!U28</f>
        <v>489465.23943318031</v>
      </c>
      <c r="X22" s="124">
        <f>'OPCO Rev Req'!V28</f>
        <v>383680.81961872737</v>
      </c>
      <c r="Y22" s="124">
        <f>'OPCO Rev Req'!W28</f>
        <v>367483.81861357566</v>
      </c>
      <c r="Z22" s="124">
        <f>'OPCO Rev Req'!X28</f>
        <v>364700.48245207878</v>
      </c>
      <c r="AA22" s="124">
        <f>'OPCO Rev Req'!Y28</f>
        <v>361917.77007726085</v>
      </c>
      <c r="AB22" s="124">
        <f>'OPCO Rev Req'!Z28</f>
        <v>359134.43391576404</v>
      </c>
      <c r="AC22" s="124">
        <f>'OPCO Rev Req'!AA28</f>
        <v>0</v>
      </c>
      <c r="AD22" s="124">
        <f>'OPCO Rev Req'!AB28</f>
        <v>0</v>
      </c>
      <c r="AE22" s="124">
        <f>'OPCO Rev Req'!AC28</f>
        <v>0</v>
      </c>
      <c r="AF22" s="124">
        <f>'OPCO Rev Req'!AD28</f>
        <v>0</v>
      </c>
      <c r="AG22" s="124">
        <f>'OPCO Rev Req'!AE28</f>
        <v>0</v>
      </c>
      <c r="AH22" s="124">
        <f>'OPCO Rev Req'!AF28</f>
        <v>0</v>
      </c>
      <c r="AI22" s="124">
        <f>'OPCO Rev Req'!AG28</f>
        <v>0</v>
      </c>
      <c r="AJ22" s="124">
        <f>'OPCO Rev Req'!AH28</f>
        <v>0</v>
      </c>
      <c r="AK22" s="124">
        <f>'OPCO Rev Req'!AI28</f>
        <v>0</v>
      </c>
      <c r="AL22" s="124">
        <f>'OPCO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6582261.3239336722</v>
      </c>
      <c r="E24" s="127">
        <f t="shared" si="6"/>
        <v>7519455.8191967588</v>
      </c>
      <c r="F24" s="127">
        <f t="shared" si="6"/>
        <v>6833180.3025296498</v>
      </c>
      <c r="G24" s="127">
        <f t="shared" si="6"/>
        <v>6160692.2789606992</v>
      </c>
      <c r="H24" s="127">
        <f t="shared" si="6"/>
        <v>5500986.9146872722</v>
      </c>
      <c r="I24" s="127">
        <f t="shared" si="6"/>
        <v>4853083.8402203675</v>
      </c>
      <c r="J24" s="127">
        <f t="shared" si="6"/>
        <v>4216118.4615719877</v>
      </c>
      <c r="K24" s="127">
        <f t="shared" si="6"/>
        <v>3589246.5716821831</v>
      </c>
      <c r="L24" s="127">
        <f t="shared" si="6"/>
        <v>2965256.3109367602</v>
      </c>
      <c r="M24" s="127">
        <f t="shared" si="6"/>
        <v>2341533.8484280184</v>
      </c>
      <c r="N24" s="127">
        <f t="shared" si="6"/>
        <v>1717792.3082046844</v>
      </c>
      <c r="O24" s="127">
        <f t="shared" si="6"/>
        <v>1094069.8456959408</v>
      </c>
      <c r="P24" s="127">
        <f t="shared" si="6"/>
        <v>1199520.0814540973</v>
      </c>
      <c r="Q24" s="127">
        <f t="shared" si="6"/>
        <v>1074978.1815295159</v>
      </c>
      <c r="R24" s="127">
        <f t="shared" si="6"/>
        <v>950646.47487276979</v>
      </c>
      <c r="S24" s="127">
        <f t="shared" si="6"/>
        <v>826545.35052694357</v>
      </c>
      <c r="T24" s="127">
        <f t="shared" si="6"/>
        <v>702621.42473192373</v>
      </c>
      <c r="U24" s="127">
        <f t="shared" si="6"/>
        <v>578897.62458595331</v>
      </c>
      <c r="V24" s="127">
        <f t="shared" si="6"/>
        <v>455322.68137487926</v>
      </c>
      <c r="W24" s="127">
        <f t="shared" si="6"/>
        <v>331921.63724290993</v>
      </c>
      <c r="X24" s="127">
        <f t="shared" si="6"/>
        <v>260185.92448776978</v>
      </c>
      <c r="Y24" s="127">
        <f t="shared" ref="Y24:AK24" si="7">Y22+Y11</f>
        <v>249202.23318768729</v>
      </c>
      <c r="Z24" s="127">
        <f t="shared" si="7"/>
        <v>247314.76617002676</v>
      </c>
      <c r="AA24" s="127">
        <f t="shared" si="7"/>
        <v>245427.72216155886</v>
      </c>
      <c r="AB24" s="127">
        <f t="shared" si="7"/>
        <v>243540.25514389839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60858873.823933676</v>
      </c>
      <c r="E26" s="127">
        <f t="shared" si="8"/>
        <v>6424743.0891967583</v>
      </c>
      <c r="F26" s="127">
        <f t="shared" si="8"/>
        <v>5625392.9825296514</v>
      </c>
      <c r="G26" s="127">
        <f t="shared" si="8"/>
        <v>5930720.0989606977</v>
      </c>
      <c r="H26" s="127">
        <f t="shared" si="8"/>
        <v>6177566.6146872751</v>
      </c>
      <c r="I26" s="127">
        <f t="shared" si="8"/>
        <v>6366687.1802203674</v>
      </c>
      <c r="J26" s="127">
        <f t="shared" si="8"/>
        <v>6505428.0515719876</v>
      </c>
      <c r="K26" s="127">
        <f t="shared" si="8"/>
        <v>6594390.871682182</v>
      </c>
      <c r="L26" s="127">
        <f t="shared" si="8"/>
        <v>6174767.0309367608</v>
      </c>
      <c r="M26" s="127">
        <f t="shared" si="8"/>
        <v>5570036.9384280182</v>
      </c>
      <c r="N26" s="127">
        <f t="shared" si="8"/>
        <v>4944942.3982046843</v>
      </c>
      <c r="O26" s="127">
        <f t="shared" si="8"/>
        <v>4322572.9356959406</v>
      </c>
      <c r="P26" s="127">
        <f t="shared" si="8"/>
        <v>-7530329.8285459038</v>
      </c>
      <c r="Q26" s="127">
        <f t="shared" si="8"/>
        <v>-7757588.7284704847</v>
      </c>
      <c r="R26" s="127">
        <f t="shared" si="8"/>
        <v>-7867013.4351272313</v>
      </c>
      <c r="S26" s="127">
        <f t="shared" si="8"/>
        <v>-7974761.5594730563</v>
      </c>
      <c r="T26" s="127">
        <f t="shared" si="8"/>
        <v>-8086118.485268076</v>
      </c>
      <c r="U26" s="127">
        <f t="shared" si="8"/>
        <v>-8195649.2854140438</v>
      </c>
      <c r="V26" s="127">
        <f t="shared" si="8"/>
        <v>-8308667.2286251206</v>
      </c>
      <c r="W26" s="127">
        <f t="shared" si="8"/>
        <v>-8419735.2727570906</v>
      </c>
      <c r="X26" s="127">
        <f t="shared" si="8"/>
        <v>-4827342.7155122301</v>
      </c>
      <c r="Y26" s="127">
        <f t="shared" ref="Y26:AK26" si="9">Y16+Y22</f>
        <v>-529766.03681231278</v>
      </c>
      <c r="Z26" s="127">
        <f t="shared" si="9"/>
        <v>113454.76617002676</v>
      </c>
      <c r="AA26" s="127">
        <f t="shared" si="9"/>
        <v>111597.72216155889</v>
      </c>
      <c r="AB26" s="127">
        <f t="shared" si="9"/>
        <v>109680.25514389839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3046899.5179952397</v>
      </c>
      <c r="E28" s="132">
        <f t="shared" si="10"/>
        <v>321654.76276063576</v>
      </c>
      <c r="F28" s="132">
        <f t="shared" si="10"/>
        <v>281635.29967034701</v>
      </c>
      <c r="G28" s="132">
        <f t="shared" si="10"/>
        <v>296921.50175446738</v>
      </c>
      <c r="H28" s="132">
        <f t="shared" si="10"/>
        <v>309279.87256431847</v>
      </c>
      <c r="I28" s="132">
        <f t="shared" si="10"/>
        <v>318748.19367773272</v>
      </c>
      <c r="J28" s="132">
        <f t="shared" si="10"/>
        <v>325694.25540195161</v>
      </c>
      <c r="K28" s="132">
        <f t="shared" si="10"/>
        <v>330148.1789907685</v>
      </c>
      <c r="L28" s="132">
        <f t="shared" si="10"/>
        <v>309139.71140384895</v>
      </c>
      <c r="M28" s="132">
        <f t="shared" si="10"/>
        <v>278863.89932239876</v>
      </c>
      <c r="N28" s="132">
        <f t="shared" si="10"/>
        <v>247568.54116611753</v>
      </c>
      <c r="O28" s="132">
        <f t="shared" si="10"/>
        <v>216409.61402561728</v>
      </c>
      <c r="P28" s="132">
        <f t="shared" si="10"/>
        <v>-377005.96286615072</v>
      </c>
      <c r="Q28" s="132">
        <f t="shared" si="10"/>
        <v>-388383.67969087488</v>
      </c>
      <c r="R28" s="132">
        <f t="shared" si="10"/>
        <v>-393862.0276296449</v>
      </c>
      <c r="S28" s="132">
        <f t="shared" si="10"/>
        <v>-399256.43747501861</v>
      </c>
      <c r="T28" s="132">
        <f t="shared" si="10"/>
        <v>-404831.52196494624</v>
      </c>
      <c r="U28" s="132">
        <f t="shared" si="10"/>
        <v>-410315.18147425418</v>
      </c>
      <c r="V28" s="132">
        <f t="shared" si="10"/>
        <v>-415973.42480111669</v>
      </c>
      <c r="W28" s="132">
        <f t="shared" si="10"/>
        <v>-421534.04643058381</v>
      </c>
      <c r="X28" s="132">
        <f t="shared" si="10"/>
        <v>-241680.91305211981</v>
      </c>
      <c r="Y28" s="132">
        <f t="shared" ref="Y28:AK28" si="11">Y18*Y26</f>
        <v>-26522.736633008444</v>
      </c>
      <c r="Z28" s="132">
        <f t="shared" si="11"/>
        <v>5680.1128683023908</v>
      </c>
      <c r="AA28" s="132">
        <f t="shared" si="11"/>
        <v>5587.1399600184468</v>
      </c>
      <c r="AB28" s="132">
        <f t="shared" si="11"/>
        <v>5491.1419737792739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Confidential Exhibit NMC-R7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C35" sqref="C35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str">
        <f>SIT!AC2</f>
        <v>Year 26</v>
      </c>
      <c r="AD1" s="129" t="str">
        <f>SIT!AD2</f>
        <v>Year 27</v>
      </c>
      <c r="AE1" s="129" t="str">
        <f>SIT!AE2</f>
        <v>Year 28</v>
      </c>
      <c r="AF1" s="129" t="str">
        <f>SIT!AF2</f>
        <v>Year 29</v>
      </c>
      <c r="AG1" s="129" t="str">
        <f>SIT!AG2</f>
        <v>Year 30</v>
      </c>
      <c r="AH1" s="129" t="str">
        <f>SIT!AH2</f>
        <v>Year 31</v>
      </c>
      <c r="AI1" s="129" t="str">
        <f>SIT!AI2</f>
        <v>Year 32</v>
      </c>
      <c r="AJ1" s="129" t="str">
        <f>SIT!AJ2</f>
        <v>Year 33</v>
      </c>
      <c r="AK1" s="129" t="str">
        <f>SIT!AK2</f>
        <v>Year 34</v>
      </c>
      <c r="AL1" s="129" t="str">
        <f>SIT!AL2</f>
        <v>Year 35</v>
      </c>
    </row>
    <row r="2" spans="1:38">
      <c r="A2" s="25" t="s">
        <v>41</v>
      </c>
      <c r="B2" s="25"/>
      <c r="C2" s="25"/>
      <c r="D2" s="128">
        <f>SIT!D3</f>
        <v>2028</v>
      </c>
      <c r="E2" s="128">
        <f>SIT!E3</f>
        <v>2029</v>
      </c>
      <c r="F2" s="128">
        <f>SIT!F3</f>
        <v>2030</v>
      </c>
      <c r="G2" s="128">
        <f>SIT!G3</f>
        <v>2031</v>
      </c>
      <c r="H2" s="128">
        <f>SIT!H3</f>
        <v>2032</v>
      </c>
      <c r="I2" s="128">
        <f>SIT!I3</f>
        <v>2033</v>
      </c>
      <c r="J2" s="128">
        <f>SIT!J3</f>
        <v>2034</v>
      </c>
      <c r="K2" s="128">
        <f>SIT!K3</f>
        <v>2035</v>
      </c>
      <c r="L2" s="128">
        <f>SIT!L3</f>
        <v>2036</v>
      </c>
      <c r="M2" s="128">
        <f>SIT!M3</f>
        <v>2037</v>
      </c>
      <c r="N2" s="128">
        <f>SIT!N3</f>
        <v>2038</v>
      </c>
      <c r="O2" s="128">
        <f>SIT!O3</f>
        <v>2039</v>
      </c>
      <c r="P2" s="128">
        <f>SIT!P3</f>
        <v>2040</v>
      </c>
      <c r="Q2" s="128">
        <f>SIT!Q3</f>
        <v>2041</v>
      </c>
      <c r="R2" s="128">
        <f>SIT!R3</f>
        <v>2042</v>
      </c>
      <c r="S2" s="128">
        <f>SIT!S3</f>
        <v>2043</v>
      </c>
      <c r="T2" s="128">
        <f>SIT!T3</f>
        <v>2044</v>
      </c>
      <c r="U2" s="128">
        <f>SIT!U3</f>
        <v>2045</v>
      </c>
      <c r="V2" s="128">
        <f>SIT!V3</f>
        <v>2046</v>
      </c>
      <c r="W2" s="128">
        <f>SIT!W3</f>
        <v>2047</v>
      </c>
      <c r="X2" s="128">
        <f>SIT!X3</f>
        <v>2048</v>
      </c>
      <c r="Y2" s="128">
        <f>SIT!Y3</f>
        <v>2049</v>
      </c>
      <c r="Z2" s="128">
        <f>SIT!Z3</f>
        <v>2050</v>
      </c>
      <c r="AA2" s="128">
        <f>SIT!AA3</f>
        <v>2051</v>
      </c>
      <c r="AB2" s="128">
        <f>SIT!AB3</f>
        <v>2052</v>
      </c>
      <c r="AC2" s="128">
        <f>SIT!AC3</f>
        <v>0</v>
      </c>
      <c r="AD2" s="128">
        <f>SIT!AD3</f>
        <v>0</v>
      </c>
      <c r="AE2" s="128">
        <f>SIT!AE3</f>
        <v>0</v>
      </c>
      <c r="AF2" s="128">
        <f>SIT!AF3</f>
        <v>0</v>
      </c>
      <c r="AG2" s="128">
        <f>SIT!AG3</f>
        <v>0</v>
      </c>
      <c r="AH2" s="128">
        <f>SIT!AH3</f>
        <v>0</v>
      </c>
      <c r="AI2" s="128">
        <f>SIT!AI3</f>
        <v>0</v>
      </c>
      <c r="AJ2" s="128">
        <f>SIT!AJ3</f>
        <v>0</v>
      </c>
      <c r="AK2" s="128">
        <f>SIT!AK3</f>
        <v>0</v>
      </c>
      <c r="AL2" s="128">
        <f>SIT!AL3</f>
        <v>0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30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>
        <f>'OPCO Rev Req'!O13</f>
        <v>0</v>
      </c>
      <c r="R6" s="28">
        <f>'OPCO Rev Req'!P13</f>
        <v>0</v>
      </c>
      <c r="S6" s="28">
        <f>'OPCO Rev Req'!Q13</f>
        <v>0</v>
      </c>
      <c r="T6" s="28">
        <f>'OPCO Rev Req'!R13</f>
        <v>0</v>
      </c>
      <c r="U6" s="28">
        <f>'OPCO Rev Req'!S13</f>
        <v>0</v>
      </c>
      <c r="V6" s="28">
        <f>'OPCO Rev Req'!T13</f>
        <v>0</v>
      </c>
      <c r="W6" s="28">
        <f>'OPCO Rev Req'!U13</f>
        <v>0</v>
      </c>
      <c r="X6" s="28">
        <f>'OPCO Rev Req'!V13</f>
        <v>0</v>
      </c>
      <c r="Y6" s="28">
        <f>'OPCO Rev Req'!W13</f>
        <v>0</v>
      </c>
      <c r="Z6" s="28">
        <f>'OPCO Rev Req'!X13</f>
        <v>0</v>
      </c>
      <c r="AA6" s="28">
        <f>'OPCO Rev Req'!Y13</f>
        <v>0</v>
      </c>
      <c r="AB6" s="28">
        <f>'OPCO Rev Req'!Z13</f>
        <v>0</v>
      </c>
      <c r="AC6" s="28">
        <f>'OPCO Rev Req'!AA13</f>
        <v>0</v>
      </c>
      <c r="AD6" s="28">
        <f>'OPCO Rev Req'!AB13</f>
        <v>0</v>
      </c>
      <c r="AE6" s="28">
        <f>'OPCO Rev Req'!AC13</f>
        <v>0</v>
      </c>
      <c r="AF6" s="28">
        <f>'OPCO Rev Req'!AD13</f>
        <v>0</v>
      </c>
      <c r="AG6" s="28">
        <f>'OPCO Rev Req'!AE13</f>
        <v>0</v>
      </c>
      <c r="AH6" s="28">
        <f>'OPCO Rev Req'!AF13</f>
        <v>0</v>
      </c>
      <c r="AI6" s="28">
        <f>'OPCO Rev Req'!AG13</f>
        <v>0</v>
      </c>
      <c r="AJ6" s="28">
        <f>'OPCO Rev Req'!AH13</f>
        <v>0</v>
      </c>
      <c r="AK6" s="28">
        <f>'OPCO Rev Req'!AI13</f>
        <v>0</v>
      </c>
      <c r="AL6" s="28">
        <f>'OPCO Rev Req'!AJ13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9434750</v>
      </c>
      <c r="E7" s="28">
        <f>'OPCO Rev Req'!C14</f>
        <v>11844500</v>
      </c>
      <c r="F7" s="28">
        <f>'OPCO Rev Req'!D14</f>
        <v>11844500</v>
      </c>
      <c r="G7" s="28">
        <f>'OPCO Rev Req'!E14</f>
        <v>11844500</v>
      </c>
      <c r="H7" s="28">
        <f>'OPCO Rev Req'!F14</f>
        <v>11844500</v>
      </c>
      <c r="I7" s="28">
        <f>'OPCO Rev Req'!G14</f>
        <v>11844500</v>
      </c>
      <c r="J7" s="28">
        <f>'OPCO Rev Req'!H14</f>
        <v>11844500</v>
      </c>
      <c r="K7" s="28">
        <f>'OPCO Rev Req'!I14</f>
        <v>11844500</v>
      </c>
      <c r="L7" s="28">
        <f>'OPCO Rev Req'!J14</f>
        <v>11844500</v>
      </c>
      <c r="M7" s="28">
        <f>'OPCO Rev Req'!K14</f>
        <v>11844500</v>
      </c>
      <c r="N7" s="28">
        <f>'OPCO Rev Req'!L14</f>
        <v>11844500</v>
      </c>
      <c r="O7" s="28">
        <f>'OPCO Rev Req'!M14</f>
        <v>11844500</v>
      </c>
      <c r="P7" s="28">
        <f>'OPCO Rev Req'!N14</f>
        <v>0</v>
      </c>
      <c r="Q7" s="28">
        <f>'OPCO Rev Req'!O14</f>
        <v>0</v>
      </c>
      <c r="R7" s="28">
        <f>'OPCO Rev Req'!P14</f>
        <v>0</v>
      </c>
      <c r="S7" s="28">
        <f>'OPCO Rev Req'!Q14</f>
        <v>0</v>
      </c>
      <c r="T7" s="28">
        <f>'OPCO Rev Req'!R14</f>
        <v>0</v>
      </c>
      <c r="U7" s="28">
        <f>'OPCO Rev Req'!S14</f>
        <v>0</v>
      </c>
      <c r="V7" s="28">
        <f>'OPCO Rev Req'!T14</f>
        <v>0</v>
      </c>
      <c r="W7" s="28">
        <f>'OPCO Rev Req'!U14</f>
        <v>0</v>
      </c>
      <c r="X7" s="28">
        <f>'OPCO Rev Req'!V14</f>
        <v>0</v>
      </c>
      <c r="Y7" s="28">
        <f>'OPCO Rev Req'!W14</f>
        <v>0</v>
      </c>
      <c r="Z7" s="28">
        <f>'OPCO Rev Req'!X14</f>
        <v>0</v>
      </c>
      <c r="AA7" s="28">
        <f>'OPCO Rev Req'!Y14</f>
        <v>0</v>
      </c>
      <c r="AB7" s="28">
        <f>'OPCO Rev Req'!Z14</f>
        <v>0</v>
      </c>
      <c r="AC7" s="28">
        <f>'OPCO Rev Req'!AA14</f>
        <v>0</v>
      </c>
      <c r="AD7" s="28">
        <f>'OPCO Rev Req'!AB14</f>
        <v>0</v>
      </c>
      <c r="AE7" s="28">
        <f>'OPCO Rev Req'!AC14</f>
        <v>0</v>
      </c>
      <c r="AF7" s="28">
        <f>'OPCO Rev Req'!AD14</f>
        <v>0</v>
      </c>
      <c r="AG7" s="28">
        <f>'OPCO Rev Req'!AE14</f>
        <v>0</v>
      </c>
      <c r="AH7" s="28">
        <f>'OPCO Rev Req'!AF14</f>
        <v>0</v>
      </c>
      <c r="AI7" s="28">
        <f>'OPCO Rev Req'!AG14</f>
        <v>0</v>
      </c>
      <c r="AJ7" s="28">
        <f>'OPCO Rev Req'!AH14</f>
        <v>0</v>
      </c>
      <c r="AK7" s="28">
        <f>'OPCO Rev Req'!AI14</f>
        <v>0</v>
      </c>
      <c r="AL7" s="28">
        <f>'OPCO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2087476.7796181559</v>
      </c>
      <c r="E8" s="30">
        <f>SIT!E20</f>
        <v>-827888.62139272469</v>
      </c>
      <c r="F8" s="30">
        <f>SIT!F20</f>
        <v>-817241.8047415762</v>
      </c>
      <c r="G8" s="30">
        <f>SIT!G20</f>
        <v>-752307.22456816677</v>
      </c>
      <c r="H8" s="30">
        <f>SIT!H20</f>
        <v>-691244.19255237363</v>
      </c>
      <c r="I8" s="30">
        <f>SIT!I20</f>
        <v>-633942.54849644692</v>
      </c>
      <c r="J8" s="30">
        <f>SIT!J20</f>
        <v>-579970.67093525734</v>
      </c>
      <c r="K8" s="30">
        <f>SIT!K20</f>
        <v>-529236.11258119531</v>
      </c>
      <c r="L8" s="30">
        <f>SIT!L20</f>
        <v>-504176.69002918148</v>
      </c>
      <c r="M8" s="30">
        <f>SIT!M20</f>
        <v>-488404.38295295072</v>
      </c>
      <c r="N8" s="30">
        <f>SIT!N20</f>
        <v>-473650.21348395909</v>
      </c>
      <c r="O8" s="30">
        <f>SIT!O20</f>
        <v>-458761.0214667783</v>
      </c>
      <c r="P8" s="30">
        <f>SIT!P20</f>
        <v>-465564.01065660571</v>
      </c>
      <c r="Q8" s="30">
        <f>SIT!Q20</f>
        <v>-467747.06063418114</v>
      </c>
      <c r="R8" s="30">
        <f>SIT!R20</f>
        <v>-464046.25985321519</v>
      </c>
      <c r="S8" s="30">
        <f>SIT!S20</f>
        <v>-460278.54438648559</v>
      </c>
      <c r="T8" s="30">
        <f>SIT!T20</f>
        <v>-456704.58576107613</v>
      </c>
      <c r="U8" s="30">
        <f>SIT!U20</f>
        <v>-453053.97701131372</v>
      </c>
      <c r="V8" s="30">
        <f>SIT!V20</f>
        <v>-449588.94187390676</v>
      </c>
      <c r="W8" s="30">
        <f>SIT!W20</f>
        <v>-446039.12364280596</v>
      </c>
      <c r="X8" s="30">
        <f>SIT!X20</f>
        <v>-260889.89328633141</v>
      </c>
      <c r="Y8" s="30">
        <f>SIT!Y20</f>
        <v>-44920.814011897106</v>
      </c>
      <c r="Z8" s="30">
        <f>SIT!Z20</f>
        <v>-12578.616785660935</v>
      </c>
      <c r="AA8" s="30">
        <f>SIT!AA20</f>
        <v>-12532.27319889962</v>
      </c>
      <c r="AB8" s="30">
        <f>SIT!AB20</f>
        <v>-12488.923460213455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3146530.8387964563</v>
      </c>
      <c r="E10" s="29">
        <f>SIT!E9</f>
        <v>3597062.5400034874</v>
      </c>
      <c r="F10" s="29">
        <f>SIT!F9</f>
        <v>3271328.0748182586</v>
      </c>
      <c r="G10" s="29">
        <f>SIT!G9</f>
        <v>2952137.7184952889</v>
      </c>
      <c r="H10" s="29">
        <f>SIT!H9</f>
        <v>2639014.5357609848</v>
      </c>
      <c r="I10" s="29">
        <f>SIT!I9</f>
        <v>2331493.2031068965</v>
      </c>
      <c r="J10" s="29">
        <f>SIT!J9</f>
        <v>2029163.3488186821</v>
      </c>
      <c r="K10" s="29">
        <f>SIT!K9</f>
        <v>1731624.2776529542</v>
      </c>
      <c r="L10" s="29">
        <f>SIT!L9</f>
        <v>1435452.9456902321</v>
      </c>
      <c r="M10" s="29">
        <f>SIT!M9</f>
        <v>1139408.7217377541</v>
      </c>
      <c r="N10" s="29">
        <f>SIT!N9</f>
        <v>843355.44272064441</v>
      </c>
      <c r="O10" s="29">
        <f>SIT!O9</f>
        <v>547311.21876816638</v>
      </c>
      <c r="P10" s="29">
        <f>SIT!P9</f>
        <v>569341.35448827723</v>
      </c>
      <c r="Q10" s="29">
        <f>SIT!Q9</f>
        <v>510228.66843165969</v>
      </c>
      <c r="R10" s="29">
        <f>SIT!R9</f>
        <v>451215.74870798102</v>
      </c>
      <c r="S10" s="29">
        <f>SIT!S9</f>
        <v>392312.27279208024</v>
      </c>
      <c r="T10" s="29">
        <f>SIT!T9</f>
        <v>333492.90256518725</v>
      </c>
      <c r="U10" s="29">
        <f>SIT!U9</f>
        <v>274768.52016705921</v>
      </c>
      <c r="V10" s="29">
        <f>SIT!V9</f>
        <v>216114.79136635741</v>
      </c>
      <c r="W10" s="29">
        <f>SIT!W9</f>
        <v>157543.60219027038</v>
      </c>
      <c r="X10" s="29">
        <f>SIT!X9</f>
        <v>123494.89513095758</v>
      </c>
      <c r="Y10" s="29">
        <f>SIT!Y9</f>
        <v>118281.58542588838</v>
      </c>
      <c r="Z10" s="29">
        <f>SIT!Z9</f>
        <v>117385.71628205202</v>
      </c>
      <c r="AA10" s="29">
        <f>SIT!AA9</f>
        <v>116490.04791570199</v>
      </c>
      <c r="AB10" s="29">
        <f>SIT!AB9</f>
        <v>115594.17877186564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-14668757.618414611</v>
      </c>
      <c r="E12" s="31">
        <f t="shared" ref="E12:N12" si="0">E4-E6-E7-E8-E9-E10</f>
        <v>-14613673.918610763</v>
      </c>
      <c r="F12" s="31">
        <f t="shared" si="0"/>
        <v>-14298586.270076683</v>
      </c>
      <c r="G12" s="31">
        <f t="shared" si="0"/>
        <v>-14044330.493927123</v>
      </c>
      <c r="H12" s="31">
        <f t="shared" si="0"/>
        <v>-13792270.343208611</v>
      </c>
      <c r="I12" s="31">
        <f t="shared" si="0"/>
        <v>-13542050.654610449</v>
      </c>
      <c r="J12" s="31">
        <f t="shared" si="0"/>
        <v>-13293692.677883424</v>
      </c>
      <c r="K12" s="31">
        <f t="shared" si="0"/>
        <v>-13046888.165071759</v>
      </c>
      <c r="L12" s="31">
        <f t="shared" si="0"/>
        <v>-12775776.25566105</v>
      </c>
      <c r="M12" s="31">
        <f t="shared" si="0"/>
        <v>-12495504.338784803</v>
      </c>
      <c r="N12" s="31">
        <f t="shared" si="0"/>
        <v>-12214205.229236685</v>
      </c>
      <c r="O12" s="31">
        <f t="shared" ref="O12:X12" si="1">O4-O6-O7-O8-O9-O10</f>
        <v>-11933050.197301388</v>
      </c>
      <c r="P12" s="31">
        <f t="shared" si="1"/>
        <v>-103777.34383167152</v>
      </c>
      <c r="Q12" s="31">
        <f t="shared" si="1"/>
        <v>-42481.607797478558</v>
      </c>
      <c r="R12" s="31">
        <f t="shared" si="1"/>
        <v>12830.511145234166</v>
      </c>
      <c r="S12" s="31">
        <f t="shared" si="1"/>
        <v>67966.271594405349</v>
      </c>
      <c r="T12" s="31">
        <f t="shared" si="1"/>
        <v>123211.68319588888</v>
      </c>
      <c r="U12" s="31">
        <f t="shared" si="1"/>
        <v>178285.45684425451</v>
      </c>
      <c r="V12" s="31">
        <f t="shared" si="1"/>
        <v>233474.15050754935</v>
      </c>
      <c r="W12" s="31">
        <f t="shared" si="1"/>
        <v>288495.52145253558</v>
      </c>
      <c r="X12" s="31">
        <f t="shared" si="1"/>
        <v>137394.99815537385</v>
      </c>
      <c r="Y12" s="31">
        <f t="shared" ref="Y12:AL12" si="2">Y4-Y6-Y7-Y8-Y9-Y10</f>
        <v>-73360.771413991271</v>
      </c>
      <c r="Z12" s="31">
        <f t="shared" si="2"/>
        <v>-104807.09949639108</v>
      </c>
      <c r="AA12" s="31">
        <f t="shared" si="2"/>
        <v>-103957.77471680236</v>
      </c>
      <c r="AB12" s="31">
        <f t="shared" si="2"/>
        <v>-103105.25531165219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54276612.5</v>
      </c>
      <c r="E15" s="34">
        <f>SIT!E14</f>
        <v>-1094712.7300000011</v>
      </c>
      <c r="F15" s="34">
        <f>SIT!F14</f>
        <v>-1207787.3199999994</v>
      </c>
      <c r="G15" s="34">
        <f>SIT!G14</f>
        <v>-229972.18000000066</v>
      </c>
      <c r="H15" s="34">
        <f>SIT!H14</f>
        <v>676579.70000000205</v>
      </c>
      <c r="I15" s="34">
        <f>SIT!I14</f>
        <v>1513603.3399999996</v>
      </c>
      <c r="J15" s="34">
        <f>SIT!J14</f>
        <v>2289309.5900000008</v>
      </c>
      <c r="K15" s="34">
        <f>SIT!K14</f>
        <v>3005144.3</v>
      </c>
      <c r="L15" s="34">
        <f>SIT!L14</f>
        <v>3209510.72</v>
      </c>
      <c r="M15" s="34">
        <f>SIT!M14</f>
        <v>3228503.0900000003</v>
      </c>
      <c r="N15" s="34">
        <f>SIT!N14</f>
        <v>3227150.0899999994</v>
      </c>
      <c r="O15" s="34">
        <f>SIT!O14</f>
        <v>3228503.0900000003</v>
      </c>
      <c r="P15" s="34">
        <f>SIT!P14</f>
        <v>-8729849.9100000001</v>
      </c>
      <c r="Q15" s="34">
        <f>SIT!Q14</f>
        <v>-8832566.9100000001</v>
      </c>
      <c r="R15" s="34">
        <f>SIT!R14</f>
        <v>-8817659.9100000001</v>
      </c>
      <c r="S15" s="34">
        <f>SIT!S14</f>
        <v>-8801306.9100000001</v>
      </c>
      <c r="T15" s="34">
        <f>SIT!T14</f>
        <v>-8788739.9100000001</v>
      </c>
      <c r="U15" s="34">
        <f>SIT!U14</f>
        <v>-8774546.9099999983</v>
      </c>
      <c r="V15" s="34">
        <f>SIT!V14</f>
        <v>-8763989.9100000001</v>
      </c>
      <c r="W15" s="34">
        <f>SIT!W14</f>
        <v>-8751656.9100000001</v>
      </c>
      <c r="X15" s="34">
        <f>SIT!X14</f>
        <v>-5087528.6399999997</v>
      </c>
      <c r="Y15" s="34">
        <f>SIT!Y14</f>
        <v>-778968.27</v>
      </c>
      <c r="Z15" s="34">
        <f>SIT!Z14</f>
        <v>-133860</v>
      </c>
      <c r="AA15" s="34">
        <f>SIT!AA14</f>
        <v>-133829.99999999997</v>
      </c>
      <c r="AB15" s="34">
        <f>SIT!AB14</f>
        <v>-133860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39607854.881585389</v>
      </c>
      <c r="E17" s="35">
        <f t="shared" ref="E17:N17" si="3">SUM(E12:E15)</f>
        <v>-15708386.648610763</v>
      </c>
      <c r="F17" s="35">
        <f t="shared" si="3"/>
        <v>-15506373.590076681</v>
      </c>
      <c r="G17" s="35">
        <f t="shared" si="3"/>
        <v>-14274302.673927125</v>
      </c>
      <c r="H17" s="35">
        <f t="shared" si="3"/>
        <v>-13115690.643208608</v>
      </c>
      <c r="I17" s="35">
        <f t="shared" si="3"/>
        <v>-12028447.31461045</v>
      </c>
      <c r="J17" s="35">
        <f t="shared" si="3"/>
        <v>-11004383.087883424</v>
      </c>
      <c r="K17" s="35">
        <f t="shared" si="3"/>
        <v>-10041743.865071759</v>
      </c>
      <c r="L17" s="35">
        <f t="shared" si="3"/>
        <v>-9566265.5356610492</v>
      </c>
      <c r="M17" s="35">
        <f t="shared" si="3"/>
        <v>-9267001.2487848029</v>
      </c>
      <c r="N17" s="35">
        <f t="shared" si="3"/>
        <v>-8987055.1392366849</v>
      </c>
      <c r="O17" s="35">
        <f t="shared" ref="O17:X17" si="4">SUM(O12:O15)</f>
        <v>-8704547.1073013879</v>
      </c>
      <c r="P17" s="35">
        <f t="shared" si="4"/>
        <v>-8833627.2538316716</v>
      </c>
      <c r="Q17" s="35">
        <f t="shared" si="4"/>
        <v>-8875048.5177974794</v>
      </c>
      <c r="R17" s="35">
        <f t="shared" si="4"/>
        <v>-8804829.398854766</v>
      </c>
      <c r="S17" s="35">
        <f t="shared" si="4"/>
        <v>-8733340.638405595</v>
      </c>
      <c r="T17" s="35">
        <f t="shared" si="4"/>
        <v>-8665528.2268041112</v>
      </c>
      <c r="U17" s="35">
        <f t="shared" si="4"/>
        <v>-8596261.453155743</v>
      </c>
      <c r="V17" s="35">
        <f t="shared" si="4"/>
        <v>-8530515.7594924513</v>
      </c>
      <c r="W17" s="35">
        <f t="shared" si="4"/>
        <v>-8463161.3885474652</v>
      </c>
      <c r="X17" s="35">
        <f t="shared" si="4"/>
        <v>-4950133.6418446256</v>
      </c>
      <c r="Y17" s="35">
        <f t="shared" ref="Y17:AL17" si="5">SUM(Y12:Y15)</f>
        <v>-852329.04141399125</v>
      </c>
      <c r="Z17" s="35">
        <f t="shared" si="5"/>
        <v>-238667.09949639108</v>
      </c>
      <c r="AA17" s="35">
        <f t="shared" si="5"/>
        <v>-237787.77471680235</v>
      </c>
      <c r="AB17" s="35">
        <f t="shared" si="5"/>
        <v>-236965.2553116522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8317649.5251329318</v>
      </c>
      <c r="E21" s="35">
        <f t="shared" ref="E21:N21" si="6">E19*E17</f>
        <v>-3298761.19620826</v>
      </c>
      <c r="F21" s="35">
        <f t="shared" si="6"/>
        <v>-3256338.4539161031</v>
      </c>
      <c r="G21" s="35">
        <f t="shared" si="6"/>
        <v>-2997603.5615246962</v>
      </c>
      <c r="H21" s="35">
        <f t="shared" si="6"/>
        <v>-2754295.0350738075</v>
      </c>
      <c r="I21" s="35">
        <f t="shared" si="6"/>
        <v>-2525973.9360681945</v>
      </c>
      <c r="J21" s="35">
        <f t="shared" si="6"/>
        <v>-2310920.448455519</v>
      </c>
      <c r="K21" s="35">
        <f t="shared" si="6"/>
        <v>-2108766.2116650692</v>
      </c>
      <c r="L21" s="35">
        <f t="shared" si="6"/>
        <v>-2008915.7624888204</v>
      </c>
      <c r="M21" s="35">
        <f t="shared" si="6"/>
        <v>-1946070.2622448085</v>
      </c>
      <c r="N21" s="35">
        <f t="shared" si="6"/>
        <v>-1887281.5792397037</v>
      </c>
      <c r="O21" s="35">
        <f t="shared" ref="O21:X21" si="7">O19*O17</f>
        <v>-1827954.8925332914</v>
      </c>
      <c r="P21" s="35">
        <f t="shared" si="7"/>
        <v>-1855061.723304651</v>
      </c>
      <c r="Q21" s="35">
        <f t="shared" si="7"/>
        <v>-1863760.1887374707</v>
      </c>
      <c r="R21" s="35">
        <f t="shared" si="7"/>
        <v>-1849014.1737595007</v>
      </c>
      <c r="S21" s="35">
        <f t="shared" si="7"/>
        <v>-1834001.5340651749</v>
      </c>
      <c r="T21" s="35">
        <f t="shared" si="7"/>
        <v>-1819760.9276288634</v>
      </c>
      <c r="U21" s="35">
        <f t="shared" si="7"/>
        <v>-1805214.905162706</v>
      </c>
      <c r="V21" s="35">
        <f t="shared" si="7"/>
        <v>-1791408.3094934148</v>
      </c>
      <c r="W21" s="35">
        <f t="shared" si="7"/>
        <v>-1777263.8915949676</v>
      </c>
      <c r="X21" s="35">
        <f t="shared" si="7"/>
        <v>-1039528.0647873713</v>
      </c>
      <c r="Y21" s="35">
        <f t="shared" ref="Y21:AL21" si="8">Y19*Y17</f>
        <v>-178989.09869693816</v>
      </c>
      <c r="Z21" s="35">
        <f t="shared" si="8"/>
        <v>-50120.090894242123</v>
      </c>
      <c r="AA21" s="35">
        <f t="shared" si="8"/>
        <v>-49935.432690528491</v>
      </c>
      <c r="AB21" s="35">
        <f t="shared" si="8"/>
        <v>-49762.703615446961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8317649.5251329318</v>
      </c>
      <c r="E25" s="132">
        <f t="shared" ref="E25:N25" si="9">E21</f>
        <v>-3298761.19620826</v>
      </c>
      <c r="F25" s="132">
        <f t="shared" si="9"/>
        <v>-3256338.4539161031</v>
      </c>
      <c r="G25" s="132">
        <f t="shared" si="9"/>
        <v>-2997603.5615246962</v>
      </c>
      <c r="H25" s="132">
        <f t="shared" si="9"/>
        <v>-2754295.0350738075</v>
      </c>
      <c r="I25" s="132">
        <f t="shared" si="9"/>
        <v>-2525973.9360681945</v>
      </c>
      <c r="J25" s="132">
        <f t="shared" si="9"/>
        <v>-2310920.448455519</v>
      </c>
      <c r="K25" s="132">
        <f t="shared" si="9"/>
        <v>-2108766.2116650692</v>
      </c>
      <c r="L25" s="132">
        <f t="shared" si="9"/>
        <v>-2008915.7624888204</v>
      </c>
      <c r="M25" s="132">
        <f t="shared" si="9"/>
        <v>-1946070.2622448085</v>
      </c>
      <c r="N25" s="132">
        <f t="shared" si="9"/>
        <v>-1887281.5792397037</v>
      </c>
      <c r="O25" s="132">
        <f t="shared" ref="O25:X25" si="10">O21</f>
        <v>-1827954.8925332914</v>
      </c>
      <c r="P25" s="132">
        <f t="shared" si="10"/>
        <v>-1855061.723304651</v>
      </c>
      <c r="Q25" s="132">
        <f t="shared" si="10"/>
        <v>-1863760.1887374707</v>
      </c>
      <c r="R25" s="132">
        <f t="shared" si="10"/>
        <v>-1849014.1737595007</v>
      </c>
      <c r="S25" s="132">
        <f t="shared" si="10"/>
        <v>-1834001.5340651749</v>
      </c>
      <c r="T25" s="132">
        <f t="shared" si="10"/>
        <v>-1819760.9276288634</v>
      </c>
      <c r="U25" s="132">
        <f t="shared" si="10"/>
        <v>-1805214.905162706</v>
      </c>
      <c r="V25" s="132">
        <f t="shared" si="10"/>
        <v>-1791408.3094934148</v>
      </c>
      <c r="W25" s="132">
        <f t="shared" si="10"/>
        <v>-1777263.8915949676</v>
      </c>
      <c r="X25" s="132">
        <f t="shared" si="10"/>
        <v>-1039528.0647873713</v>
      </c>
      <c r="Y25" s="132">
        <f t="shared" ref="Y25:AL25" si="11">Y21</f>
        <v>-178989.09869693816</v>
      </c>
      <c r="Z25" s="132">
        <f t="shared" si="11"/>
        <v>-50120.090894242123</v>
      </c>
      <c r="AA25" s="132">
        <f t="shared" si="11"/>
        <v>-49935.432690528491</v>
      </c>
      <c r="AB25" s="132">
        <f t="shared" si="11"/>
        <v>-49762.703615446961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19163542.162730128</v>
      </c>
      <c r="E27" s="124">
        <f>'OPCO Rev Req'!C28</f>
        <v>22961018.359200247</v>
      </c>
      <c r="F27" s="124">
        <f>'OPCO Rev Req'!D28</f>
        <v>21949008.377347909</v>
      </c>
      <c r="G27" s="124">
        <f>'OPCO Rev Req'!E28</f>
        <v>20957329.997455988</v>
      </c>
      <c r="H27" s="124">
        <f>'OPCO Rev Req'!F28</f>
        <v>19984501.450448256</v>
      </c>
      <c r="I27" s="124">
        <f>'OPCO Rev Req'!G28</f>
        <v>19029077.043327264</v>
      </c>
      <c r="J27" s="124">
        <f>'OPCO Rev Req'!H28</f>
        <v>18089781.81039067</v>
      </c>
      <c r="K27" s="124">
        <f>'OPCO Rev Req'!I28</f>
        <v>17165370.849335138</v>
      </c>
      <c r="L27" s="124">
        <f>'OPCO Rev Req'!J28</f>
        <v>16245209.256626992</v>
      </c>
      <c r="M27" s="124">
        <f>'OPCO Rev Req'!K28</f>
        <v>15325442.570165772</v>
      </c>
      <c r="N27" s="124">
        <f>'OPCO Rev Req'!L28</f>
        <v>14405647.750925329</v>
      </c>
      <c r="O27" s="124">
        <f>'OPCO Rev Req'!M28</f>
        <v>13485881.064464107</v>
      </c>
      <c r="P27" s="124">
        <f>'OPCO Rev Req'!N28</f>
        <v>1768861.4359423744</v>
      </c>
      <c r="Q27" s="124">
        <f>'OPCO Rev Req'!O28</f>
        <v>1585206.8499611756</v>
      </c>
      <c r="R27" s="124">
        <f>'OPCO Rev Req'!P28</f>
        <v>1401862.2235807509</v>
      </c>
      <c r="S27" s="124">
        <f>'OPCO Rev Req'!Q28</f>
        <v>1218857.6233190238</v>
      </c>
      <c r="T27" s="124">
        <f>'OPCO Rev Req'!R28</f>
        <v>1036114.3272971109</v>
      </c>
      <c r="U27" s="124">
        <f>'OPCO Rev Req'!S28</f>
        <v>853666.14475301257</v>
      </c>
      <c r="V27" s="124">
        <f>'OPCO Rev Req'!T28</f>
        <v>671437.47274123668</v>
      </c>
      <c r="W27" s="124">
        <f>'OPCO Rev Req'!U28</f>
        <v>489465.23943318031</v>
      </c>
      <c r="X27" s="124">
        <f>'OPCO Rev Req'!V28</f>
        <v>383680.81961872737</v>
      </c>
      <c r="Y27" s="124">
        <f>'OPCO Rev Req'!W28</f>
        <v>367483.81861357566</v>
      </c>
      <c r="Z27" s="124">
        <f>'OPCO Rev Req'!X28</f>
        <v>364700.48245207878</v>
      </c>
      <c r="AA27" s="124">
        <f>'OPCO Rev Req'!Y28</f>
        <v>361917.77007726085</v>
      </c>
      <c r="AB27" s="124">
        <f>'OPCO Rev Req'!Z28</f>
        <v>359134.43391576404</v>
      </c>
      <c r="AC27" s="124">
        <f>'OPCO Rev Req'!AA28</f>
        <v>0</v>
      </c>
      <c r="AD27" s="124">
        <f>'OPCO Rev Req'!AB28</f>
        <v>0</v>
      </c>
      <c r="AE27" s="124">
        <f>'OPCO Rev Req'!AC28</f>
        <v>0</v>
      </c>
      <c r="AF27" s="124">
        <f>'OPCO Rev Req'!AD28</f>
        <v>0</v>
      </c>
      <c r="AG27" s="124">
        <f>'OPCO Rev Req'!AE28</f>
        <v>0</v>
      </c>
      <c r="AH27" s="124">
        <f>'OPCO Rev Req'!AF28</f>
        <v>0</v>
      </c>
      <c r="AI27" s="124">
        <f>'OPCO Rev Req'!AG28</f>
        <v>0</v>
      </c>
      <c r="AJ27" s="124">
        <f>'OPCO Rev Req'!AH28</f>
        <v>0</v>
      </c>
      <c r="AK27" s="124">
        <f>'OPCO Rev Req'!AI28</f>
        <v>0</v>
      </c>
      <c r="AL27" s="124">
        <f>'OPCO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58771397.044315517</v>
      </c>
      <c r="E29" s="127">
        <f t="shared" ref="E29:X29" si="12">E27+E17</f>
        <v>7252631.7105894834</v>
      </c>
      <c r="F29" s="127">
        <f t="shared" si="12"/>
        <v>6442634.7872712277</v>
      </c>
      <c r="G29" s="127">
        <f t="shared" si="12"/>
        <v>6683027.3235288635</v>
      </c>
      <c r="H29" s="127">
        <f t="shared" si="12"/>
        <v>6868810.807239648</v>
      </c>
      <c r="I29" s="127">
        <f t="shared" si="12"/>
        <v>7000629.7287168149</v>
      </c>
      <c r="J29" s="127">
        <f t="shared" si="12"/>
        <v>7085398.7225072458</v>
      </c>
      <c r="K29" s="127">
        <f t="shared" si="12"/>
        <v>7123626.9842633791</v>
      </c>
      <c r="L29" s="127">
        <f t="shared" si="12"/>
        <v>6678943.7209659424</v>
      </c>
      <c r="M29" s="127">
        <f t="shared" si="12"/>
        <v>6058441.3213809691</v>
      </c>
      <c r="N29" s="127">
        <f t="shared" si="12"/>
        <v>5418592.6116886437</v>
      </c>
      <c r="O29" s="127">
        <f t="shared" si="12"/>
        <v>4781333.9571627192</v>
      </c>
      <c r="P29" s="127">
        <f t="shared" si="12"/>
        <v>-7064765.8178892974</v>
      </c>
      <c r="Q29" s="127">
        <f t="shared" si="12"/>
        <v>-7289841.6678363038</v>
      </c>
      <c r="R29" s="127">
        <f t="shared" si="12"/>
        <v>-7402967.1752740154</v>
      </c>
      <c r="S29" s="127">
        <f t="shared" si="12"/>
        <v>-7514483.0150865708</v>
      </c>
      <c r="T29" s="127">
        <f t="shared" si="12"/>
        <v>-7629413.8995070001</v>
      </c>
      <c r="U29" s="127">
        <f t="shared" si="12"/>
        <v>-7742595.3084027302</v>
      </c>
      <c r="V29" s="127">
        <f t="shared" si="12"/>
        <v>-7859078.2867512144</v>
      </c>
      <c r="W29" s="127">
        <f t="shared" si="12"/>
        <v>-7973696.1491142847</v>
      </c>
      <c r="X29" s="127">
        <f t="shared" si="12"/>
        <v>-4566452.8222258985</v>
      </c>
      <c r="Y29" s="127">
        <f t="shared" ref="Y29:AL29" si="13">Y27+Y17</f>
        <v>-484845.22280041559</v>
      </c>
      <c r="Z29" s="127">
        <f t="shared" si="13"/>
        <v>126033.3829556877</v>
      </c>
      <c r="AA29" s="127">
        <f t="shared" si="13"/>
        <v>124129.9953604585</v>
      </c>
      <c r="AB29" s="127">
        <f t="shared" si="13"/>
        <v>122169.17860411183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12341993.379306259</v>
      </c>
      <c r="E31" s="132">
        <f t="shared" ref="E31:X31" si="14">E29*E19</f>
        <v>1523052.6592237914</v>
      </c>
      <c r="F31" s="132">
        <f t="shared" si="14"/>
        <v>1352953.3053269577</v>
      </c>
      <c r="G31" s="132">
        <f t="shared" si="14"/>
        <v>1403435.7379410614</v>
      </c>
      <c r="H31" s="132">
        <f t="shared" si="14"/>
        <v>1442450.2695203261</v>
      </c>
      <c r="I31" s="132">
        <f t="shared" si="14"/>
        <v>1470132.2430305311</v>
      </c>
      <c r="J31" s="132">
        <f t="shared" si="14"/>
        <v>1487933.7317265216</v>
      </c>
      <c r="K31" s="132">
        <f t="shared" si="14"/>
        <v>1495961.6666953096</v>
      </c>
      <c r="L31" s="132">
        <f t="shared" si="14"/>
        <v>1402578.1814028479</v>
      </c>
      <c r="M31" s="132">
        <f t="shared" si="14"/>
        <v>1272272.6774900034</v>
      </c>
      <c r="N31" s="132">
        <f t="shared" si="14"/>
        <v>1137904.4484546152</v>
      </c>
      <c r="O31" s="132">
        <f t="shared" si="14"/>
        <v>1004080.131004171</v>
      </c>
      <c r="P31" s="132">
        <f t="shared" si="14"/>
        <v>-1483600.8217567524</v>
      </c>
      <c r="Q31" s="132">
        <f t="shared" si="14"/>
        <v>-1530866.7502456238</v>
      </c>
      <c r="R31" s="132">
        <f t="shared" si="14"/>
        <v>-1554623.1068075432</v>
      </c>
      <c r="S31" s="132">
        <f t="shared" si="14"/>
        <v>-1578041.4331681798</v>
      </c>
      <c r="T31" s="132">
        <f t="shared" si="14"/>
        <v>-1602176.91889647</v>
      </c>
      <c r="U31" s="132">
        <f t="shared" si="14"/>
        <v>-1625945.0147645732</v>
      </c>
      <c r="V31" s="132">
        <f t="shared" si="14"/>
        <v>-1650406.440217755</v>
      </c>
      <c r="W31" s="132">
        <f t="shared" si="14"/>
        <v>-1674476.1913139997</v>
      </c>
      <c r="X31" s="132">
        <f t="shared" si="14"/>
        <v>-958955.09266743867</v>
      </c>
      <c r="Y31" s="132">
        <f t="shared" ref="Y31:AL31" si="15">Y29*Y19</f>
        <v>-101817.49678808727</v>
      </c>
      <c r="Z31" s="132">
        <f t="shared" si="15"/>
        <v>26467.010420694416</v>
      </c>
      <c r="AA31" s="132">
        <f t="shared" si="15"/>
        <v>26067.299025696284</v>
      </c>
      <c r="AB31" s="132">
        <f t="shared" si="15"/>
        <v>25655.527506863484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Confidential Exhibit NMC-R7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I6"/>
  <sheetViews>
    <sheetView zoomScaleNormal="100" workbookViewId="0">
      <selection activeCell="C3" sqref="C3"/>
    </sheetView>
  </sheetViews>
  <sheetFormatPr defaultRowHeight="12.75"/>
  <cols>
    <col min="2" max="2" width="13.85546875" bestFit="1" customWidth="1"/>
    <col min="3" max="3" width="12.140625" bestFit="1" customWidth="1"/>
    <col min="4" max="6" width="14.85546875" bestFit="1" customWidth="1"/>
    <col min="7" max="7" width="14.85546875" customWidth="1"/>
    <col min="8" max="8" width="13.28515625" bestFit="1" customWidth="1"/>
  </cols>
  <sheetData>
    <row r="3" spans="2:9">
      <c r="C3">
        <v>2025</v>
      </c>
      <c r="D3">
        <v>2026</v>
      </c>
      <c r="E3">
        <v>2027</v>
      </c>
      <c r="F3">
        <v>2028</v>
      </c>
      <c r="G3">
        <v>2029</v>
      </c>
    </row>
    <row r="4" spans="2:9">
      <c r="B4" t="s">
        <v>320</v>
      </c>
      <c r="C4" s="153">
        <v>1633000</v>
      </c>
      <c r="D4" s="204">
        <f>34632000+2100000</f>
        <v>36732000</v>
      </c>
      <c r="E4" s="153">
        <v>103101000</v>
      </c>
      <c r="F4" s="153">
        <v>22751000</v>
      </c>
      <c r="G4" s="153">
        <v>0</v>
      </c>
      <c r="H4" s="127">
        <f>SUM(C4:G4)</f>
        <v>164217000</v>
      </c>
      <c r="I4" s="200"/>
    </row>
    <row r="5" spans="2:9">
      <c r="B5" t="s">
        <v>357</v>
      </c>
      <c r="C5" s="153">
        <v>0</v>
      </c>
      <c r="D5" s="153">
        <v>0</v>
      </c>
      <c r="E5" s="153">
        <v>0</v>
      </c>
      <c r="F5" s="153">
        <v>0</v>
      </c>
      <c r="G5" s="153">
        <v>0</v>
      </c>
      <c r="H5" s="127">
        <v>51000000</v>
      </c>
    </row>
    <row r="6" spans="2:9">
      <c r="B6" t="s">
        <v>353</v>
      </c>
      <c r="C6" s="127">
        <f t="shared" ref="C6:H6" si="0">C4-C5</f>
        <v>1633000</v>
      </c>
      <c r="D6" s="127">
        <f t="shared" si="0"/>
        <v>36732000</v>
      </c>
      <c r="E6" s="127">
        <f t="shared" si="0"/>
        <v>103101000</v>
      </c>
      <c r="F6" s="127">
        <f t="shared" si="0"/>
        <v>22751000</v>
      </c>
      <c r="G6" s="127">
        <f t="shared" si="0"/>
        <v>0</v>
      </c>
      <c r="H6" s="127">
        <f t="shared" si="0"/>
        <v>113217000</v>
      </c>
    </row>
  </sheetData>
  <pageMargins left="0.7" right="0.7" top="0.75" bottom="0.75" header="0.3" footer="0.3"/>
  <pageSetup orientation="portrait" r:id="rId1"/>
  <headerFooter>
    <oddHeader>&amp;RCase No. 2026-00001
Confidential Exhibit NMC-R7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zoomScale="115" zoomScaleNormal="115" workbookViewId="0">
      <selection sqref="A1:T22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53"/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</row>
    <row r="2" spans="1:20">
      <c r="A2" s="254"/>
      <c r="B2" s="255"/>
      <c r="C2" s="255"/>
      <c r="D2" s="255"/>
      <c r="E2" s="255"/>
      <c r="F2" s="256"/>
      <c r="G2" s="255"/>
      <c r="H2" s="255"/>
      <c r="I2" s="255"/>
      <c r="J2" s="255"/>
      <c r="K2" s="255"/>
      <c r="L2" s="255"/>
      <c r="M2" s="255"/>
      <c r="N2" s="255"/>
      <c r="O2" s="255"/>
      <c r="P2" s="256"/>
      <c r="Q2" s="254"/>
      <c r="R2" s="254"/>
      <c r="S2" s="254"/>
      <c r="T2" s="254"/>
    </row>
    <row r="3" spans="1:20">
      <c r="A3" s="256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4"/>
    </row>
    <row r="4" spans="1:20" ht="15">
      <c r="A4" s="254"/>
      <c r="B4" s="257"/>
      <c r="C4" s="257"/>
      <c r="D4" s="257"/>
      <c r="E4" s="258"/>
      <c r="F4" s="258"/>
      <c r="G4" s="258"/>
      <c r="H4" s="257"/>
      <c r="I4" s="258"/>
      <c r="J4" s="257"/>
      <c r="K4" s="257"/>
      <c r="L4" s="258"/>
      <c r="M4" s="259"/>
      <c r="N4" s="259"/>
      <c r="O4" s="259"/>
      <c r="P4" s="256"/>
      <c r="Q4" s="260"/>
      <c r="R4" s="258"/>
      <c r="S4" s="258"/>
      <c r="T4" s="258"/>
    </row>
    <row r="5" spans="1:20" ht="15">
      <c r="A5" s="254"/>
      <c r="B5" s="257"/>
      <c r="C5" s="257"/>
      <c r="D5" s="257"/>
      <c r="E5" s="258"/>
      <c r="F5" s="258"/>
      <c r="G5" s="258"/>
      <c r="H5" s="257"/>
      <c r="I5" s="258"/>
      <c r="J5" s="257"/>
      <c r="K5" s="257"/>
      <c r="L5" s="258"/>
      <c r="M5" s="259"/>
      <c r="N5" s="259"/>
      <c r="O5" s="259"/>
      <c r="P5" s="259"/>
      <c r="Q5" s="260"/>
      <c r="R5" s="258"/>
      <c r="S5" s="258"/>
      <c r="T5" s="258"/>
    </row>
    <row r="6" spans="1:20" ht="15">
      <c r="A6" s="254"/>
      <c r="B6" s="257"/>
      <c r="C6" s="257"/>
      <c r="D6" s="257"/>
      <c r="E6" s="258"/>
      <c r="F6" s="258"/>
      <c r="G6" s="258"/>
      <c r="H6" s="257"/>
      <c r="I6" s="258"/>
      <c r="J6" s="257"/>
      <c r="K6" s="257"/>
      <c r="L6" s="258"/>
      <c r="M6" s="259"/>
      <c r="N6" s="259"/>
      <c r="O6" s="259"/>
      <c r="P6" s="259"/>
      <c r="Q6" s="260"/>
      <c r="R6" s="258"/>
      <c r="S6" s="258"/>
      <c r="T6" s="258"/>
    </row>
    <row r="7" spans="1:20" ht="15">
      <c r="A7" s="254"/>
      <c r="B7" s="257"/>
      <c r="C7" s="257"/>
      <c r="D7" s="257"/>
      <c r="E7" s="258"/>
      <c r="F7" s="258"/>
      <c r="G7" s="258"/>
      <c r="H7" s="257"/>
      <c r="I7" s="258"/>
      <c r="J7" s="257"/>
      <c r="K7" s="257"/>
      <c r="L7" s="258"/>
      <c r="M7" s="259"/>
      <c r="N7" s="259"/>
      <c r="O7" s="259"/>
      <c r="P7" s="259"/>
      <c r="Q7" s="260"/>
      <c r="R7" s="258"/>
      <c r="S7" s="258"/>
      <c r="T7" s="258"/>
    </row>
    <row r="8" spans="1:20" ht="15">
      <c r="A8" s="254"/>
      <c r="B8" s="257"/>
      <c r="C8" s="257"/>
      <c r="D8" s="257"/>
      <c r="E8" s="258"/>
      <c r="F8" s="258"/>
      <c r="G8" s="258"/>
      <c r="H8" s="257"/>
      <c r="I8" s="258"/>
      <c r="J8" s="257"/>
      <c r="K8" s="257"/>
      <c r="L8" s="258"/>
      <c r="M8" s="259"/>
      <c r="N8" s="259"/>
      <c r="O8" s="259"/>
      <c r="P8" s="259"/>
      <c r="Q8" s="260"/>
      <c r="R8" s="258"/>
      <c r="S8" s="258"/>
      <c r="T8" s="258"/>
    </row>
    <row r="9" spans="1:20" ht="15">
      <c r="A9" s="254"/>
      <c r="B9" s="257"/>
      <c r="C9" s="257"/>
      <c r="D9" s="257"/>
      <c r="E9" s="258"/>
      <c r="F9" s="258"/>
      <c r="G9" s="258"/>
      <c r="H9" s="257"/>
      <c r="I9" s="258"/>
      <c r="J9" s="257"/>
      <c r="K9" s="257"/>
      <c r="L9" s="258"/>
      <c r="M9" s="259"/>
      <c r="N9" s="259"/>
      <c r="O9" s="259"/>
      <c r="P9" s="259"/>
      <c r="Q9" s="260"/>
      <c r="R9" s="258"/>
      <c r="S9" s="258"/>
      <c r="T9" s="258"/>
    </row>
    <row r="10" spans="1:20" ht="15">
      <c r="A10" s="254"/>
      <c r="B10" s="257"/>
      <c r="C10" s="257"/>
      <c r="D10" s="257"/>
      <c r="E10" s="258"/>
      <c r="F10" s="258"/>
      <c r="G10" s="258"/>
      <c r="H10" s="257"/>
      <c r="I10" s="258"/>
      <c r="J10" s="257"/>
      <c r="K10" s="257"/>
      <c r="L10" s="258"/>
      <c r="M10" s="259"/>
      <c r="N10" s="259"/>
      <c r="O10" s="259"/>
      <c r="P10" s="259"/>
      <c r="Q10" s="260"/>
      <c r="R10" s="258"/>
      <c r="S10" s="258"/>
      <c r="T10" s="258"/>
    </row>
    <row r="11" spans="1:20" ht="15">
      <c r="A11" s="254"/>
      <c r="B11" s="257"/>
      <c r="C11" s="257"/>
      <c r="D11" s="257"/>
      <c r="E11" s="258"/>
      <c r="F11" s="258"/>
      <c r="G11" s="258"/>
      <c r="H11" s="257"/>
      <c r="I11" s="258"/>
      <c r="J11" s="257"/>
      <c r="K11" s="257"/>
      <c r="L11" s="258"/>
      <c r="M11" s="259"/>
      <c r="N11" s="259"/>
      <c r="O11" s="259"/>
      <c r="P11" s="259"/>
      <c r="Q11" s="260"/>
      <c r="R11" s="258"/>
      <c r="S11" s="258"/>
      <c r="T11" s="258"/>
    </row>
    <row r="12" spans="1:20">
      <c r="A12" s="254"/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4"/>
      <c r="S12" s="254"/>
      <c r="T12" s="254"/>
    </row>
    <row r="13" spans="1:20">
      <c r="A13" s="253"/>
      <c r="B13" s="255"/>
      <c r="C13" s="255"/>
      <c r="D13" s="255"/>
      <c r="E13" s="255"/>
      <c r="F13" s="256"/>
      <c r="G13" s="255"/>
      <c r="H13" s="255"/>
      <c r="I13" s="255"/>
      <c r="J13" s="255"/>
      <c r="K13" s="255"/>
      <c r="L13" s="255"/>
      <c r="M13" s="255"/>
      <c r="N13" s="255"/>
      <c r="O13" s="255"/>
      <c r="P13" s="256"/>
      <c r="Q13" s="254"/>
      <c r="R13" s="254"/>
      <c r="S13" s="254"/>
      <c r="T13" s="254"/>
    </row>
    <row r="14" spans="1:20">
      <c r="A14" s="256"/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4"/>
    </row>
    <row r="15" spans="1:20" ht="15">
      <c r="A15" s="254"/>
      <c r="B15" s="258"/>
      <c r="C15" s="258"/>
      <c r="D15" s="257"/>
      <c r="E15" s="258"/>
      <c r="F15" s="258"/>
      <c r="G15" s="258"/>
      <c r="H15" s="258"/>
      <c r="I15" s="258"/>
      <c r="J15" s="258"/>
      <c r="K15" s="258"/>
      <c r="L15" s="258"/>
      <c r="M15" s="259"/>
      <c r="N15" s="259"/>
      <c r="O15" s="259"/>
      <c r="P15" s="254"/>
      <c r="Q15" s="260"/>
      <c r="R15" s="258"/>
      <c r="S15" s="258"/>
      <c r="T15" s="258"/>
    </row>
    <row r="16" spans="1:20" ht="15">
      <c r="A16" s="254"/>
      <c r="B16" s="258"/>
      <c r="C16" s="258"/>
      <c r="D16" s="257"/>
      <c r="E16" s="258"/>
      <c r="F16" s="258"/>
      <c r="G16" s="258"/>
      <c r="H16" s="258"/>
      <c r="I16" s="258"/>
      <c r="J16" s="258"/>
      <c r="K16" s="258"/>
      <c r="L16" s="258"/>
      <c r="M16" s="259"/>
      <c r="N16" s="259"/>
      <c r="O16" s="259"/>
      <c r="P16" s="254"/>
      <c r="Q16" s="260"/>
      <c r="R16" s="258"/>
      <c r="S16" s="258"/>
      <c r="T16" s="258"/>
    </row>
    <row r="17" spans="1:20" ht="15">
      <c r="A17" s="254"/>
      <c r="B17" s="258"/>
      <c r="C17" s="258"/>
      <c r="D17" s="257"/>
      <c r="E17" s="258"/>
      <c r="F17" s="258"/>
      <c r="G17" s="258"/>
      <c r="H17" s="258"/>
      <c r="I17" s="258"/>
      <c r="J17" s="258"/>
      <c r="K17" s="258"/>
      <c r="L17" s="258"/>
      <c r="M17" s="259"/>
      <c r="N17" s="259"/>
      <c r="O17" s="259"/>
      <c r="P17" s="254"/>
      <c r="Q17" s="260"/>
      <c r="R17" s="258"/>
      <c r="S17" s="258"/>
      <c r="T17" s="258"/>
    </row>
    <row r="18" spans="1:20" ht="15">
      <c r="A18" s="254"/>
      <c r="B18" s="258"/>
      <c r="C18" s="258"/>
      <c r="D18" s="257"/>
      <c r="E18" s="258"/>
      <c r="F18" s="258"/>
      <c r="G18" s="258"/>
      <c r="H18" s="258"/>
      <c r="I18" s="258"/>
      <c r="J18" s="258"/>
      <c r="K18" s="258"/>
      <c r="L18" s="258"/>
      <c r="M18" s="259"/>
      <c r="N18" s="259"/>
      <c r="O18" s="259"/>
      <c r="P18" s="254"/>
      <c r="Q18" s="260"/>
      <c r="R18" s="258"/>
      <c r="S18" s="258"/>
      <c r="T18" s="258"/>
    </row>
    <row r="19" spans="1:20" ht="15">
      <c r="A19" s="254"/>
      <c r="B19" s="258"/>
      <c r="C19" s="258"/>
      <c r="D19" s="257"/>
      <c r="E19" s="258"/>
      <c r="F19" s="258"/>
      <c r="G19" s="258"/>
      <c r="H19" s="258"/>
      <c r="I19" s="258"/>
      <c r="J19" s="258"/>
      <c r="K19" s="258"/>
      <c r="L19" s="258"/>
      <c r="M19" s="259"/>
      <c r="N19" s="259"/>
      <c r="O19" s="259"/>
      <c r="P19" s="254"/>
      <c r="Q19" s="260"/>
      <c r="R19" s="258"/>
      <c r="S19" s="258"/>
      <c r="T19" s="258"/>
    </row>
    <row r="20" spans="1:20" ht="15">
      <c r="A20" s="254"/>
      <c r="B20" s="258"/>
      <c r="C20" s="258"/>
      <c r="D20" s="257"/>
      <c r="E20" s="258"/>
      <c r="F20" s="258"/>
      <c r="G20" s="258"/>
      <c r="H20" s="258"/>
      <c r="I20" s="258"/>
      <c r="J20" s="258"/>
      <c r="K20" s="258"/>
      <c r="L20" s="258"/>
      <c r="M20" s="259"/>
      <c r="N20" s="259"/>
      <c r="O20" s="259"/>
      <c r="P20" s="254"/>
      <c r="Q20" s="260"/>
      <c r="R20" s="258"/>
      <c r="S20" s="258"/>
      <c r="T20" s="258"/>
    </row>
    <row r="21" spans="1:20" ht="15">
      <c r="A21" s="254"/>
      <c r="B21" s="258"/>
      <c r="C21" s="258"/>
      <c r="D21" s="257"/>
      <c r="E21" s="258"/>
      <c r="F21" s="258"/>
      <c r="G21" s="258"/>
      <c r="H21" s="258"/>
      <c r="I21" s="258"/>
      <c r="J21" s="258"/>
      <c r="K21" s="258"/>
      <c r="L21" s="258"/>
      <c r="M21" s="259"/>
      <c r="N21" s="259"/>
      <c r="O21" s="259"/>
      <c r="P21" s="254"/>
      <c r="Q21" s="260"/>
      <c r="R21" s="258"/>
      <c r="S21" s="258"/>
      <c r="T21" s="258"/>
    </row>
    <row r="22" spans="1:20" ht="15">
      <c r="A22" s="254"/>
      <c r="B22" s="258"/>
      <c r="C22" s="258"/>
      <c r="D22" s="257"/>
      <c r="E22" s="258"/>
      <c r="F22" s="258"/>
      <c r="G22" s="258"/>
      <c r="H22" s="258"/>
      <c r="I22" s="258"/>
      <c r="J22" s="258"/>
      <c r="K22" s="258"/>
      <c r="L22" s="258"/>
      <c r="M22" s="259"/>
      <c r="N22" s="259"/>
      <c r="O22" s="259"/>
      <c r="P22" s="254"/>
      <c r="Q22" s="260"/>
      <c r="R22" s="258"/>
      <c r="S22" s="258"/>
      <c r="T22" s="258"/>
    </row>
    <row r="102" spans="3:32" s="234" customFormat="1">
      <c r="C102"/>
      <c r="D102"/>
    </row>
    <row r="103" spans="3:32" s="234" customFormat="1">
      <c r="C103"/>
      <c r="D103"/>
    </row>
    <row r="104" spans="3:32" s="234" customFormat="1">
      <c r="C104"/>
      <c r="D104"/>
    </row>
    <row r="105" spans="3:32" s="234" customFormat="1">
      <c r="C105"/>
      <c r="D105"/>
    </row>
    <row r="106" spans="3:32" s="234" customFormat="1">
      <c r="C106"/>
      <c r="D106"/>
    </row>
    <row r="107" spans="3:32"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</row>
    <row r="108" spans="3:32"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</row>
    <row r="109" spans="3:32"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</row>
    <row r="110" spans="3:32"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</row>
    <row r="111" spans="3:32"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</row>
    <row r="112" spans="3:32">
      <c r="E112" s="235"/>
      <c r="F112" s="235"/>
      <c r="G112" s="235"/>
      <c r="H112" s="235"/>
      <c r="I112" s="235"/>
      <c r="J112" s="235"/>
      <c r="K112" s="235"/>
      <c r="L112" s="235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</row>
    <row r="113" spans="5:32">
      <c r="E113" s="235"/>
      <c r="F113" s="235"/>
      <c r="G113" s="235"/>
      <c r="H113" s="235"/>
      <c r="I113" s="235"/>
      <c r="J113" s="235"/>
      <c r="K113" s="235"/>
      <c r="L113" s="235"/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</row>
    <row r="114" spans="5:32">
      <c r="E114" s="235"/>
      <c r="F114" s="235"/>
      <c r="G114" s="235"/>
      <c r="H114" s="235"/>
      <c r="I114" s="235"/>
      <c r="J114" s="235"/>
      <c r="K114" s="235"/>
      <c r="L114" s="235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</row>
    <row r="115" spans="5:32">
      <c r="E115" s="235"/>
      <c r="F115" s="235"/>
      <c r="G115" s="235"/>
      <c r="H115" s="235"/>
      <c r="I115" s="235"/>
      <c r="J115" s="235"/>
      <c r="K115" s="235"/>
      <c r="L115" s="235"/>
      <c r="M115" s="235"/>
      <c r="N115" s="235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</row>
    <row r="116" spans="5:32">
      <c r="E116" s="235"/>
      <c r="F116" s="235"/>
      <c r="G116" s="235"/>
      <c r="H116" s="235"/>
      <c r="I116" s="235"/>
      <c r="J116" s="235"/>
      <c r="K116" s="235"/>
      <c r="L116" s="235"/>
      <c r="M116" s="235"/>
      <c r="N116" s="235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</row>
    <row r="117" spans="5:32">
      <c r="E117" s="235"/>
      <c r="F117" s="235"/>
      <c r="G117" s="235"/>
      <c r="H117" s="235"/>
      <c r="I117" s="235"/>
      <c r="J117" s="235"/>
      <c r="K117" s="235"/>
      <c r="L117" s="235"/>
      <c r="M117" s="235"/>
      <c r="N117" s="235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</row>
    <row r="118" spans="5:32">
      <c r="E118" s="235"/>
      <c r="F118" s="235"/>
      <c r="G118" s="235"/>
      <c r="H118" s="235"/>
      <c r="I118" s="235"/>
      <c r="J118" s="235"/>
      <c r="K118" s="235"/>
      <c r="L118" s="235"/>
      <c r="M118" s="235"/>
      <c r="N118" s="235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</row>
    <row r="119" spans="5:32">
      <c r="E119" s="235"/>
      <c r="F119" s="235"/>
      <c r="G119" s="235"/>
      <c r="H119" s="235"/>
      <c r="I119" s="235"/>
      <c r="J119" s="235"/>
      <c r="K119" s="235"/>
      <c r="L119" s="235"/>
      <c r="M119" s="235"/>
      <c r="N119" s="235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</row>
    <row r="120" spans="5:32">
      <c r="E120" s="235"/>
      <c r="F120" s="235"/>
      <c r="G120" s="235"/>
      <c r="H120" s="235"/>
      <c r="I120" s="235"/>
      <c r="J120" s="235"/>
      <c r="K120" s="235"/>
      <c r="L120" s="235"/>
      <c r="M120" s="235"/>
      <c r="N120" s="235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</row>
    <row r="121" spans="5:32"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Z121" s="235"/>
      <c r="AA121" s="235"/>
      <c r="AB121" s="235"/>
      <c r="AC121" s="235"/>
      <c r="AD121" s="235"/>
      <c r="AE121" s="235"/>
      <c r="AF121" s="235"/>
    </row>
    <row r="122" spans="5:32">
      <c r="E122" s="235"/>
      <c r="F122" s="235"/>
      <c r="G122" s="235"/>
      <c r="H122" s="235"/>
      <c r="I122" s="235"/>
      <c r="J122" s="235"/>
      <c r="K122" s="235"/>
      <c r="L122" s="235"/>
      <c r="M122" s="235"/>
      <c r="N122" s="235"/>
      <c r="O122" s="235"/>
      <c r="P122" s="235"/>
      <c r="Q122" s="235"/>
      <c r="R122" s="235"/>
      <c r="S122" s="235"/>
      <c r="T122" s="235"/>
      <c r="U122" s="235"/>
      <c r="V122" s="235"/>
      <c r="W122" s="235"/>
      <c r="X122" s="235"/>
      <c r="Y122" s="235"/>
      <c r="Z122" s="235"/>
      <c r="AA122" s="235"/>
      <c r="AB122" s="235"/>
      <c r="AC122" s="235"/>
      <c r="AD122" s="235"/>
      <c r="AE122" s="235"/>
      <c r="AF122" s="235"/>
    </row>
    <row r="123" spans="5:32">
      <c r="E123" s="235"/>
      <c r="F123" s="235"/>
      <c r="G123" s="235"/>
      <c r="H123" s="235"/>
      <c r="I123" s="235"/>
      <c r="J123" s="235"/>
      <c r="K123" s="235"/>
      <c r="L123" s="235"/>
      <c r="M123" s="235"/>
      <c r="N123" s="235"/>
      <c r="O123" s="235"/>
      <c r="P123" s="235"/>
      <c r="Q123" s="235"/>
      <c r="R123" s="235"/>
      <c r="S123" s="235"/>
      <c r="T123" s="235"/>
      <c r="U123" s="235"/>
      <c r="V123" s="235"/>
      <c r="W123" s="235"/>
      <c r="X123" s="235"/>
      <c r="Y123" s="235"/>
      <c r="Z123" s="235"/>
      <c r="AA123" s="235"/>
      <c r="AB123" s="235"/>
      <c r="AC123" s="235"/>
      <c r="AD123" s="235"/>
      <c r="AE123" s="235"/>
      <c r="AF123" s="235"/>
    </row>
    <row r="124" spans="5:32">
      <c r="E124" s="235"/>
      <c r="F124" s="235"/>
      <c r="G124" s="235"/>
      <c r="H124" s="235"/>
      <c r="I124" s="235"/>
      <c r="J124" s="235"/>
      <c r="K124" s="235"/>
      <c r="L124" s="235"/>
      <c r="M124" s="235"/>
      <c r="N124" s="235"/>
      <c r="O124" s="235"/>
      <c r="P124" s="235"/>
      <c r="Q124" s="235"/>
      <c r="R124" s="235"/>
      <c r="S124" s="235"/>
      <c r="T124" s="235"/>
      <c r="U124" s="235"/>
      <c r="V124" s="235"/>
      <c r="W124" s="235"/>
      <c r="X124" s="235"/>
      <c r="Y124" s="235"/>
      <c r="Z124" s="235"/>
      <c r="AA124" s="235"/>
      <c r="AB124" s="235"/>
      <c r="AC124" s="235"/>
      <c r="AD124" s="235"/>
      <c r="AE124" s="235"/>
      <c r="AF124" s="235"/>
    </row>
    <row r="125" spans="5:32">
      <c r="E125" s="235"/>
      <c r="F125" s="235"/>
      <c r="G125" s="235"/>
      <c r="H125" s="235"/>
      <c r="I125" s="235"/>
      <c r="J125" s="235"/>
      <c r="K125" s="235"/>
      <c r="L125" s="235"/>
      <c r="M125" s="235"/>
      <c r="N125" s="235"/>
      <c r="O125" s="235"/>
      <c r="P125" s="235"/>
      <c r="Q125" s="235"/>
      <c r="R125" s="235"/>
      <c r="S125" s="235"/>
      <c r="T125" s="235"/>
      <c r="U125" s="235"/>
      <c r="V125" s="235"/>
      <c r="W125" s="235"/>
      <c r="X125" s="235"/>
      <c r="Y125" s="235"/>
      <c r="Z125" s="235"/>
      <c r="AA125" s="235"/>
      <c r="AB125" s="235"/>
      <c r="AC125" s="235"/>
      <c r="AD125" s="235"/>
      <c r="AE125" s="235"/>
      <c r="AF125" s="235"/>
    </row>
    <row r="126" spans="5:32">
      <c r="E126" s="235"/>
      <c r="F126" s="235"/>
      <c r="G126" s="235"/>
      <c r="H126" s="235"/>
      <c r="I126" s="235"/>
      <c r="J126" s="235"/>
      <c r="K126" s="235"/>
      <c r="L126" s="235"/>
      <c r="M126" s="235"/>
      <c r="N126" s="235"/>
      <c r="O126" s="235"/>
      <c r="P126" s="235"/>
      <c r="Q126" s="235"/>
      <c r="R126" s="235"/>
      <c r="S126" s="235"/>
      <c r="T126" s="235"/>
      <c r="U126" s="235"/>
      <c r="V126" s="235"/>
      <c r="W126" s="235"/>
      <c r="X126" s="235"/>
      <c r="Y126" s="235"/>
      <c r="Z126" s="235"/>
      <c r="AA126" s="235"/>
      <c r="AB126" s="235"/>
      <c r="AC126" s="235"/>
      <c r="AD126" s="235"/>
      <c r="AE126" s="235"/>
      <c r="AF126" s="235"/>
    </row>
    <row r="127" spans="5:32">
      <c r="E127" s="235"/>
      <c r="F127" s="235"/>
      <c r="G127" s="235"/>
      <c r="H127" s="235"/>
      <c r="I127" s="235"/>
      <c r="J127" s="235"/>
      <c r="K127" s="235"/>
      <c r="L127" s="235"/>
      <c r="M127" s="235"/>
      <c r="N127" s="235"/>
      <c r="O127" s="235"/>
      <c r="P127" s="235"/>
      <c r="Q127" s="235"/>
      <c r="R127" s="235"/>
      <c r="S127" s="235"/>
      <c r="T127" s="235"/>
      <c r="U127" s="235"/>
      <c r="V127" s="235"/>
      <c r="W127" s="235"/>
      <c r="X127" s="235"/>
      <c r="Y127" s="235"/>
      <c r="Z127" s="235"/>
      <c r="AA127" s="235"/>
      <c r="AB127" s="235"/>
      <c r="AC127" s="235"/>
      <c r="AD127" s="235"/>
      <c r="AE127" s="235"/>
      <c r="AF127" s="235"/>
    </row>
    <row r="128" spans="5:32">
      <c r="E128" s="235"/>
      <c r="F128" s="235"/>
      <c r="G128" s="235"/>
      <c r="H128" s="235"/>
      <c r="I128" s="235"/>
      <c r="J128" s="235"/>
      <c r="K128" s="235"/>
      <c r="L128" s="235"/>
      <c r="M128" s="235"/>
      <c r="N128" s="235"/>
      <c r="O128" s="235"/>
      <c r="P128" s="235"/>
      <c r="Q128" s="235"/>
      <c r="R128" s="235"/>
      <c r="S128" s="235"/>
      <c r="T128" s="235"/>
      <c r="U128" s="235"/>
      <c r="V128" s="235"/>
      <c r="W128" s="235"/>
      <c r="X128" s="235"/>
      <c r="Y128" s="235"/>
      <c r="Z128" s="235"/>
      <c r="AA128" s="235"/>
      <c r="AB128" s="235"/>
      <c r="AC128" s="235"/>
      <c r="AD128" s="235"/>
      <c r="AE128" s="235"/>
      <c r="AF128" s="235"/>
    </row>
    <row r="129" spans="3:32">
      <c r="E129" s="235"/>
      <c r="F129" s="235"/>
      <c r="G129" s="235"/>
      <c r="H129" s="235"/>
      <c r="I129" s="235"/>
      <c r="J129" s="235"/>
      <c r="K129" s="235"/>
      <c r="L129" s="235"/>
      <c r="M129" s="235"/>
      <c r="N129" s="235"/>
      <c r="O129" s="235"/>
      <c r="P129" s="235"/>
      <c r="Q129" s="235"/>
      <c r="R129" s="235"/>
      <c r="S129" s="235"/>
      <c r="T129" s="235"/>
      <c r="U129" s="235"/>
      <c r="V129" s="235"/>
      <c r="W129" s="235"/>
      <c r="X129" s="235"/>
      <c r="Y129" s="235"/>
      <c r="Z129" s="235"/>
      <c r="AA129" s="235"/>
      <c r="AB129" s="235"/>
      <c r="AC129" s="235"/>
      <c r="AD129" s="235"/>
      <c r="AE129" s="235"/>
      <c r="AF129" s="235"/>
    </row>
    <row r="130" spans="3:32">
      <c r="E130" s="235"/>
      <c r="F130" s="235"/>
      <c r="G130" s="235"/>
      <c r="H130" s="235"/>
      <c r="I130" s="235"/>
      <c r="J130" s="235"/>
      <c r="K130" s="235"/>
      <c r="L130" s="235"/>
      <c r="M130" s="235"/>
      <c r="N130" s="235"/>
      <c r="O130" s="235"/>
      <c r="P130" s="235"/>
      <c r="Q130" s="235"/>
      <c r="R130" s="235"/>
      <c r="S130" s="235"/>
      <c r="T130" s="235"/>
      <c r="U130" s="235"/>
      <c r="V130" s="235"/>
      <c r="W130" s="235"/>
      <c r="X130" s="235"/>
      <c r="Y130" s="235"/>
      <c r="Z130" s="235"/>
      <c r="AA130" s="235"/>
      <c r="AB130" s="235"/>
      <c r="AC130" s="235"/>
      <c r="AD130" s="235"/>
      <c r="AE130" s="235"/>
      <c r="AF130" s="235"/>
    </row>
    <row r="131" spans="3:32">
      <c r="E131" s="235"/>
      <c r="F131" s="235"/>
      <c r="G131" s="235"/>
      <c r="H131" s="235"/>
      <c r="I131" s="235"/>
      <c r="J131" s="235"/>
      <c r="K131" s="235"/>
      <c r="L131" s="235"/>
      <c r="M131" s="235"/>
      <c r="N131" s="235"/>
      <c r="O131" s="235"/>
      <c r="P131" s="235"/>
      <c r="Q131" s="235"/>
      <c r="R131" s="235"/>
      <c r="S131" s="235"/>
      <c r="T131" s="235"/>
      <c r="U131" s="235"/>
      <c r="V131" s="235"/>
      <c r="W131" s="235"/>
      <c r="X131" s="235"/>
      <c r="Y131" s="235"/>
      <c r="Z131" s="235"/>
      <c r="AA131" s="235"/>
      <c r="AB131" s="235"/>
      <c r="AC131" s="235"/>
      <c r="AD131" s="235"/>
      <c r="AE131" s="235"/>
      <c r="AF131" s="235"/>
    </row>
    <row r="132" spans="3:32">
      <c r="E132" s="235"/>
      <c r="F132" s="235"/>
      <c r="G132" s="235"/>
      <c r="H132" s="235"/>
      <c r="I132" s="235"/>
      <c r="J132" s="235"/>
      <c r="K132" s="235"/>
      <c r="L132" s="235"/>
      <c r="M132" s="235"/>
      <c r="N132" s="235"/>
      <c r="O132" s="235"/>
      <c r="P132" s="235"/>
      <c r="Q132" s="235"/>
      <c r="R132" s="235"/>
      <c r="S132" s="235"/>
      <c r="T132" s="235"/>
      <c r="U132" s="235"/>
      <c r="V132" s="235"/>
      <c r="W132" s="235"/>
      <c r="X132" s="235"/>
      <c r="Y132" s="235"/>
      <c r="Z132" s="235"/>
      <c r="AA132" s="235"/>
      <c r="AB132" s="235"/>
      <c r="AC132" s="235"/>
      <c r="AD132" s="235"/>
      <c r="AE132" s="235"/>
      <c r="AF132" s="235"/>
    </row>
    <row r="133" spans="3:32">
      <c r="E133" s="235"/>
      <c r="F133" s="235"/>
      <c r="G133" s="235"/>
      <c r="H133" s="235"/>
      <c r="I133" s="235"/>
      <c r="J133" s="235"/>
      <c r="K133" s="235"/>
      <c r="L133" s="235"/>
      <c r="M133" s="235"/>
      <c r="N133" s="235"/>
      <c r="O133" s="235"/>
      <c r="P133" s="235"/>
      <c r="Q133" s="235"/>
      <c r="R133" s="235"/>
      <c r="S133" s="235"/>
      <c r="T133" s="235"/>
      <c r="U133" s="235"/>
      <c r="V133" s="235"/>
      <c r="W133" s="235"/>
      <c r="X133" s="235"/>
      <c r="Y133" s="235"/>
      <c r="Z133" s="235"/>
      <c r="AA133" s="235"/>
      <c r="AB133" s="235"/>
      <c r="AC133" s="235"/>
      <c r="AD133" s="235"/>
      <c r="AE133" s="235"/>
      <c r="AF133" s="235"/>
    </row>
    <row r="134" spans="3:32">
      <c r="E134" s="235"/>
      <c r="F134" s="235"/>
      <c r="G134" s="235"/>
      <c r="H134" s="235"/>
      <c r="I134" s="235"/>
      <c r="J134" s="235"/>
      <c r="K134" s="235"/>
      <c r="L134" s="235"/>
      <c r="M134" s="235"/>
      <c r="N134" s="235"/>
      <c r="O134" s="235"/>
      <c r="P134" s="235"/>
      <c r="Q134" s="235"/>
      <c r="R134" s="235"/>
      <c r="S134" s="235"/>
      <c r="T134" s="235"/>
      <c r="U134" s="235"/>
      <c r="V134" s="235"/>
      <c r="W134" s="235"/>
      <c r="X134" s="235"/>
      <c r="Y134" s="235"/>
      <c r="Z134" s="235"/>
      <c r="AA134" s="235"/>
      <c r="AB134" s="235"/>
      <c r="AC134" s="235"/>
      <c r="AD134" s="235"/>
      <c r="AE134" s="235"/>
      <c r="AF134" s="235"/>
    </row>
    <row r="135" spans="3:32">
      <c r="E135" s="235"/>
      <c r="F135" s="235"/>
      <c r="G135" s="235"/>
      <c r="H135" s="235"/>
      <c r="I135" s="235"/>
      <c r="J135" s="235"/>
      <c r="K135" s="235"/>
      <c r="L135" s="235"/>
      <c r="M135" s="235"/>
      <c r="N135" s="235"/>
      <c r="O135" s="235"/>
      <c r="P135" s="235"/>
      <c r="Q135" s="235"/>
      <c r="R135" s="235"/>
      <c r="S135" s="235"/>
      <c r="T135" s="235"/>
      <c r="U135" s="235"/>
      <c r="V135" s="235"/>
      <c r="W135" s="235"/>
      <c r="X135" s="235"/>
      <c r="Y135" s="235"/>
      <c r="Z135" s="235"/>
      <c r="AA135" s="235"/>
      <c r="AB135" s="235"/>
      <c r="AC135" s="235"/>
      <c r="AD135" s="235"/>
      <c r="AE135" s="235"/>
      <c r="AF135" s="235"/>
    </row>
    <row r="136" spans="3:32">
      <c r="E136" s="235"/>
      <c r="F136" s="235"/>
      <c r="G136" s="235"/>
      <c r="H136" s="235"/>
      <c r="I136" s="235"/>
      <c r="J136" s="235"/>
      <c r="K136" s="235"/>
      <c r="L136" s="235"/>
      <c r="M136" s="235"/>
      <c r="N136" s="235"/>
      <c r="O136" s="235"/>
      <c r="P136" s="235"/>
      <c r="Q136" s="235"/>
      <c r="R136" s="235"/>
      <c r="S136" s="235"/>
      <c r="T136" s="235"/>
      <c r="U136" s="235"/>
      <c r="V136" s="235"/>
      <c r="W136" s="235"/>
      <c r="X136" s="235"/>
      <c r="Y136" s="235"/>
      <c r="Z136" s="235"/>
      <c r="AA136" s="235"/>
      <c r="AB136" s="235"/>
      <c r="AC136" s="235"/>
      <c r="AD136" s="235"/>
      <c r="AE136" s="235"/>
      <c r="AF136" s="235"/>
    </row>
    <row r="137" spans="3:32" s="234" customFormat="1">
      <c r="C137"/>
      <c r="D137"/>
    </row>
    <row r="138" spans="3:32" s="234" customFormat="1">
      <c r="C138"/>
      <c r="D138"/>
    </row>
    <row r="139" spans="3:32" s="234" customFormat="1">
      <c r="C139"/>
      <c r="D139"/>
    </row>
    <row r="140" spans="3:32" s="234" customFormat="1">
      <c r="C140"/>
      <c r="D140"/>
    </row>
    <row r="141" spans="3:32" s="234" customFormat="1">
      <c r="C141"/>
      <c r="D141"/>
    </row>
    <row r="172" spans="3:4" s="236" customFormat="1">
      <c r="C172"/>
      <c r="D172"/>
    </row>
    <row r="173" spans="3:4" s="236" customFormat="1">
      <c r="C173"/>
      <c r="D173"/>
    </row>
    <row r="174" spans="3:4" s="236" customFormat="1">
      <c r="C174"/>
      <c r="D174"/>
    </row>
    <row r="175" spans="3:4" s="236" customFormat="1">
      <c r="C175"/>
      <c r="D175"/>
    </row>
    <row r="176" spans="3:4" s="236" customFormat="1">
      <c r="C176" s="237"/>
      <c r="D176" s="237"/>
    </row>
    <row r="247" spans="5:32">
      <c r="E247" s="235"/>
      <c r="F247" s="235"/>
      <c r="G247" s="235"/>
      <c r="H247" s="235"/>
      <c r="I247" s="235"/>
      <c r="J247" s="235"/>
      <c r="K247" s="235"/>
      <c r="L247" s="235"/>
      <c r="M247" s="235"/>
      <c r="N247" s="235"/>
      <c r="O247" s="235"/>
      <c r="P247" s="235"/>
      <c r="Q247" s="235"/>
      <c r="R247" s="235"/>
      <c r="S247" s="235"/>
      <c r="T247" s="235"/>
      <c r="U247" s="235"/>
      <c r="V247" s="235"/>
      <c r="W247" s="235"/>
      <c r="X247" s="235"/>
      <c r="Y247" s="235"/>
      <c r="Z247" s="235"/>
      <c r="AA247" s="235"/>
      <c r="AB247" s="235"/>
      <c r="AC247" s="235"/>
      <c r="AD247" s="235"/>
      <c r="AE247" s="235"/>
      <c r="AF247" s="235"/>
    </row>
    <row r="248" spans="5:32">
      <c r="E248" s="235"/>
      <c r="F248" s="235"/>
      <c r="G248" s="235"/>
      <c r="H248" s="235"/>
      <c r="I248" s="235"/>
      <c r="J248" s="235"/>
      <c r="K248" s="235"/>
      <c r="L248" s="235"/>
      <c r="M248" s="235"/>
      <c r="N248" s="235"/>
      <c r="O248" s="235"/>
      <c r="P248" s="235"/>
      <c r="Q248" s="235"/>
      <c r="R248" s="235"/>
      <c r="S248" s="235"/>
      <c r="T248" s="235"/>
      <c r="U248" s="235"/>
      <c r="V248" s="235"/>
      <c r="W248" s="235"/>
      <c r="X248" s="235"/>
      <c r="Y248" s="235"/>
      <c r="Z248" s="235"/>
      <c r="AA248" s="235"/>
      <c r="AB248" s="235"/>
      <c r="AC248" s="235"/>
      <c r="AD248" s="235"/>
      <c r="AE248" s="235"/>
      <c r="AF248" s="235"/>
    </row>
    <row r="249" spans="5:32">
      <c r="E249" s="235"/>
      <c r="F249" s="235"/>
      <c r="G249" s="235"/>
      <c r="H249" s="235"/>
      <c r="I249" s="235"/>
      <c r="J249" s="235"/>
      <c r="K249" s="235"/>
      <c r="L249" s="235"/>
      <c r="M249" s="235"/>
      <c r="N249" s="235"/>
      <c r="O249" s="235"/>
      <c r="P249" s="235"/>
      <c r="Q249" s="235"/>
      <c r="R249" s="235"/>
      <c r="S249" s="235"/>
      <c r="T249" s="235"/>
      <c r="U249" s="235"/>
      <c r="V249" s="235"/>
      <c r="W249" s="235"/>
      <c r="X249" s="235"/>
      <c r="Y249" s="235"/>
      <c r="Z249" s="235"/>
      <c r="AA249" s="235"/>
      <c r="AB249" s="235"/>
      <c r="AC249" s="235"/>
      <c r="AD249" s="235"/>
      <c r="AE249" s="235"/>
      <c r="AF249" s="235"/>
    </row>
    <row r="250" spans="5:32">
      <c r="E250" s="235"/>
      <c r="F250" s="235"/>
      <c r="G250" s="235"/>
      <c r="H250" s="235"/>
      <c r="I250" s="235"/>
      <c r="J250" s="235"/>
      <c r="K250" s="235"/>
      <c r="L250" s="235"/>
      <c r="M250" s="235"/>
      <c r="N250" s="235"/>
      <c r="O250" s="235"/>
      <c r="P250" s="235"/>
      <c r="Q250" s="235"/>
      <c r="R250" s="235"/>
      <c r="S250" s="235"/>
      <c r="T250" s="235"/>
      <c r="U250" s="235"/>
      <c r="V250" s="235"/>
      <c r="W250" s="235"/>
      <c r="X250" s="235"/>
      <c r="Y250" s="235"/>
      <c r="Z250" s="235"/>
      <c r="AA250" s="235"/>
      <c r="AB250" s="235"/>
      <c r="AC250" s="235"/>
      <c r="AD250" s="235"/>
      <c r="AE250" s="235"/>
      <c r="AF250" s="235"/>
    </row>
    <row r="251" spans="5:32">
      <c r="E251" s="235"/>
      <c r="F251" s="235"/>
      <c r="G251" s="235"/>
      <c r="H251" s="235"/>
      <c r="I251" s="235"/>
      <c r="J251" s="235"/>
      <c r="K251" s="235"/>
      <c r="L251" s="235"/>
      <c r="M251" s="235"/>
      <c r="N251" s="235"/>
      <c r="O251" s="235"/>
      <c r="P251" s="235"/>
      <c r="Q251" s="235"/>
      <c r="R251" s="235"/>
      <c r="S251" s="235"/>
      <c r="T251" s="235"/>
      <c r="U251" s="235"/>
      <c r="V251" s="235"/>
      <c r="W251" s="235"/>
      <c r="X251" s="235"/>
      <c r="Y251" s="235"/>
      <c r="Z251" s="235"/>
      <c r="AA251" s="235"/>
      <c r="AB251" s="235"/>
      <c r="AC251" s="235"/>
      <c r="AD251" s="235"/>
      <c r="AE251" s="235"/>
      <c r="AF251" s="235"/>
    </row>
    <row r="252" spans="5:32">
      <c r="E252" s="235"/>
      <c r="F252" s="235"/>
      <c r="G252" s="235"/>
      <c r="H252" s="235"/>
      <c r="I252" s="235"/>
      <c r="J252" s="235"/>
      <c r="K252" s="235"/>
      <c r="L252" s="235"/>
      <c r="M252" s="235"/>
      <c r="N252" s="235"/>
      <c r="O252" s="235"/>
      <c r="P252" s="235"/>
      <c r="Q252" s="235"/>
      <c r="R252" s="235"/>
      <c r="S252" s="235"/>
      <c r="T252" s="235"/>
      <c r="U252" s="235"/>
      <c r="V252" s="235"/>
      <c r="W252" s="235"/>
      <c r="X252" s="235"/>
      <c r="Y252" s="235"/>
      <c r="Z252" s="235"/>
      <c r="AA252" s="235"/>
      <c r="AB252" s="235"/>
      <c r="AC252" s="235"/>
      <c r="AD252" s="235"/>
      <c r="AE252" s="235"/>
      <c r="AF252" s="235"/>
    </row>
    <row r="253" spans="5:32">
      <c r="E253" s="235"/>
      <c r="F253" s="235"/>
      <c r="G253" s="235"/>
      <c r="H253" s="235"/>
      <c r="I253" s="235"/>
      <c r="J253" s="235"/>
      <c r="K253" s="235"/>
      <c r="L253" s="235"/>
      <c r="M253" s="235"/>
      <c r="N253" s="235"/>
      <c r="O253" s="235"/>
      <c r="P253" s="235"/>
      <c r="Q253" s="235"/>
      <c r="R253" s="235"/>
      <c r="S253" s="235"/>
      <c r="T253" s="235"/>
      <c r="U253" s="235"/>
      <c r="V253" s="235"/>
      <c r="W253" s="235"/>
      <c r="X253" s="235"/>
      <c r="Y253" s="235"/>
      <c r="Z253" s="235"/>
      <c r="AA253" s="235"/>
      <c r="AB253" s="235"/>
      <c r="AC253" s="235"/>
      <c r="AD253" s="235"/>
      <c r="AE253" s="235"/>
      <c r="AF253" s="235"/>
    </row>
    <row r="254" spans="5:32">
      <c r="E254" s="235"/>
      <c r="F254" s="235"/>
      <c r="G254" s="235"/>
      <c r="H254" s="235"/>
      <c r="I254" s="235"/>
      <c r="J254" s="235"/>
      <c r="K254" s="235"/>
      <c r="L254" s="235"/>
      <c r="M254" s="235"/>
      <c r="N254" s="235"/>
      <c r="O254" s="235"/>
      <c r="P254" s="235"/>
      <c r="Q254" s="235"/>
      <c r="R254" s="235"/>
      <c r="S254" s="235"/>
      <c r="T254" s="235"/>
      <c r="U254" s="235"/>
      <c r="V254" s="235"/>
      <c r="W254" s="235"/>
      <c r="X254" s="235"/>
      <c r="Y254" s="235"/>
      <c r="Z254" s="235"/>
      <c r="AA254" s="235"/>
      <c r="AB254" s="235"/>
      <c r="AC254" s="235"/>
      <c r="AD254" s="235"/>
      <c r="AE254" s="235"/>
      <c r="AF254" s="235"/>
    </row>
    <row r="255" spans="5:32">
      <c r="E255" s="235"/>
      <c r="F255" s="235"/>
      <c r="G255" s="235"/>
      <c r="H255" s="235"/>
      <c r="I255" s="235"/>
      <c r="J255" s="235"/>
      <c r="K255" s="235"/>
      <c r="L255" s="235"/>
      <c r="M255" s="235"/>
      <c r="N255" s="235"/>
      <c r="O255" s="235"/>
      <c r="P255" s="235"/>
      <c r="Q255" s="235"/>
      <c r="R255" s="235"/>
      <c r="S255" s="235"/>
      <c r="T255" s="235"/>
      <c r="U255" s="235"/>
      <c r="V255" s="235"/>
      <c r="W255" s="235"/>
      <c r="X255" s="235"/>
      <c r="Y255" s="235"/>
      <c r="Z255" s="235"/>
      <c r="AA255" s="235"/>
      <c r="AB255" s="235"/>
      <c r="AC255" s="235"/>
      <c r="AD255" s="235"/>
      <c r="AE255" s="235"/>
      <c r="AF255" s="235"/>
    </row>
    <row r="256" spans="5:32">
      <c r="E256" s="235"/>
      <c r="F256" s="235"/>
      <c r="G256" s="235"/>
      <c r="H256" s="235"/>
      <c r="I256" s="235"/>
      <c r="J256" s="235"/>
      <c r="K256" s="235"/>
      <c r="L256" s="235"/>
      <c r="M256" s="235"/>
      <c r="N256" s="235"/>
      <c r="O256" s="235"/>
      <c r="P256" s="235"/>
      <c r="Q256" s="235"/>
      <c r="R256" s="235"/>
      <c r="S256" s="235"/>
      <c r="T256" s="235"/>
      <c r="U256" s="235"/>
      <c r="V256" s="235"/>
      <c r="W256" s="235"/>
      <c r="X256" s="235"/>
      <c r="Y256" s="235"/>
      <c r="Z256" s="235"/>
      <c r="AA256" s="235"/>
      <c r="AB256" s="235"/>
      <c r="AC256" s="235"/>
      <c r="AD256" s="235"/>
      <c r="AE256" s="235"/>
      <c r="AF256" s="235"/>
    </row>
    <row r="257" spans="5:32">
      <c r="E257" s="235"/>
      <c r="F257" s="235"/>
      <c r="G257" s="235"/>
      <c r="H257" s="235"/>
      <c r="I257" s="235"/>
      <c r="J257" s="235"/>
      <c r="K257" s="235"/>
      <c r="L257" s="235"/>
      <c r="M257" s="235"/>
      <c r="N257" s="235"/>
      <c r="O257" s="235"/>
      <c r="P257" s="235"/>
      <c r="Q257" s="235"/>
      <c r="R257" s="235"/>
      <c r="S257" s="235"/>
      <c r="T257" s="235"/>
      <c r="U257" s="235"/>
      <c r="V257" s="235"/>
      <c r="W257" s="235"/>
      <c r="X257" s="235"/>
      <c r="Y257" s="235"/>
      <c r="Z257" s="235"/>
      <c r="AA257" s="235"/>
      <c r="AB257" s="235"/>
      <c r="AC257" s="235"/>
      <c r="AD257" s="235"/>
      <c r="AE257" s="235"/>
      <c r="AF257" s="235"/>
    </row>
    <row r="258" spans="5:32">
      <c r="E258" s="235"/>
      <c r="F258" s="235"/>
      <c r="G258" s="235"/>
      <c r="H258" s="235"/>
      <c r="I258" s="235"/>
      <c r="J258" s="235"/>
      <c r="K258" s="235"/>
      <c r="L258" s="235"/>
      <c r="M258" s="235"/>
      <c r="N258" s="235"/>
      <c r="O258" s="235"/>
      <c r="P258" s="235"/>
      <c r="Q258" s="235"/>
      <c r="R258" s="235"/>
      <c r="S258" s="235"/>
      <c r="T258" s="235"/>
      <c r="U258" s="235"/>
      <c r="V258" s="235"/>
      <c r="W258" s="235"/>
      <c r="X258" s="235"/>
      <c r="Y258" s="235"/>
      <c r="Z258" s="235"/>
      <c r="AA258" s="235"/>
      <c r="AB258" s="235"/>
      <c r="AC258" s="235"/>
      <c r="AD258" s="235"/>
      <c r="AE258" s="235"/>
      <c r="AF258" s="235"/>
    </row>
    <row r="259" spans="5:32">
      <c r="E259" s="235"/>
      <c r="F259" s="235"/>
      <c r="G259" s="235"/>
      <c r="H259" s="235"/>
      <c r="I259" s="235"/>
      <c r="J259" s="235"/>
      <c r="K259" s="235"/>
      <c r="L259" s="235"/>
      <c r="M259" s="235"/>
      <c r="N259" s="235"/>
      <c r="O259" s="235"/>
      <c r="P259" s="235"/>
      <c r="Q259" s="235"/>
      <c r="R259" s="235"/>
      <c r="S259" s="235"/>
      <c r="T259" s="235"/>
      <c r="U259" s="235"/>
      <c r="V259" s="235"/>
      <c r="W259" s="235"/>
      <c r="X259" s="235"/>
      <c r="Y259" s="235"/>
      <c r="Z259" s="235"/>
      <c r="AA259" s="235"/>
      <c r="AB259" s="235"/>
      <c r="AC259" s="235"/>
      <c r="AD259" s="235"/>
      <c r="AE259" s="235"/>
      <c r="AF259" s="235"/>
    </row>
    <row r="260" spans="5:32">
      <c r="E260" s="235"/>
      <c r="F260" s="235"/>
      <c r="G260" s="235"/>
      <c r="H260" s="235"/>
      <c r="I260" s="235"/>
      <c r="J260" s="235"/>
      <c r="K260" s="235"/>
      <c r="L260" s="235"/>
      <c r="M260" s="235"/>
      <c r="N260" s="235"/>
      <c r="O260" s="235"/>
      <c r="P260" s="235"/>
      <c r="Q260" s="235"/>
      <c r="R260" s="235"/>
      <c r="S260" s="235"/>
      <c r="T260" s="235"/>
      <c r="U260" s="235"/>
      <c r="V260" s="235"/>
      <c r="W260" s="235"/>
      <c r="X260" s="235"/>
      <c r="Y260" s="235"/>
      <c r="Z260" s="235"/>
      <c r="AA260" s="235"/>
      <c r="AB260" s="235"/>
      <c r="AC260" s="235"/>
      <c r="AD260" s="235"/>
      <c r="AE260" s="235"/>
      <c r="AF260" s="235"/>
    </row>
    <row r="261" spans="5:32">
      <c r="E261" s="235"/>
      <c r="F261" s="235"/>
      <c r="G261" s="235"/>
      <c r="H261" s="235"/>
      <c r="I261" s="235"/>
      <c r="J261" s="235"/>
      <c r="K261" s="235"/>
      <c r="L261" s="235"/>
      <c r="M261" s="235"/>
      <c r="N261" s="235"/>
      <c r="O261" s="235"/>
      <c r="P261" s="235"/>
      <c r="Q261" s="235"/>
      <c r="R261" s="235"/>
      <c r="S261" s="235"/>
      <c r="T261" s="235"/>
      <c r="U261" s="235"/>
      <c r="V261" s="235"/>
      <c r="W261" s="235"/>
      <c r="X261" s="235"/>
      <c r="Y261" s="235"/>
      <c r="Z261" s="235"/>
      <c r="AA261" s="235"/>
      <c r="AB261" s="235"/>
      <c r="AC261" s="235"/>
      <c r="AD261" s="235"/>
      <c r="AE261" s="235"/>
      <c r="AF261" s="235"/>
    </row>
    <row r="262" spans="5:32">
      <c r="E262" s="235"/>
      <c r="F262" s="235"/>
      <c r="G262" s="235"/>
      <c r="H262" s="235"/>
      <c r="I262" s="235"/>
      <c r="J262" s="235"/>
      <c r="K262" s="235"/>
      <c r="L262" s="235"/>
      <c r="M262" s="235"/>
      <c r="N262" s="235"/>
      <c r="O262" s="235"/>
      <c r="P262" s="235"/>
      <c r="Q262" s="235"/>
      <c r="R262" s="235"/>
      <c r="S262" s="235"/>
      <c r="T262" s="235"/>
      <c r="U262" s="235"/>
      <c r="V262" s="235"/>
      <c r="W262" s="235"/>
      <c r="X262" s="235"/>
      <c r="Y262" s="235"/>
      <c r="Z262" s="235"/>
      <c r="AA262" s="235"/>
      <c r="AB262" s="235"/>
      <c r="AC262" s="235"/>
      <c r="AD262" s="235"/>
      <c r="AE262" s="235"/>
      <c r="AF262" s="235"/>
    </row>
    <row r="263" spans="5:32">
      <c r="E263" s="235"/>
      <c r="F263" s="235"/>
      <c r="G263" s="235"/>
      <c r="H263" s="235"/>
      <c r="I263" s="235"/>
      <c r="J263" s="235"/>
      <c r="K263" s="235"/>
      <c r="L263" s="235"/>
      <c r="M263" s="235"/>
      <c r="N263" s="235"/>
      <c r="O263" s="235"/>
      <c r="P263" s="235"/>
      <c r="Q263" s="235"/>
      <c r="R263" s="235"/>
      <c r="S263" s="235"/>
      <c r="T263" s="235"/>
      <c r="U263" s="235"/>
      <c r="V263" s="235"/>
      <c r="W263" s="235"/>
      <c r="X263" s="235"/>
      <c r="Y263" s="235"/>
      <c r="Z263" s="235"/>
      <c r="AA263" s="235"/>
      <c r="AB263" s="235"/>
      <c r="AC263" s="235"/>
      <c r="AD263" s="235"/>
      <c r="AE263" s="235"/>
      <c r="AF263" s="235"/>
    </row>
    <row r="264" spans="5:32">
      <c r="E264" s="235"/>
      <c r="F264" s="235"/>
      <c r="G264" s="235"/>
      <c r="H264" s="235"/>
      <c r="I264" s="235"/>
      <c r="J264" s="235"/>
      <c r="K264" s="235"/>
      <c r="L264" s="235"/>
      <c r="M264" s="235"/>
      <c r="N264" s="235"/>
      <c r="O264" s="235"/>
      <c r="P264" s="235"/>
      <c r="Q264" s="235"/>
      <c r="R264" s="235"/>
      <c r="S264" s="235"/>
      <c r="T264" s="235"/>
      <c r="U264" s="235"/>
      <c r="V264" s="235"/>
      <c r="W264" s="235"/>
      <c r="X264" s="235"/>
      <c r="Y264" s="235"/>
      <c r="Z264" s="235"/>
      <c r="AA264" s="235"/>
      <c r="AB264" s="235"/>
      <c r="AC264" s="235"/>
      <c r="AD264" s="235"/>
      <c r="AE264" s="235"/>
      <c r="AF264" s="235"/>
    </row>
    <row r="265" spans="5:32">
      <c r="E265" s="235"/>
      <c r="F265" s="235"/>
      <c r="G265" s="235"/>
      <c r="H265" s="235"/>
      <c r="I265" s="235"/>
      <c r="J265" s="235"/>
      <c r="K265" s="235"/>
      <c r="L265" s="235"/>
      <c r="M265" s="235"/>
      <c r="N265" s="235"/>
      <c r="O265" s="235"/>
      <c r="P265" s="235"/>
      <c r="Q265" s="235"/>
      <c r="R265" s="235"/>
      <c r="S265" s="235"/>
      <c r="T265" s="235"/>
      <c r="U265" s="235"/>
      <c r="V265" s="235"/>
      <c r="W265" s="235"/>
      <c r="X265" s="235"/>
      <c r="Y265" s="235"/>
      <c r="Z265" s="235"/>
      <c r="AA265" s="235"/>
      <c r="AB265" s="235"/>
      <c r="AC265" s="235"/>
      <c r="AD265" s="235"/>
      <c r="AE265" s="235"/>
      <c r="AF265" s="235"/>
    </row>
    <row r="266" spans="5:32">
      <c r="E266" s="235"/>
      <c r="F266" s="235"/>
      <c r="G266" s="235"/>
      <c r="H266" s="235"/>
      <c r="I266" s="235"/>
      <c r="J266" s="235"/>
      <c r="K266" s="235"/>
      <c r="L266" s="235"/>
      <c r="M266" s="235"/>
      <c r="N266" s="235"/>
      <c r="O266" s="235"/>
      <c r="P266" s="235"/>
      <c r="Q266" s="235"/>
      <c r="R266" s="235"/>
      <c r="S266" s="235"/>
      <c r="T266" s="235"/>
      <c r="U266" s="235"/>
      <c r="V266" s="235"/>
      <c r="W266" s="235"/>
      <c r="X266" s="235"/>
      <c r="Y266" s="235"/>
      <c r="Z266" s="235"/>
      <c r="AA266" s="235"/>
      <c r="AB266" s="235"/>
      <c r="AC266" s="235"/>
      <c r="AD266" s="235"/>
      <c r="AE266" s="235"/>
      <c r="AF266" s="235"/>
    </row>
    <row r="267" spans="5:32">
      <c r="E267" s="235"/>
      <c r="F267" s="235"/>
      <c r="G267" s="235"/>
      <c r="H267" s="235"/>
      <c r="I267" s="235"/>
      <c r="J267" s="235"/>
      <c r="K267" s="235"/>
      <c r="L267" s="235"/>
      <c r="M267" s="235"/>
      <c r="N267" s="235"/>
      <c r="O267" s="235"/>
      <c r="P267" s="235"/>
      <c r="Q267" s="235"/>
      <c r="R267" s="235"/>
      <c r="S267" s="235"/>
      <c r="T267" s="235"/>
      <c r="U267" s="235"/>
      <c r="V267" s="235"/>
      <c r="W267" s="235"/>
      <c r="X267" s="235"/>
      <c r="Y267" s="235"/>
      <c r="Z267" s="235"/>
      <c r="AA267" s="235"/>
      <c r="AB267" s="235"/>
      <c r="AC267" s="235"/>
      <c r="AD267" s="235"/>
      <c r="AE267" s="235"/>
      <c r="AF267" s="235"/>
    </row>
    <row r="268" spans="5:32">
      <c r="E268" s="235"/>
      <c r="F268" s="235"/>
      <c r="G268" s="235"/>
      <c r="H268" s="235"/>
      <c r="I268" s="235"/>
      <c r="J268" s="235"/>
      <c r="K268" s="235"/>
      <c r="L268" s="235"/>
      <c r="M268" s="235"/>
      <c r="N268" s="235"/>
      <c r="O268" s="235"/>
      <c r="P268" s="235"/>
      <c r="Q268" s="235"/>
      <c r="R268" s="235"/>
      <c r="S268" s="235"/>
      <c r="T268" s="235"/>
      <c r="U268" s="235"/>
      <c r="V268" s="235"/>
      <c r="W268" s="235"/>
      <c r="X268" s="235"/>
      <c r="Y268" s="235"/>
      <c r="Z268" s="235"/>
      <c r="AA268" s="235"/>
      <c r="AB268" s="235"/>
      <c r="AC268" s="235"/>
      <c r="AD268" s="235"/>
      <c r="AE268" s="235"/>
      <c r="AF268" s="235"/>
    </row>
    <row r="269" spans="5:32">
      <c r="E269" s="235"/>
      <c r="F269" s="235"/>
      <c r="G269" s="235"/>
      <c r="H269" s="235"/>
      <c r="I269" s="235"/>
      <c r="J269" s="235"/>
      <c r="K269" s="235"/>
      <c r="L269" s="235"/>
      <c r="M269" s="235"/>
      <c r="N269" s="235"/>
      <c r="O269" s="235"/>
      <c r="P269" s="235"/>
      <c r="Q269" s="235"/>
      <c r="R269" s="235"/>
      <c r="S269" s="235"/>
      <c r="T269" s="235"/>
      <c r="U269" s="235"/>
      <c r="V269" s="235"/>
      <c r="W269" s="235"/>
      <c r="X269" s="235"/>
      <c r="Y269" s="235"/>
      <c r="Z269" s="235"/>
      <c r="AA269" s="235"/>
      <c r="AB269" s="235"/>
      <c r="AC269" s="235"/>
      <c r="AD269" s="235"/>
      <c r="AE269" s="235"/>
      <c r="AF269" s="235"/>
    </row>
    <row r="270" spans="5:32">
      <c r="E270" s="235"/>
      <c r="F270" s="235"/>
      <c r="G270" s="235"/>
      <c r="H270" s="235"/>
      <c r="I270" s="235"/>
      <c r="J270" s="235"/>
      <c r="K270" s="235"/>
      <c r="L270" s="235"/>
      <c r="M270" s="235"/>
      <c r="N270" s="235"/>
      <c r="O270" s="235"/>
      <c r="P270" s="235"/>
      <c r="Q270" s="235"/>
      <c r="R270" s="235"/>
      <c r="S270" s="235"/>
      <c r="T270" s="235"/>
      <c r="U270" s="235"/>
      <c r="V270" s="235"/>
      <c r="W270" s="235"/>
      <c r="X270" s="235"/>
      <c r="Y270" s="235"/>
      <c r="Z270" s="235"/>
      <c r="AA270" s="235"/>
      <c r="AB270" s="235"/>
      <c r="AC270" s="235"/>
      <c r="AD270" s="235"/>
      <c r="AE270" s="235"/>
      <c r="AF270" s="235"/>
    </row>
    <row r="271" spans="5:32">
      <c r="E271" s="235"/>
      <c r="F271" s="235"/>
      <c r="G271" s="235"/>
      <c r="H271" s="235"/>
      <c r="I271" s="235"/>
      <c r="J271" s="235"/>
      <c r="K271" s="235"/>
      <c r="L271" s="235"/>
      <c r="M271" s="235"/>
      <c r="N271" s="235"/>
      <c r="O271" s="235"/>
      <c r="P271" s="235"/>
      <c r="Q271" s="235"/>
      <c r="R271" s="235"/>
      <c r="S271" s="235"/>
      <c r="T271" s="235"/>
      <c r="U271" s="235"/>
      <c r="V271" s="235"/>
      <c r="W271" s="235"/>
      <c r="X271" s="235"/>
      <c r="Y271" s="235"/>
      <c r="Z271" s="235"/>
      <c r="AA271" s="235"/>
      <c r="AB271" s="235"/>
      <c r="AC271" s="235"/>
      <c r="AD271" s="235"/>
      <c r="AE271" s="235"/>
      <c r="AF271" s="235"/>
    </row>
    <row r="272" spans="5:32">
      <c r="E272" s="235"/>
      <c r="F272" s="235"/>
      <c r="G272" s="235"/>
      <c r="H272" s="235"/>
      <c r="I272" s="235"/>
      <c r="J272" s="235"/>
      <c r="K272" s="235"/>
      <c r="L272" s="235"/>
      <c r="M272" s="235"/>
      <c r="N272" s="235"/>
      <c r="O272" s="235"/>
      <c r="P272" s="235"/>
      <c r="Q272" s="235"/>
      <c r="R272" s="235"/>
      <c r="S272" s="235"/>
      <c r="T272" s="235"/>
      <c r="U272" s="235"/>
      <c r="V272" s="235"/>
      <c r="W272" s="235"/>
      <c r="X272" s="235"/>
      <c r="Y272" s="235"/>
      <c r="Z272" s="235"/>
      <c r="AA272" s="235"/>
      <c r="AB272" s="235"/>
      <c r="AC272" s="235"/>
      <c r="AD272" s="235"/>
      <c r="AE272" s="235"/>
      <c r="AF272" s="235"/>
    </row>
    <row r="273" spans="3:32">
      <c r="E273" s="235"/>
      <c r="F273" s="235"/>
      <c r="G273" s="235"/>
      <c r="H273" s="235"/>
      <c r="I273" s="235"/>
      <c r="J273" s="235"/>
      <c r="K273" s="235"/>
      <c r="L273" s="235"/>
      <c r="M273" s="235"/>
      <c r="N273" s="235"/>
      <c r="O273" s="235"/>
      <c r="P273" s="235"/>
      <c r="Q273" s="235"/>
      <c r="R273" s="235"/>
      <c r="S273" s="235"/>
      <c r="T273" s="235"/>
      <c r="U273" s="235"/>
      <c r="V273" s="235"/>
      <c r="W273" s="235"/>
      <c r="X273" s="235"/>
      <c r="Y273" s="235"/>
      <c r="Z273" s="235"/>
      <c r="AA273" s="235"/>
      <c r="AB273" s="235"/>
      <c r="AC273" s="235"/>
      <c r="AD273" s="235"/>
      <c r="AE273" s="235"/>
      <c r="AF273" s="235"/>
    </row>
    <row r="274" spans="3:32">
      <c r="E274" s="235"/>
      <c r="F274" s="235"/>
      <c r="G274" s="235"/>
      <c r="H274" s="235"/>
      <c r="I274" s="235"/>
      <c r="J274" s="235"/>
      <c r="K274" s="235"/>
      <c r="L274" s="235"/>
      <c r="M274" s="235"/>
      <c r="N274" s="235"/>
      <c r="O274" s="235"/>
      <c r="P274" s="235"/>
      <c r="Q274" s="235"/>
      <c r="R274" s="235"/>
      <c r="S274" s="235"/>
      <c r="T274" s="235"/>
      <c r="U274" s="235"/>
      <c r="V274" s="235"/>
      <c r="W274" s="235"/>
      <c r="X274" s="235"/>
      <c r="Y274" s="235"/>
      <c r="Z274" s="235"/>
      <c r="AA274" s="235"/>
      <c r="AB274" s="235"/>
      <c r="AC274" s="235"/>
      <c r="AD274" s="235"/>
      <c r="AE274" s="235"/>
      <c r="AF274" s="235"/>
    </row>
    <row r="275" spans="3:32">
      <c r="E275" s="235"/>
      <c r="F275" s="235"/>
      <c r="G275" s="235"/>
      <c r="H275" s="235"/>
      <c r="I275" s="235"/>
      <c r="J275" s="235"/>
      <c r="K275" s="235"/>
      <c r="L275" s="235"/>
      <c r="M275" s="235"/>
      <c r="N275" s="235"/>
      <c r="O275" s="235"/>
      <c r="P275" s="235"/>
      <c r="Q275" s="235"/>
      <c r="R275" s="235"/>
      <c r="S275" s="235"/>
      <c r="T275" s="235"/>
      <c r="U275" s="235"/>
      <c r="V275" s="235"/>
      <c r="W275" s="235"/>
      <c r="X275" s="235"/>
      <c r="Y275" s="235"/>
      <c r="Z275" s="235"/>
      <c r="AA275" s="235"/>
      <c r="AB275" s="235"/>
      <c r="AC275" s="235"/>
      <c r="AD275" s="235"/>
      <c r="AE275" s="235"/>
      <c r="AF275" s="235"/>
    </row>
    <row r="276" spans="3:32">
      <c r="E276" s="235"/>
      <c r="F276" s="235"/>
      <c r="G276" s="235"/>
      <c r="H276" s="235"/>
      <c r="I276" s="235"/>
      <c r="J276" s="235"/>
      <c r="K276" s="235"/>
      <c r="L276" s="235"/>
      <c r="M276" s="235"/>
      <c r="N276" s="235"/>
      <c r="O276" s="235"/>
      <c r="P276" s="235"/>
      <c r="Q276" s="235"/>
      <c r="R276" s="235"/>
      <c r="S276" s="235"/>
      <c r="T276" s="235"/>
      <c r="U276" s="235"/>
      <c r="V276" s="235"/>
      <c r="W276" s="235"/>
      <c r="X276" s="235"/>
      <c r="Y276" s="235"/>
      <c r="Z276" s="235"/>
      <c r="AA276" s="235"/>
      <c r="AB276" s="235"/>
      <c r="AC276" s="235"/>
      <c r="AD276" s="235"/>
      <c r="AE276" s="235"/>
      <c r="AF276" s="235"/>
    </row>
    <row r="277" spans="3:32" s="175" customFormat="1">
      <c r="C277"/>
      <c r="D277"/>
    </row>
    <row r="278" spans="3:32" s="175" customFormat="1">
      <c r="C278"/>
      <c r="D278"/>
    </row>
    <row r="279" spans="3:32" s="175" customFormat="1">
      <c r="C279"/>
      <c r="D279"/>
    </row>
    <row r="280" spans="3:32" s="175" customFormat="1">
      <c r="C280"/>
      <c r="D280"/>
    </row>
    <row r="281" spans="3:32" s="175" customFormat="1">
      <c r="C281" s="237"/>
      <c r="D281" s="237"/>
    </row>
    <row r="282" spans="3:32">
      <c r="E282" s="235"/>
      <c r="F282" s="235"/>
      <c r="G282" s="235"/>
      <c r="H282" s="235"/>
      <c r="I282" s="235"/>
      <c r="J282" s="235"/>
      <c r="K282" s="235"/>
      <c r="L282" s="235"/>
      <c r="M282" s="235"/>
      <c r="N282" s="235"/>
      <c r="O282" s="235"/>
      <c r="P282" s="235"/>
      <c r="Q282" s="235"/>
      <c r="R282" s="235"/>
      <c r="S282" s="235"/>
      <c r="T282" s="235"/>
      <c r="U282" s="235"/>
      <c r="V282" s="235"/>
      <c r="W282" s="235"/>
      <c r="X282" s="235"/>
      <c r="Y282" s="235"/>
      <c r="Z282" s="235"/>
      <c r="AA282" s="235"/>
      <c r="AB282" s="235"/>
      <c r="AC282" s="235"/>
      <c r="AD282" s="235"/>
      <c r="AE282" s="235"/>
    </row>
    <row r="283" spans="3:32">
      <c r="E283" s="235"/>
      <c r="F283" s="235"/>
      <c r="G283" s="235"/>
      <c r="H283" s="235"/>
      <c r="I283" s="235"/>
      <c r="J283" s="235"/>
      <c r="K283" s="235"/>
      <c r="L283" s="235"/>
      <c r="M283" s="235"/>
      <c r="N283" s="235"/>
      <c r="O283" s="235"/>
      <c r="P283" s="235"/>
      <c r="Q283" s="235"/>
      <c r="R283" s="235"/>
      <c r="S283" s="235"/>
      <c r="T283" s="235"/>
      <c r="U283" s="235"/>
      <c r="V283" s="235"/>
      <c r="W283" s="235"/>
      <c r="X283" s="235"/>
      <c r="Y283" s="235"/>
      <c r="Z283" s="235"/>
      <c r="AA283" s="235"/>
      <c r="AB283" s="235"/>
      <c r="AC283" s="235"/>
      <c r="AD283" s="235"/>
      <c r="AE283" s="235"/>
    </row>
    <row r="284" spans="3:32">
      <c r="E284" s="235"/>
      <c r="F284" s="235"/>
      <c r="G284" s="235"/>
      <c r="H284" s="235"/>
      <c r="I284" s="235"/>
      <c r="J284" s="235"/>
      <c r="K284" s="235"/>
      <c r="L284" s="235"/>
      <c r="M284" s="235"/>
      <c r="N284" s="235"/>
      <c r="O284" s="235"/>
      <c r="P284" s="235"/>
      <c r="Q284" s="235"/>
      <c r="R284" s="235"/>
      <c r="S284" s="235"/>
      <c r="T284" s="235"/>
      <c r="U284" s="235"/>
      <c r="V284" s="235"/>
      <c r="W284" s="235"/>
      <c r="X284" s="235"/>
      <c r="Y284" s="235"/>
      <c r="Z284" s="235"/>
      <c r="AA284" s="235"/>
      <c r="AB284" s="235"/>
      <c r="AC284" s="235"/>
      <c r="AD284" s="235"/>
      <c r="AE284" s="235"/>
    </row>
    <row r="285" spans="3:32">
      <c r="E285" s="235"/>
      <c r="F285" s="235"/>
      <c r="G285" s="235"/>
      <c r="H285" s="235"/>
      <c r="I285" s="235"/>
      <c r="J285" s="235"/>
      <c r="K285" s="235"/>
      <c r="L285" s="235"/>
      <c r="M285" s="235"/>
      <c r="N285" s="235"/>
      <c r="O285" s="235"/>
      <c r="P285" s="235"/>
      <c r="Q285" s="235"/>
      <c r="R285" s="235"/>
      <c r="S285" s="235"/>
      <c r="T285" s="235"/>
      <c r="U285" s="235"/>
      <c r="V285" s="235"/>
      <c r="W285" s="235"/>
      <c r="X285" s="235"/>
      <c r="Y285" s="235"/>
      <c r="Z285" s="235"/>
      <c r="AA285" s="235"/>
      <c r="AB285" s="235"/>
      <c r="AC285" s="235"/>
      <c r="AD285" s="235"/>
      <c r="AE285" s="235"/>
    </row>
    <row r="286" spans="3:32">
      <c r="E286" s="235"/>
      <c r="F286" s="235"/>
      <c r="G286" s="235"/>
      <c r="H286" s="235"/>
      <c r="I286" s="235"/>
      <c r="J286" s="235"/>
      <c r="K286" s="235"/>
      <c r="L286" s="235"/>
      <c r="M286" s="235"/>
      <c r="N286" s="235"/>
      <c r="O286" s="235"/>
      <c r="P286" s="235"/>
      <c r="Q286" s="235"/>
      <c r="R286" s="235"/>
      <c r="S286" s="235"/>
      <c r="T286" s="235"/>
      <c r="U286" s="235"/>
      <c r="V286" s="235"/>
      <c r="W286" s="235"/>
      <c r="X286" s="235"/>
      <c r="Y286" s="235"/>
      <c r="Z286" s="235"/>
      <c r="AA286" s="235"/>
      <c r="AB286" s="235"/>
      <c r="AC286" s="235"/>
      <c r="AD286" s="235"/>
      <c r="AE286" s="235"/>
    </row>
    <row r="287" spans="3:32">
      <c r="E287" s="235"/>
      <c r="F287" s="235"/>
      <c r="G287" s="235"/>
      <c r="H287" s="235"/>
      <c r="I287" s="235"/>
      <c r="J287" s="235"/>
      <c r="K287" s="235"/>
      <c r="L287" s="235"/>
      <c r="M287" s="235"/>
      <c r="N287" s="235"/>
      <c r="O287" s="235"/>
      <c r="P287" s="235"/>
      <c r="Q287" s="235"/>
      <c r="R287" s="235"/>
      <c r="S287" s="235"/>
      <c r="T287" s="235"/>
      <c r="U287" s="235"/>
      <c r="V287" s="235"/>
      <c r="W287" s="235"/>
      <c r="X287" s="235"/>
      <c r="Y287" s="235"/>
      <c r="Z287" s="235"/>
      <c r="AA287" s="235"/>
      <c r="AB287" s="235"/>
      <c r="AC287" s="235"/>
      <c r="AD287" s="235"/>
      <c r="AE287" s="235"/>
    </row>
    <row r="288" spans="3:32">
      <c r="E288" s="235"/>
      <c r="F288" s="235"/>
      <c r="G288" s="235"/>
      <c r="H288" s="235"/>
      <c r="I288" s="235"/>
      <c r="J288" s="235"/>
      <c r="K288" s="235"/>
      <c r="L288" s="235"/>
      <c r="M288" s="235"/>
      <c r="N288" s="235"/>
      <c r="O288" s="235"/>
      <c r="P288" s="235"/>
      <c r="Q288" s="235"/>
      <c r="R288" s="235"/>
      <c r="S288" s="235"/>
      <c r="T288" s="235"/>
      <c r="U288" s="235"/>
      <c r="V288" s="235"/>
      <c r="W288" s="235"/>
      <c r="X288" s="235"/>
      <c r="Y288" s="235"/>
      <c r="Z288" s="235"/>
      <c r="AA288" s="235"/>
      <c r="AB288" s="235"/>
      <c r="AC288" s="235"/>
      <c r="AD288" s="235"/>
      <c r="AE288" s="235"/>
    </row>
    <row r="289" spans="5:31">
      <c r="E289" s="235"/>
      <c r="F289" s="235"/>
      <c r="G289" s="235"/>
      <c r="H289" s="235"/>
      <c r="I289" s="235"/>
      <c r="J289" s="235"/>
      <c r="K289" s="235"/>
      <c r="L289" s="235"/>
      <c r="M289" s="235"/>
      <c r="N289" s="235"/>
      <c r="O289" s="235"/>
      <c r="P289" s="235"/>
      <c r="Q289" s="235"/>
      <c r="R289" s="235"/>
      <c r="S289" s="235"/>
      <c r="T289" s="235"/>
      <c r="U289" s="235"/>
      <c r="V289" s="235"/>
      <c r="W289" s="235"/>
      <c r="X289" s="235"/>
      <c r="Y289" s="235"/>
      <c r="Z289" s="235"/>
      <c r="AA289" s="235"/>
      <c r="AB289" s="235"/>
      <c r="AC289" s="235"/>
      <c r="AD289" s="235"/>
      <c r="AE289" s="235"/>
    </row>
    <row r="290" spans="5:31">
      <c r="E290" s="235"/>
      <c r="F290" s="235"/>
      <c r="G290" s="235"/>
      <c r="H290" s="235"/>
      <c r="I290" s="235"/>
      <c r="J290" s="235"/>
      <c r="K290" s="235"/>
      <c r="L290" s="235"/>
      <c r="M290" s="235"/>
      <c r="N290" s="235"/>
      <c r="O290" s="235"/>
      <c r="P290" s="235"/>
      <c r="Q290" s="235"/>
      <c r="R290" s="235"/>
      <c r="S290" s="235"/>
      <c r="T290" s="235"/>
      <c r="U290" s="235"/>
      <c r="V290" s="235"/>
      <c r="W290" s="235"/>
      <c r="X290" s="235"/>
      <c r="Y290" s="235"/>
      <c r="Z290" s="235"/>
      <c r="AA290" s="235"/>
      <c r="AB290" s="235"/>
      <c r="AC290" s="235"/>
      <c r="AD290" s="235"/>
      <c r="AE290" s="235"/>
    </row>
    <row r="291" spans="5:31">
      <c r="E291" s="235"/>
      <c r="F291" s="235"/>
      <c r="G291" s="235"/>
      <c r="H291" s="235"/>
      <c r="I291" s="235"/>
      <c r="J291" s="235"/>
      <c r="K291" s="235"/>
      <c r="L291" s="235"/>
      <c r="M291" s="235"/>
      <c r="N291" s="235"/>
      <c r="O291" s="235"/>
      <c r="P291" s="235"/>
      <c r="Q291" s="235"/>
      <c r="R291" s="235"/>
      <c r="S291" s="235"/>
      <c r="T291" s="235"/>
      <c r="U291" s="235"/>
      <c r="V291" s="235"/>
      <c r="W291" s="235"/>
      <c r="X291" s="235"/>
      <c r="Y291" s="235"/>
      <c r="Z291" s="235"/>
      <c r="AA291" s="235"/>
      <c r="AB291" s="235"/>
      <c r="AC291" s="235"/>
      <c r="AD291" s="235"/>
      <c r="AE291" s="235"/>
    </row>
    <row r="292" spans="5:31">
      <c r="E292" s="235"/>
      <c r="F292" s="235"/>
      <c r="G292" s="235"/>
      <c r="H292" s="235"/>
      <c r="I292" s="235"/>
      <c r="J292" s="235"/>
      <c r="K292" s="235"/>
      <c r="L292" s="235"/>
      <c r="M292" s="235"/>
      <c r="N292" s="235"/>
      <c r="O292" s="235"/>
      <c r="P292" s="235"/>
      <c r="Q292" s="235"/>
      <c r="R292" s="235"/>
      <c r="S292" s="235"/>
      <c r="T292" s="235"/>
      <c r="U292" s="235"/>
      <c r="V292" s="235"/>
      <c r="W292" s="235"/>
      <c r="X292" s="235"/>
      <c r="Y292" s="235"/>
      <c r="Z292" s="235"/>
      <c r="AA292" s="235"/>
      <c r="AB292" s="235"/>
      <c r="AC292" s="235"/>
      <c r="AD292" s="235"/>
      <c r="AE292" s="235"/>
    </row>
    <row r="293" spans="5:31">
      <c r="E293" s="235"/>
      <c r="F293" s="235"/>
      <c r="G293" s="235"/>
      <c r="H293" s="235"/>
      <c r="I293" s="235"/>
      <c r="J293" s="235"/>
      <c r="K293" s="235"/>
      <c r="L293" s="235"/>
      <c r="M293" s="235"/>
      <c r="N293" s="235"/>
      <c r="O293" s="235"/>
      <c r="P293" s="235"/>
      <c r="Q293" s="235"/>
      <c r="R293" s="235"/>
      <c r="S293" s="235"/>
      <c r="T293" s="235"/>
      <c r="U293" s="235"/>
      <c r="V293" s="235"/>
      <c r="W293" s="235"/>
      <c r="X293" s="235"/>
      <c r="Y293" s="235"/>
      <c r="Z293" s="235"/>
      <c r="AA293" s="235"/>
      <c r="AB293" s="235"/>
      <c r="AC293" s="235"/>
      <c r="AD293" s="235"/>
      <c r="AE293" s="235"/>
    </row>
    <row r="294" spans="5:31">
      <c r="E294" s="235"/>
      <c r="F294" s="235"/>
      <c r="G294" s="235"/>
      <c r="H294" s="235"/>
      <c r="I294" s="235"/>
      <c r="J294" s="235"/>
      <c r="K294" s="235"/>
      <c r="L294" s="235"/>
      <c r="M294" s="235"/>
      <c r="N294" s="235"/>
      <c r="O294" s="235"/>
      <c r="P294" s="235"/>
      <c r="Q294" s="235"/>
      <c r="R294" s="235"/>
      <c r="S294" s="235"/>
      <c r="T294" s="235"/>
      <c r="U294" s="235"/>
      <c r="V294" s="235"/>
      <c r="W294" s="235"/>
      <c r="X294" s="235"/>
      <c r="Y294" s="235"/>
      <c r="Z294" s="235"/>
      <c r="AA294" s="235"/>
      <c r="AB294" s="235"/>
      <c r="AC294" s="235"/>
      <c r="AD294" s="235"/>
      <c r="AE294" s="235"/>
    </row>
    <row r="295" spans="5:31">
      <c r="E295" s="235"/>
      <c r="F295" s="235"/>
      <c r="G295" s="235"/>
      <c r="H295" s="235"/>
      <c r="I295" s="235"/>
      <c r="J295" s="235"/>
      <c r="K295" s="235"/>
      <c r="L295" s="235"/>
      <c r="M295" s="235"/>
      <c r="N295" s="235"/>
      <c r="O295" s="235"/>
      <c r="P295" s="235"/>
      <c r="Q295" s="235"/>
      <c r="R295" s="235"/>
      <c r="S295" s="235"/>
      <c r="T295" s="235"/>
      <c r="U295" s="235"/>
      <c r="V295" s="235"/>
      <c r="W295" s="235"/>
      <c r="X295" s="235"/>
      <c r="Y295" s="235"/>
      <c r="Z295" s="235"/>
      <c r="AA295" s="235"/>
      <c r="AB295" s="235"/>
      <c r="AC295" s="235"/>
      <c r="AD295" s="235"/>
      <c r="AE295" s="235"/>
    </row>
    <row r="296" spans="5:31">
      <c r="E296" s="235"/>
      <c r="F296" s="235"/>
      <c r="G296" s="235"/>
      <c r="H296" s="235"/>
      <c r="I296" s="235"/>
      <c r="J296" s="235"/>
      <c r="K296" s="235"/>
      <c r="L296" s="235"/>
      <c r="M296" s="235"/>
      <c r="N296" s="235"/>
      <c r="O296" s="235"/>
      <c r="P296" s="235"/>
      <c r="Q296" s="235"/>
      <c r="R296" s="235"/>
      <c r="S296" s="235"/>
      <c r="T296" s="235"/>
      <c r="U296" s="235"/>
      <c r="V296" s="235"/>
      <c r="W296" s="235"/>
      <c r="X296" s="235"/>
      <c r="Y296" s="235"/>
      <c r="Z296" s="235"/>
      <c r="AA296" s="235"/>
      <c r="AB296" s="235"/>
      <c r="AC296" s="235"/>
      <c r="AD296" s="235"/>
      <c r="AE296" s="235"/>
    </row>
    <row r="297" spans="5:31">
      <c r="E297" s="235"/>
      <c r="F297" s="235"/>
      <c r="G297" s="235"/>
      <c r="H297" s="235"/>
      <c r="I297" s="235"/>
      <c r="J297" s="235"/>
      <c r="K297" s="235"/>
      <c r="L297" s="235"/>
      <c r="M297" s="235"/>
      <c r="N297" s="235"/>
      <c r="O297" s="235"/>
      <c r="P297" s="235"/>
      <c r="Q297" s="235"/>
      <c r="R297" s="235"/>
      <c r="S297" s="235"/>
      <c r="T297" s="235"/>
      <c r="U297" s="235"/>
      <c r="V297" s="235"/>
      <c r="W297" s="235"/>
      <c r="X297" s="235"/>
      <c r="Y297" s="235"/>
      <c r="Z297" s="235"/>
      <c r="AA297" s="235"/>
      <c r="AB297" s="235"/>
      <c r="AC297" s="235"/>
      <c r="AD297" s="235"/>
      <c r="AE297" s="235"/>
    </row>
    <row r="298" spans="5:31">
      <c r="E298" s="235"/>
      <c r="F298" s="235"/>
      <c r="G298" s="235"/>
      <c r="H298" s="235"/>
      <c r="I298" s="235"/>
      <c r="J298" s="235"/>
      <c r="K298" s="235"/>
      <c r="L298" s="235"/>
      <c r="M298" s="235"/>
      <c r="N298" s="235"/>
      <c r="O298" s="235"/>
      <c r="P298" s="235"/>
      <c r="Q298" s="235"/>
      <c r="R298" s="235"/>
      <c r="S298" s="235"/>
      <c r="T298" s="235"/>
      <c r="U298" s="235"/>
      <c r="V298" s="235"/>
      <c r="W298" s="235"/>
      <c r="X298" s="235"/>
      <c r="Y298" s="235"/>
      <c r="Z298" s="235"/>
      <c r="AA298" s="235"/>
      <c r="AB298" s="235"/>
      <c r="AC298" s="235"/>
      <c r="AD298" s="235"/>
      <c r="AE298" s="235"/>
    </row>
    <row r="299" spans="5:31">
      <c r="E299" s="235"/>
      <c r="F299" s="235"/>
      <c r="G299" s="235"/>
      <c r="H299" s="235"/>
      <c r="I299" s="235"/>
      <c r="J299" s="235"/>
      <c r="K299" s="235"/>
      <c r="L299" s="235"/>
      <c r="M299" s="235"/>
      <c r="N299" s="235"/>
      <c r="O299" s="235"/>
      <c r="P299" s="235"/>
      <c r="Q299" s="235"/>
      <c r="R299" s="235"/>
      <c r="S299" s="235"/>
      <c r="T299" s="235"/>
      <c r="U299" s="235"/>
      <c r="V299" s="235"/>
      <c r="W299" s="235"/>
      <c r="X299" s="235"/>
      <c r="Y299" s="235"/>
      <c r="Z299" s="235"/>
      <c r="AA299" s="235"/>
      <c r="AB299" s="235"/>
      <c r="AC299" s="235"/>
      <c r="AD299" s="235"/>
      <c r="AE299" s="235"/>
    </row>
    <row r="300" spans="5:31">
      <c r="E300" s="235"/>
      <c r="F300" s="235"/>
      <c r="G300" s="235"/>
      <c r="H300" s="235"/>
      <c r="I300" s="235"/>
      <c r="J300" s="235"/>
      <c r="K300" s="235"/>
      <c r="L300" s="235"/>
      <c r="M300" s="235"/>
      <c r="N300" s="235"/>
      <c r="O300" s="235"/>
      <c r="P300" s="235"/>
      <c r="Q300" s="235"/>
      <c r="R300" s="235"/>
      <c r="S300" s="235"/>
      <c r="T300" s="235"/>
      <c r="U300" s="235"/>
      <c r="V300" s="235"/>
      <c r="W300" s="235"/>
      <c r="X300" s="235"/>
      <c r="Y300" s="235"/>
      <c r="Z300" s="235"/>
      <c r="AA300" s="235"/>
      <c r="AB300" s="235"/>
      <c r="AC300" s="235"/>
      <c r="AD300" s="235"/>
      <c r="AE300" s="235"/>
    </row>
    <row r="301" spans="5:31">
      <c r="E301" s="235"/>
      <c r="F301" s="235"/>
      <c r="G301" s="235"/>
      <c r="H301" s="235"/>
      <c r="I301" s="235"/>
      <c r="J301" s="235"/>
      <c r="K301" s="235"/>
      <c r="L301" s="235"/>
      <c r="M301" s="235"/>
      <c r="N301" s="235"/>
      <c r="O301" s="235"/>
      <c r="P301" s="235"/>
      <c r="Q301" s="235"/>
      <c r="R301" s="235"/>
      <c r="S301" s="235"/>
      <c r="T301" s="235"/>
      <c r="U301" s="235"/>
      <c r="V301" s="235"/>
      <c r="W301" s="235"/>
      <c r="X301" s="235"/>
      <c r="Y301" s="235"/>
      <c r="Z301" s="235"/>
      <c r="AA301" s="235"/>
      <c r="AB301" s="235"/>
      <c r="AC301" s="235"/>
      <c r="AD301" s="235"/>
      <c r="AE301" s="235"/>
    </row>
    <row r="302" spans="5:31">
      <c r="E302" s="235"/>
      <c r="F302" s="235"/>
      <c r="G302" s="235"/>
      <c r="H302" s="235"/>
      <c r="I302" s="235"/>
      <c r="J302" s="235"/>
      <c r="K302" s="235"/>
      <c r="L302" s="235"/>
      <c r="M302" s="235"/>
      <c r="N302" s="235"/>
      <c r="O302" s="235"/>
      <c r="P302" s="235"/>
      <c r="Q302" s="235"/>
      <c r="R302" s="235"/>
      <c r="S302" s="235"/>
      <c r="T302" s="235"/>
      <c r="U302" s="235"/>
      <c r="V302" s="235"/>
      <c r="W302" s="235"/>
      <c r="X302" s="235"/>
      <c r="Y302" s="235"/>
      <c r="Z302" s="235"/>
      <c r="AA302" s="235"/>
      <c r="AB302" s="235"/>
      <c r="AC302" s="235"/>
      <c r="AD302" s="235"/>
      <c r="AE302" s="235"/>
    </row>
    <row r="303" spans="5:31">
      <c r="E303" s="235"/>
      <c r="F303" s="235"/>
      <c r="G303" s="235"/>
      <c r="H303" s="235"/>
      <c r="I303" s="235"/>
      <c r="J303" s="235"/>
      <c r="K303" s="235"/>
      <c r="L303" s="235"/>
      <c r="M303" s="235"/>
      <c r="N303" s="235"/>
      <c r="O303" s="235"/>
      <c r="P303" s="235"/>
      <c r="Q303" s="235"/>
      <c r="R303" s="235"/>
      <c r="S303" s="235"/>
      <c r="T303" s="235"/>
      <c r="U303" s="235"/>
      <c r="V303" s="235"/>
      <c r="W303" s="235"/>
      <c r="X303" s="235"/>
      <c r="Y303" s="235"/>
      <c r="Z303" s="235"/>
      <c r="AA303" s="235"/>
      <c r="AB303" s="235"/>
      <c r="AC303" s="235"/>
      <c r="AD303" s="235"/>
      <c r="AE303" s="235"/>
    </row>
    <row r="304" spans="5:31">
      <c r="E304" s="235"/>
      <c r="F304" s="235"/>
      <c r="G304" s="235"/>
      <c r="H304" s="235"/>
      <c r="I304" s="235"/>
      <c r="J304" s="235"/>
      <c r="K304" s="235"/>
      <c r="L304" s="235"/>
      <c r="M304" s="235"/>
      <c r="N304" s="235"/>
      <c r="O304" s="235"/>
      <c r="P304" s="235"/>
      <c r="Q304" s="235"/>
      <c r="R304" s="235"/>
      <c r="S304" s="235"/>
      <c r="T304" s="235"/>
      <c r="U304" s="235"/>
      <c r="V304" s="235"/>
      <c r="W304" s="235"/>
      <c r="X304" s="235"/>
      <c r="Y304" s="235"/>
      <c r="Z304" s="235"/>
      <c r="AA304" s="235"/>
      <c r="AB304" s="235"/>
      <c r="AC304" s="235"/>
      <c r="AD304" s="235"/>
      <c r="AE304" s="235"/>
    </row>
    <row r="305" spans="1:32">
      <c r="E305" s="235"/>
      <c r="F305" s="235"/>
      <c r="G305" s="235"/>
      <c r="H305" s="235"/>
      <c r="I305" s="235"/>
      <c r="J305" s="235"/>
      <c r="K305" s="235"/>
      <c r="L305" s="235"/>
      <c r="M305" s="235"/>
      <c r="N305" s="235"/>
      <c r="O305" s="235"/>
      <c r="P305" s="235"/>
      <c r="Q305" s="235"/>
      <c r="R305" s="235"/>
      <c r="S305" s="235"/>
      <c r="T305" s="235"/>
      <c r="U305" s="235"/>
      <c r="V305" s="235"/>
      <c r="W305" s="235"/>
      <c r="X305" s="235"/>
      <c r="Y305" s="235"/>
      <c r="Z305" s="235"/>
      <c r="AA305" s="235"/>
      <c r="AB305" s="235"/>
      <c r="AC305" s="235"/>
      <c r="AD305" s="235"/>
      <c r="AE305" s="235"/>
    </row>
    <row r="306" spans="1:32">
      <c r="E306" s="235"/>
      <c r="F306" s="235"/>
      <c r="G306" s="235"/>
      <c r="H306" s="235"/>
      <c r="I306" s="235"/>
      <c r="J306" s="235"/>
      <c r="K306" s="235"/>
      <c r="L306" s="235"/>
      <c r="M306" s="235"/>
      <c r="N306" s="235"/>
      <c r="O306" s="235"/>
      <c r="P306" s="235"/>
      <c r="Q306" s="235"/>
      <c r="R306" s="235"/>
      <c r="S306" s="235"/>
      <c r="T306" s="235"/>
      <c r="U306" s="235"/>
      <c r="V306" s="235"/>
      <c r="W306" s="235"/>
      <c r="X306" s="235"/>
      <c r="Y306" s="235"/>
      <c r="Z306" s="235"/>
      <c r="AA306" s="235"/>
      <c r="AB306" s="235"/>
      <c r="AC306" s="235"/>
      <c r="AD306" s="235"/>
      <c r="AE306" s="235"/>
    </row>
    <row r="307" spans="1:32">
      <c r="E307" s="235"/>
      <c r="F307" s="235"/>
      <c r="G307" s="235"/>
      <c r="H307" s="235"/>
      <c r="I307" s="235"/>
      <c r="J307" s="235"/>
      <c r="K307" s="235"/>
      <c r="L307" s="235"/>
      <c r="M307" s="235"/>
      <c r="N307" s="235"/>
      <c r="O307" s="235"/>
      <c r="P307" s="235"/>
      <c r="Q307" s="235"/>
      <c r="R307" s="235"/>
      <c r="S307" s="235"/>
      <c r="T307" s="235"/>
      <c r="U307" s="235"/>
      <c r="V307" s="235"/>
      <c r="W307" s="235"/>
      <c r="X307" s="235"/>
      <c r="Y307" s="235"/>
      <c r="Z307" s="235"/>
      <c r="AA307" s="235"/>
      <c r="AB307" s="235"/>
      <c r="AC307" s="235"/>
      <c r="AD307" s="235"/>
      <c r="AE307" s="235"/>
    </row>
    <row r="308" spans="1:32">
      <c r="E308" s="235"/>
      <c r="F308" s="235"/>
      <c r="G308" s="235"/>
      <c r="H308" s="235"/>
      <c r="I308" s="235"/>
      <c r="J308" s="235"/>
      <c r="K308" s="235"/>
      <c r="L308" s="235"/>
      <c r="M308" s="235"/>
      <c r="N308" s="235"/>
      <c r="O308" s="235"/>
      <c r="P308" s="235"/>
      <c r="Q308" s="235"/>
      <c r="R308" s="235"/>
      <c r="S308" s="235"/>
      <c r="T308" s="235"/>
      <c r="U308" s="235"/>
      <c r="V308" s="235"/>
      <c r="W308" s="235"/>
      <c r="X308" s="235"/>
      <c r="Y308" s="235"/>
      <c r="Z308" s="235"/>
      <c r="AA308" s="235"/>
      <c r="AB308" s="235"/>
      <c r="AC308" s="235"/>
      <c r="AD308" s="235"/>
      <c r="AE308" s="235"/>
    </row>
    <row r="309" spans="1:32">
      <c r="E309" s="235"/>
      <c r="F309" s="235"/>
      <c r="G309" s="235"/>
      <c r="H309" s="235"/>
      <c r="I309" s="235"/>
      <c r="J309" s="235"/>
      <c r="K309" s="235"/>
      <c r="L309" s="235"/>
      <c r="M309" s="235"/>
      <c r="N309" s="235"/>
      <c r="O309" s="235"/>
      <c r="P309" s="235"/>
      <c r="Q309" s="235"/>
      <c r="R309" s="235"/>
      <c r="S309" s="235"/>
      <c r="T309" s="235"/>
      <c r="U309" s="235"/>
      <c r="V309" s="235"/>
      <c r="W309" s="235"/>
      <c r="X309" s="235"/>
      <c r="Y309" s="235"/>
      <c r="Z309" s="235"/>
      <c r="AA309" s="235"/>
      <c r="AB309" s="235"/>
      <c r="AC309" s="235"/>
      <c r="AD309" s="235"/>
      <c r="AE309" s="235"/>
    </row>
    <row r="310" spans="1:32">
      <c r="E310" s="235"/>
      <c r="F310" s="235"/>
      <c r="G310" s="235"/>
      <c r="H310" s="235"/>
      <c r="I310" s="235"/>
      <c r="J310" s="235"/>
      <c r="K310" s="235"/>
      <c r="L310" s="235"/>
      <c r="M310" s="235"/>
      <c r="N310" s="235"/>
      <c r="O310" s="235"/>
      <c r="P310" s="235"/>
      <c r="Q310" s="235"/>
      <c r="R310" s="235"/>
      <c r="S310" s="235"/>
      <c r="T310" s="235"/>
      <c r="U310" s="235"/>
      <c r="V310" s="235"/>
      <c r="W310" s="235"/>
      <c r="X310" s="235"/>
      <c r="Y310" s="235"/>
      <c r="Z310" s="235"/>
      <c r="AA310" s="235"/>
      <c r="AB310" s="235"/>
      <c r="AC310" s="235"/>
      <c r="AD310" s="235"/>
      <c r="AE310" s="235"/>
    </row>
    <row r="311" spans="1:32">
      <c r="E311" s="235"/>
      <c r="F311" s="235"/>
      <c r="G311" s="235"/>
      <c r="H311" s="235"/>
      <c r="I311" s="235"/>
      <c r="J311" s="235"/>
      <c r="K311" s="235"/>
      <c r="L311" s="235"/>
      <c r="M311" s="235"/>
      <c r="N311" s="235"/>
      <c r="O311" s="235"/>
      <c r="P311" s="235"/>
      <c r="Q311" s="235"/>
      <c r="R311" s="235"/>
      <c r="S311" s="235"/>
      <c r="T311" s="235"/>
      <c r="U311" s="235"/>
      <c r="V311" s="235"/>
      <c r="W311" s="235"/>
      <c r="X311" s="235"/>
      <c r="Y311" s="235"/>
      <c r="Z311" s="235"/>
      <c r="AA311" s="235"/>
      <c r="AB311" s="235"/>
      <c r="AC311" s="235"/>
      <c r="AD311" s="235"/>
      <c r="AE311" s="235"/>
    </row>
    <row r="312" spans="1:32" s="175" customFormat="1">
      <c r="C312"/>
      <c r="D312"/>
    </row>
    <row r="313" spans="1:32" s="175" customFormat="1">
      <c r="C313"/>
      <c r="D313"/>
    </row>
    <row r="314" spans="1:32" s="175" customFormat="1">
      <c r="C314"/>
      <c r="D314"/>
    </row>
    <row r="315" spans="1:32" s="175" customFormat="1">
      <c r="C315"/>
      <c r="D315"/>
    </row>
    <row r="316" spans="1:32" s="175" customFormat="1">
      <c r="C316" s="237"/>
      <c r="D316" s="237"/>
    </row>
    <row r="319" spans="1:32">
      <c r="A319" s="175"/>
      <c r="X319" s="235"/>
      <c r="Y319" s="235"/>
      <c r="AF319" s="235"/>
    </row>
    <row r="320" spans="1:32">
      <c r="A320" s="175"/>
      <c r="X320" s="235"/>
      <c r="Y320" s="235"/>
      <c r="AF320" s="235"/>
    </row>
    <row r="321" spans="1:32">
      <c r="A321" s="175"/>
      <c r="X321" s="235"/>
      <c r="Y321" s="235"/>
      <c r="AF321" s="235"/>
    </row>
    <row r="322" spans="1:32">
      <c r="A322" s="175"/>
      <c r="X322" s="235"/>
      <c r="Y322" s="235"/>
      <c r="AF322" s="235"/>
    </row>
    <row r="323" spans="1:32">
      <c r="A323" s="175"/>
      <c r="X323" s="235"/>
      <c r="Y323" s="235"/>
      <c r="AF323" s="235"/>
    </row>
    <row r="324" spans="1:32">
      <c r="A324" s="175"/>
      <c r="X324" s="235"/>
      <c r="Y324" s="235"/>
      <c r="AF324" s="238"/>
    </row>
    <row r="325" spans="1:32">
      <c r="A325" s="175"/>
      <c r="X325" s="235"/>
      <c r="Y325" s="235"/>
      <c r="AF325" s="238"/>
    </row>
    <row r="326" spans="1:32">
      <c r="A326" s="175"/>
      <c r="X326" s="235"/>
      <c r="Y326" s="235"/>
      <c r="AF326" s="238"/>
    </row>
    <row r="327" spans="1:32">
      <c r="A327" s="175"/>
      <c r="X327" s="235"/>
      <c r="Y327" s="235"/>
      <c r="AF327" s="238"/>
    </row>
    <row r="328" spans="1:32">
      <c r="A328" s="175"/>
      <c r="X328" s="235"/>
      <c r="Y328" s="235"/>
      <c r="AF328" s="238"/>
    </row>
    <row r="329" spans="1:32">
      <c r="A329" s="175"/>
      <c r="X329" s="235"/>
      <c r="Y329" s="235"/>
      <c r="AF329" s="238"/>
    </row>
    <row r="330" spans="1:32">
      <c r="A330" s="175"/>
      <c r="X330" s="235"/>
      <c r="Y330" s="235"/>
      <c r="AF330" s="238"/>
    </row>
    <row r="331" spans="1:32">
      <c r="A331" s="175"/>
      <c r="X331" s="235"/>
      <c r="Y331" s="235"/>
      <c r="AF331" s="238"/>
    </row>
    <row r="332" spans="1:32">
      <c r="A332" s="175"/>
      <c r="X332" s="235"/>
      <c r="Y332" s="235"/>
      <c r="AF332" s="238"/>
    </row>
    <row r="333" spans="1:32">
      <c r="A333" s="175"/>
      <c r="X333" s="235"/>
      <c r="Y333" s="235"/>
      <c r="AF333" s="238"/>
    </row>
    <row r="334" spans="1:32">
      <c r="A334" s="175"/>
      <c r="X334" s="235"/>
      <c r="Y334" s="235"/>
      <c r="AF334" s="238"/>
    </row>
    <row r="335" spans="1:32">
      <c r="X335" s="235"/>
      <c r="Y335" s="235"/>
    </row>
    <row r="336" spans="1:32">
      <c r="X336" s="235"/>
      <c r="Y336" s="235"/>
    </row>
    <row r="337" spans="24:25">
      <c r="X337" s="235"/>
      <c r="Y337" s="235"/>
    </row>
    <row r="338" spans="24:25">
      <c r="X338" s="235"/>
      <c r="Y338" s="235"/>
    </row>
    <row r="339" spans="24:25">
      <c r="X339" s="235"/>
      <c r="Y339" s="235"/>
    </row>
    <row r="340" spans="24:25">
      <c r="X340" s="235"/>
      <c r="Y340" s="235"/>
    </row>
    <row r="341" spans="24:25">
      <c r="X341" s="235"/>
      <c r="Y341" s="235"/>
    </row>
    <row r="342" spans="24:25">
      <c r="X342" s="235"/>
      <c r="Y342" s="235"/>
    </row>
    <row r="343" spans="24:25">
      <c r="X343" s="235"/>
      <c r="Y343" s="235"/>
    </row>
    <row r="344" spans="24:25">
      <c r="X344" s="235"/>
      <c r="Y344" s="235"/>
    </row>
    <row r="345" spans="24:25">
      <c r="X345" s="235"/>
      <c r="Y345" s="235"/>
    </row>
    <row r="346" spans="24:25">
      <c r="X346" s="235"/>
      <c r="Y346" s="235"/>
    </row>
    <row r="347" spans="24:25">
      <c r="X347" s="235"/>
      <c r="Y347" s="235"/>
    </row>
    <row r="348" spans="24:25">
      <c r="X348" s="235"/>
      <c r="Y348" s="235"/>
    </row>
    <row r="349" spans="24:25">
      <c r="X349" s="235"/>
      <c r="Y349" s="235"/>
    </row>
    <row r="350" spans="24:25">
      <c r="X350" s="235"/>
      <c r="Y350" s="235"/>
    </row>
    <row r="351" spans="24:25">
      <c r="X351" s="235"/>
      <c r="Y351" s="235"/>
    </row>
    <row r="352" spans="24:25">
      <c r="X352" s="235"/>
      <c r="Y352" s="235"/>
    </row>
    <row r="353" spans="3:25">
      <c r="C353" s="237"/>
      <c r="D353" s="237"/>
      <c r="X353" s="235"/>
      <c r="Y353" s="235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Confidential Exhibit NMC-R7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zoomScaleNormal="100" workbookViewId="0">
      <selection activeCell="C3" sqref="C3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8.28515625" style="4" bestFit="1" customWidth="1"/>
    <col min="4" max="16384" width="29.42578125" style="4"/>
  </cols>
  <sheetData>
    <row r="1" spans="1:4">
      <c r="A1" s="51"/>
      <c r="B1" s="245" t="s">
        <v>210</v>
      </c>
      <c r="C1" s="246"/>
      <c r="D1" s="155"/>
    </row>
    <row r="2" spans="1:4">
      <c r="A2" s="51"/>
      <c r="B2" s="245" t="s">
        <v>235</v>
      </c>
      <c r="C2" s="246"/>
      <c r="D2" s="155"/>
    </row>
    <row r="3" spans="1:4">
      <c r="A3" s="51"/>
      <c r="B3" s="245" t="s">
        <v>236</v>
      </c>
      <c r="C3" s="246"/>
      <c r="D3" s="155"/>
    </row>
    <row r="4" spans="1:4">
      <c r="A4" s="51"/>
      <c r="B4" s="245" t="s">
        <v>212</v>
      </c>
      <c r="C4" s="246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4.0000000000000001E-3</v>
      </c>
    </row>
    <row r="12" spans="1:4">
      <c r="A12" s="159">
        <f>+A11+1</f>
        <v>3</v>
      </c>
      <c r="B12" s="4" t="s">
        <v>241</v>
      </c>
      <c r="C12" s="160"/>
      <c r="D12" s="179">
        <v>1.493E-3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0.99450700000000003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5.0065000000000005E-2</v>
      </c>
      <c r="D16" s="179">
        <f>ROUND(D14*C16,6)</f>
        <v>4.9790000000000001E-2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0.94471700000000003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0.19839100000000001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0.74632600000000004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1.3398970400000001</v>
      </c>
    </row>
    <row r="29" spans="1:5">
      <c r="A29" s="4" t="s">
        <v>352</v>
      </c>
      <c r="E29" s="51" t="s">
        <v>325</v>
      </c>
    </row>
    <row r="30" spans="1:5">
      <c r="A30" s="51" t="s">
        <v>41</v>
      </c>
      <c r="E30" s="51" t="s">
        <v>326</v>
      </c>
    </row>
    <row r="31" spans="1:5">
      <c r="A31" s="115" t="s">
        <v>221</v>
      </c>
      <c r="C31" s="115" t="s">
        <v>327</v>
      </c>
      <c r="E31" s="115" t="s">
        <v>328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329</v>
      </c>
      <c r="C33" s="179">
        <v>1.642E-3</v>
      </c>
      <c r="E33" s="205">
        <f>ROUND(E32*C33,6)</f>
        <v>1.642E-3</v>
      </c>
    </row>
    <row r="34" spans="1:5">
      <c r="A34" s="51">
        <f t="shared" ref="A34:A41" si="0">+A33+1</f>
        <v>3</v>
      </c>
      <c r="B34" s="4" t="s">
        <v>330</v>
      </c>
      <c r="E34" s="179">
        <f>+E32-E33</f>
        <v>0.99835799999999997</v>
      </c>
    </row>
    <row r="35" spans="1:5">
      <c r="A35" s="51">
        <f t="shared" si="0"/>
        <v>4</v>
      </c>
      <c r="B35" s="4" t="s">
        <v>331</v>
      </c>
      <c r="C35" s="179">
        <v>0</v>
      </c>
      <c r="E35" s="205">
        <f>ROUND(E34*C35,6)</f>
        <v>0</v>
      </c>
    </row>
    <row r="36" spans="1:5">
      <c r="A36" s="51">
        <f t="shared" si="0"/>
        <v>5</v>
      </c>
      <c r="B36" s="4" t="s">
        <v>332</v>
      </c>
      <c r="C36" s="179"/>
      <c r="E36" s="179">
        <f>+E34-E35</f>
        <v>0.99835799999999997</v>
      </c>
    </row>
    <row r="37" spans="1:5">
      <c r="A37" s="51">
        <f t="shared" si="0"/>
        <v>6</v>
      </c>
      <c r="B37" s="4" t="s">
        <v>333</v>
      </c>
      <c r="C37" s="179">
        <v>3.3529999999999997E-2</v>
      </c>
      <c r="E37" s="205">
        <f>ROUND(E36*C37,6)</f>
        <v>3.3474999999999998E-2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0.96488299999999994</v>
      </c>
    </row>
    <row r="39" spans="1:5">
      <c r="A39" s="51">
        <f t="shared" si="0"/>
        <v>8</v>
      </c>
      <c r="B39" s="4" t="s">
        <v>334</v>
      </c>
      <c r="C39" s="179">
        <v>0.21</v>
      </c>
      <c r="E39" s="205">
        <f>ROUND(E38*C39,6)</f>
        <v>0.202625</v>
      </c>
    </row>
    <row r="40" spans="1:5">
      <c r="A40" s="51">
        <f t="shared" si="0"/>
        <v>9</v>
      </c>
      <c r="B40" s="4" t="s">
        <v>247</v>
      </c>
      <c r="E40" s="206">
        <f>E38-E39</f>
        <v>0.76225799999999988</v>
      </c>
    </row>
    <row r="41" spans="1:5" ht="13.5" thickBot="1">
      <c r="A41" s="51">
        <f t="shared" si="0"/>
        <v>10</v>
      </c>
      <c r="B41" s="4" t="s">
        <v>335</v>
      </c>
      <c r="E41" s="207">
        <f>ROUND(1/E40,6)</f>
        <v>1.3118920000000001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Confidential Exhibit NMC-R7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topLeftCell="A5" zoomScaleNormal="100" workbookViewId="0">
      <selection activeCell="C3" sqref="C3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7"/>
      <c r="B5" s="248"/>
      <c r="C5" s="248"/>
      <c r="D5" s="248"/>
      <c r="E5" s="248"/>
      <c r="F5" s="248"/>
      <c r="G5" s="248"/>
      <c r="H5" s="248"/>
      <c r="I5" s="248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Confidential Exhibit NMC-R7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zoomScaleNormal="100" workbookViewId="0">
      <selection activeCell="A3" sqref="A3:D3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49" t="s">
        <v>210</v>
      </c>
      <c r="B2" s="249"/>
      <c r="C2" s="249"/>
      <c r="D2" s="249"/>
    </row>
    <row r="3" spans="1:12">
      <c r="A3" s="249" t="s">
        <v>211</v>
      </c>
      <c r="B3" s="249"/>
      <c r="C3" s="249"/>
      <c r="D3" s="249"/>
      <c r="E3" s="244"/>
      <c r="F3" s="244"/>
      <c r="G3" s="244"/>
      <c r="H3" s="244"/>
      <c r="I3" s="244"/>
      <c r="J3" s="244"/>
      <c r="K3" s="244"/>
      <c r="L3" s="244"/>
    </row>
    <row r="4" spans="1:12">
      <c r="A4" s="249" t="s">
        <v>212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953708559.56887507</v>
      </c>
      <c r="D12" s="152">
        <f>ROUND(C12/$C$18,5)</f>
        <v>0.52617000000000003</v>
      </c>
      <c r="E12" s="152">
        <v>4.9099999999999998E-2</v>
      </c>
      <c r="F12" s="152">
        <f>D12*E12</f>
        <v>2.5834947E-2</v>
      </c>
      <c r="G12">
        <v>1.0055233397050001</v>
      </c>
      <c r="H12" s="152">
        <f>F12*G12</f>
        <v>2.5977642188541674E-2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111251045.99650832</v>
      </c>
      <c r="D14" s="152">
        <f>ROUND(C14/$C$18,5)</f>
        <v>6.1379999999999997E-2</v>
      </c>
      <c r="E14" s="152">
        <v>3.73E-2</v>
      </c>
      <c r="F14" s="152">
        <f>D14*E14</f>
        <v>2.2894739999999997E-3</v>
      </c>
      <c r="G14">
        <v>1.0055233397049996</v>
      </c>
      <c r="H14" s="152">
        <f>F14*G14</f>
        <v>2.302119542647764E-3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747579968.70261669</v>
      </c>
      <c r="D16" s="152">
        <f>ROUND(C16/$C$18,5)</f>
        <v>0.41244999999999998</v>
      </c>
      <c r="E16" s="152">
        <v>9.7500000000000003E-2</v>
      </c>
      <c r="F16" s="152">
        <f>D16*E16</f>
        <v>4.0213875000000003E-2</v>
      </c>
      <c r="G16">
        <v>1.3398970423112688</v>
      </c>
      <c r="H16" s="152">
        <f>F16*G16</f>
        <v>5.3882452172375077E-2</v>
      </c>
    </row>
    <row r="17" spans="1:8">
      <c r="C17" s="153" t="s">
        <v>231</v>
      </c>
      <c r="D17" s="152" t="s">
        <v>231</v>
      </c>
      <c r="E17" s="152"/>
      <c r="F17" s="152" t="s">
        <v>231</v>
      </c>
      <c r="H17" s="152"/>
    </row>
    <row r="18" spans="1:8">
      <c r="A18">
        <v>5</v>
      </c>
      <c r="B18" t="s">
        <v>4</v>
      </c>
      <c r="C18" s="153">
        <v>1812539574.2680001</v>
      </c>
      <c r="D18" s="152">
        <f>SUM(D12:D17)</f>
        <v>1</v>
      </c>
      <c r="F18" s="152">
        <f>SUM(F12:F17)</f>
        <v>6.8338296000000007E-2</v>
      </c>
      <c r="H18" s="152">
        <f>SUM(H12:H17)</f>
        <v>8.2162213903564513E-2</v>
      </c>
    </row>
    <row r="19" spans="1:8">
      <c r="C19" s="153"/>
      <c r="F19" s="152"/>
    </row>
    <row r="20" spans="1:8">
      <c r="C20" s="153"/>
    </row>
    <row r="22" spans="1:8" ht="16.5">
      <c r="A22" s="208" t="s">
        <v>336</v>
      </c>
      <c r="B22" s="209"/>
      <c r="C22" s="209"/>
      <c r="D22" s="209"/>
      <c r="E22" s="209"/>
      <c r="F22" s="209"/>
    </row>
    <row r="23" spans="1:8" ht="16.5">
      <c r="A23" s="208" t="s">
        <v>337</v>
      </c>
      <c r="B23" s="210"/>
      <c r="C23" s="210"/>
      <c r="D23" s="210"/>
      <c r="E23" s="210"/>
      <c r="F23" s="210"/>
    </row>
    <row r="24" spans="1:8" ht="16.5">
      <c r="A24" s="208" t="s">
        <v>338</v>
      </c>
      <c r="B24" s="211"/>
      <c r="C24" s="211"/>
      <c r="D24" s="211"/>
      <c r="E24" s="211"/>
      <c r="F24" s="211"/>
    </row>
    <row r="25" spans="1:8" ht="16.5">
      <c r="A25" s="212"/>
      <c r="B25" s="213"/>
      <c r="C25" s="213"/>
      <c r="D25" s="214"/>
      <c r="E25" s="213"/>
      <c r="F25" s="213"/>
    </row>
    <row r="26" spans="1:8" ht="16.5">
      <c r="A26" s="211"/>
      <c r="B26" s="211"/>
      <c r="C26" s="211"/>
      <c r="D26" s="211"/>
      <c r="E26" s="211"/>
      <c r="F26" s="213"/>
    </row>
    <row r="27" spans="1:8" ht="16.5">
      <c r="A27" s="211"/>
      <c r="B27" s="211"/>
      <c r="C27" s="211"/>
      <c r="D27" s="211"/>
      <c r="E27" s="213"/>
      <c r="F27" s="213" t="s">
        <v>175</v>
      </c>
    </row>
    <row r="28" spans="1:8" ht="16.5">
      <c r="A28" s="213"/>
      <c r="B28" s="211"/>
      <c r="C28" s="213" t="s">
        <v>339</v>
      </c>
      <c r="D28" s="213" t="s">
        <v>340</v>
      </c>
      <c r="E28" s="213" t="s">
        <v>341</v>
      </c>
      <c r="F28" s="213" t="s">
        <v>342</v>
      </c>
    </row>
    <row r="29" spans="1:8" ht="16.5">
      <c r="A29" s="215"/>
      <c r="B29" s="215" t="s">
        <v>43</v>
      </c>
      <c r="C29" s="216" t="s">
        <v>343</v>
      </c>
      <c r="D29" s="216" t="s">
        <v>4</v>
      </c>
      <c r="E29" s="216" t="s">
        <v>179</v>
      </c>
      <c r="F29" s="216" t="s">
        <v>0</v>
      </c>
    </row>
    <row r="30" spans="1:8" ht="16.5">
      <c r="A30" s="213"/>
      <c r="B30" s="211"/>
      <c r="C30" s="217" t="s">
        <v>344</v>
      </c>
      <c r="D30" s="213" t="s">
        <v>345</v>
      </c>
      <c r="E30" s="213" t="s">
        <v>345</v>
      </c>
      <c r="F30" s="213" t="s">
        <v>345</v>
      </c>
    </row>
    <row r="31" spans="1:8" ht="16.5">
      <c r="A31" s="213"/>
      <c r="B31" s="211" t="s">
        <v>229</v>
      </c>
      <c r="C31" s="218">
        <v>166679.05163999999</v>
      </c>
      <c r="D31" s="219">
        <v>1.323782990293202E-2</v>
      </c>
      <c r="E31" s="220">
        <v>5.7267152353394676E-2</v>
      </c>
      <c r="F31" s="219">
        <v>7.5809282187953191E-4</v>
      </c>
    </row>
    <row r="32" spans="1:8" ht="16.5">
      <c r="A32" s="213"/>
      <c r="B32" s="211" t="s">
        <v>346</v>
      </c>
      <c r="C32" s="218">
        <v>6269464.2536400007</v>
      </c>
      <c r="D32" s="219">
        <v>0.49792760731236296</v>
      </c>
      <c r="E32" s="220">
        <v>4.9714869475391985E-2</v>
      </c>
      <c r="F32" s="219">
        <v>2.4754406005728362E-2</v>
      </c>
    </row>
    <row r="33" spans="1:6" ht="16.5">
      <c r="A33" s="213"/>
      <c r="B33" s="211" t="s">
        <v>347</v>
      </c>
      <c r="C33" s="218">
        <v>0</v>
      </c>
      <c r="D33" s="219">
        <v>0</v>
      </c>
      <c r="E33" s="221"/>
      <c r="F33" s="219">
        <v>0</v>
      </c>
    </row>
    <row r="34" spans="1:6" ht="16.5">
      <c r="A34" s="213"/>
      <c r="B34" s="211" t="s">
        <v>348</v>
      </c>
      <c r="C34" s="222">
        <v>6154972.6753749996</v>
      </c>
      <c r="D34" s="223">
        <v>0.48883456278470505</v>
      </c>
      <c r="E34" s="220">
        <v>9.2499999999999999E-2</v>
      </c>
      <c r="F34" s="219">
        <v>4.5217197057585215E-2</v>
      </c>
    </row>
    <row r="35" spans="1:6" ht="16.5">
      <c r="A35" s="213"/>
      <c r="B35" s="211"/>
      <c r="C35" s="224" t="s">
        <v>349</v>
      </c>
      <c r="D35" s="225"/>
      <c r="E35" s="226"/>
      <c r="F35" s="227" t="s">
        <v>349</v>
      </c>
    </row>
    <row r="36" spans="1:6" ht="16.5">
      <c r="A36" s="213"/>
      <c r="B36" s="211" t="s">
        <v>4</v>
      </c>
      <c r="C36" s="228">
        <v>12591115.980655</v>
      </c>
      <c r="D36" s="229">
        <v>1</v>
      </c>
      <c r="E36" s="226"/>
      <c r="F36" s="229">
        <v>7.0729695885193108E-2</v>
      </c>
    </row>
    <row r="37" spans="1:6" ht="16.5">
      <c r="A37" s="213"/>
      <c r="B37" s="211"/>
      <c r="C37" s="213" t="s">
        <v>349</v>
      </c>
      <c r="D37" s="211"/>
      <c r="E37" s="230"/>
      <c r="F37" s="211"/>
    </row>
    <row r="38" spans="1:6" ht="16.5">
      <c r="A38" s="211"/>
      <c r="B38" s="231"/>
      <c r="C38" s="211"/>
      <c r="D38" s="232"/>
      <c r="E38" s="211"/>
      <c r="F38" s="231"/>
    </row>
    <row r="39" spans="1:6" ht="16.5">
      <c r="A39" s="211"/>
      <c r="B39" s="211" t="s">
        <v>350</v>
      </c>
      <c r="C39" s="211"/>
      <c r="D39" s="232"/>
      <c r="E39" s="211"/>
      <c r="F39" s="231"/>
    </row>
    <row r="40" spans="1:6" ht="16.5">
      <c r="A40" s="231"/>
      <c r="B40" s="211" t="s">
        <v>351</v>
      </c>
      <c r="C40" s="231"/>
      <c r="D40" s="231"/>
      <c r="E40" s="231"/>
      <c r="F40" s="231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Confidential Exhibit NMC-R7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3"/>
  <sheetViews>
    <sheetView showGridLines="0" topLeftCell="A10" zoomScale="85" zoomScaleNormal="85" zoomScaleSheetLayoutView="85" workbookViewId="0">
      <selection activeCell="C3" sqref="C3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50" t="s">
        <v>315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297</v>
      </c>
      <c r="Y2" s="11" t="s">
        <v>298</v>
      </c>
      <c r="Z2" s="11" t="s">
        <v>299</v>
      </c>
      <c r="AA2" s="11" t="s">
        <v>300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2028</v>
      </c>
      <c r="D3" s="13">
        <f t="shared" ref="D3:N3" si="0">+C3+1</f>
        <v>2029</v>
      </c>
      <c r="E3" s="13">
        <f t="shared" si="0"/>
        <v>2030</v>
      </c>
      <c r="F3" s="13">
        <f t="shared" si="0"/>
        <v>2031</v>
      </c>
      <c r="G3" s="13">
        <f t="shared" si="0"/>
        <v>2032</v>
      </c>
      <c r="H3" s="13">
        <f t="shared" si="0"/>
        <v>2033</v>
      </c>
      <c r="I3" s="13">
        <f t="shared" si="0"/>
        <v>2034</v>
      </c>
      <c r="J3" s="13">
        <f t="shared" si="0"/>
        <v>2035</v>
      </c>
      <c r="K3" s="13">
        <f t="shared" si="0"/>
        <v>2036</v>
      </c>
      <c r="L3" s="13">
        <f t="shared" si="0"/>
        <v>2037</v>
      </c>
      <c r="M3" s="13">
        <f t="shared" si="0"/>
        <v>2038</v>
      </c>
      <c r="N3" s="13">
        <f t="shared" si="0"/>
        <v>2039</v>
      </c>
      <c r="O3" s="13">
        <f t="shared" ref="O3" si="1">+N3+1</f>
        <v>2040</v>
      </c>
      <c r="P3" s="13">
        <f t="shared" ref="P3" si="2">+O3+1</f>
        <v>2041</v>
      </c>
      <c r="Q3" s="13">
        <f t="shared" ref="Q3" si="3">+P3+1</f>
        <v>2042</v>
      </c>
      <c r="R3" s="13">
        <f t="shared" ref="R3" si="4">+Q3+1</f>
        <v>2043</v>
      </c>
      <c r="S3" s="13">
        <f t="shared" ref="S3" si="5">+R3+1</f>
        <v>2044</v>
      </c>
      <c r="T3" s="13">
        <f t="shared" ref="T3" si="6">+S3+1</f>
        <v>2045</v>
      </c>
      <c r="U3" s="13">
        <f t="shared" ref="U3" si="7">+T3+1</f>
        <v>2046</v>
      </c>
      <c r="V3" s="13">
        <f t="shared" ref="V3" si="8">+U3+1</f>
        <v>2047</v>
      </c>
      <c r="W3" s="13">
        <f t="shared" ref="W3" si="9">+V3+1</f>
        <v>2048</v>
      </c>
      <c r="X3" s="13">
        <f t="shared" ref="X3" si="10">+W3+1</f>
        <v>2049</v>
      </c>
      <c r="Y3" s="13">
        <f t="shared" ref="Y3" si="11">+X3+1</f>
        <v>2050</v>
      </c>
      <c r="Z3" s="13">
        <f t="shared" ref="Z3" si="12">+Y3+1</f>
        <v>2051</v>
      </c>
      <c r="AA3" s="13">
        <f t="shared" ref="AA3" si="13">+Z3+1</f>
        <v>2052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28917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0</v>
      </c>
      <c r="M4" s="92">
        <f>Input!L41/1000</f>
        <v>0</v>
      </c>
      <c r="N4" s="92">
        <f>Input!M41/1000</f>
        <v>0</v>
      </c>
      <c r="O4" s="92">
        <f>Input!N41/1000</f>
        <v>3000</v>
      </c>
      <c r="P4" s="92">
        <f>Input!O41/1000</f>
        <v>0</v>
      </c>
      <c r="Q4" s="92">
        <f>Input!P41/1000</f>
        <v>0</v>
      </c>
      <c r="R4" s="92">
        <f>Input!Q41/1000</f>
        <v>0</v>
      </c>
      <c r="S4" s="92">
        <f>Input!R41/1000</f>
        <v>0</v>
      </c>
      <c r="T4" s="92">
        <f>Input!S41/1000</f>
        <v>0</v>
      </c>
      <c r="U4" s="92">
        <f>Input!T41/1000</f>
        <v>0</v>
      </c>
      <c r="V4" s="92">
        <f>Input!U41/1000</f>
        <v>0</v>
      </c>
      <c r="W4" s="92">
        <f>Input!V41/1000</f>
        <v>0</v>
      </c>
      <c r="X4" s="92">
        <f>Input!W41/1000</f>
        <v>0</v>
      </c>
      <c r="Y4" s="92">
        <f>Input!X41/1000</f>
        <v>0</v>
      </c>
      <c r="Z4" s="92">
        <f>Input!Y41/1000</f>
        <v>0</v>
      </c>
      <c r="AA4" s="92">
        <f>Input!Z41/1000</f>
        <v>0</v>
      </c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113217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113217</v>
      </c>
      <c r="C6" s="91">
        <f t="shared" ref="C6:N6" si="14">B6+C4</f>
        <v>113217</v>
      </c>
      <c r="D6" s="91">
        <f t="shared" si="14"/>
        <v>142134</v>
      </c>
      <c r="E6" s="91">
        <f t="shared" si="14"/>
        <v>142134</v>
      </c>
      <c r="F6" s="91">
        <f t="shared" si="14"/>
        <v>142134</v>
      </c>
      <c r="G6" s="91">
        <f t="shared" si="14"/>
        <v>142134</v>
      </c>
      <c r="H6" s="91">
        <f t="shared" si="14"/>
        <v>142134</v>
      </c>
      <c r="I6" s="91">
        <f t="shared" si="14"/>
        <v>142134</v>
      </c>
      <c r="J6" s="91">
        <f t="shared" si="14"/>
        <v>142134</v>
      </c>
      <c r="K6" s="91">
        <f t="shared" si="14"/>
        <v>142134</v>
      </c>
      <c r="L6" s="91">
        <f t="shared" si="14"/>
        <v>142134</v>
      </c>
      <c r="M6" s="91">
        <f t="shared" si="14"/>
        <v>142134</v>
      </c>
      <c r="N6" s="91">
        <f t="shared" si="14"/>
        <v>142134</v>
      </c>
      <c r="O6" s="91">
        <f t="shared" ref="O6" si="15">N6+O4</f>
        <v>145134</v>
      </c>
      <c r="P6" s="91">
        <f t="shared" ref="P6" si="16">O6+P4</f>
        <v>145134</v>
      </c>
      <c r="Q6" s="91">
        <f t="shared" ref="Q6" si="17">P6+Q4</f>
        <v>145134</v>
      </c>
      <c r="R6" s="91">
        <f t="shared" ref="R6" si="18">Q6+R4</f>
        <v>145134</v>
      </c>
      <c r="S6" s="91">
        <f t="shared" ref="S6" si="19">R6+S4</f>
        <v>145134</v>
      </c>
      <c r="T6" s="91">
        <f t="shared" ref="T6" si="20">S6+T4</f>
        <v>145134</v>
      </c>
      <c r="U6" s="91">
        <f t="shared" ref="U6" si="21">T6+U4</f>
        <v>145134</v>
      </c>
      <c r="V6" s="91">
        <f t="shared" ref="V6" si="22">U6+V4</f>
        <v>145134</v>
      </c>
      <c r="W6" s="91">
        <f t="shared" ref="W6" si="23">V6+W4</f>
        <v>145134</v>
      </c>
      <c r="X6" s="91">
        <f t="shared" ref="X6" si="24">W6+X4</f>
        <v>145134</v>
      </c>
      <c r="Y6" s="91">
        <f t="shared" ref="Y6" si="25">X6+Y4</f>
        <v>145134</v>
      </c>
      <c r="Z6" s="91">
        <f t="shared" ref="Z6" si="26">Y6+Z4</f>
        <v>145134</v>
      </c>
      <c r="AA6" s="91">
        <f t="shared" ref="AA6" si="27">Z6+AA4</f>
        <v>145134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113217</v>
      </c>
      <c r="D10" s="66">
        <f t="shared" ref="D10:I10" si="28">D6</f>
        <v>142134</v>
      </c>
      <c r="E10" s="66">
        <f t="shared" si="28"/>
        <v>142134</v>
      </c>
      <c r="F10" s="66">
        <f t="shared" si="28"/>
        <v>142134</v>
      </c>
      <c r="G10" s="66">
        <f t="shared" si="28"/>
        <v>142134</v>
      </c>
      <c r="H10" s="66">
        <f t="shared" si="28"/>
        <v>142134</v>
      </c>
      <c r="I10" s="66">
        <f t="shared" si="28"/>
        <v>142134</v>
      </c>
      <c r="J10" s="66">
        <f t="shared" ref="J10:N10" si="29">J6</f>
        <v>142134</v>
      </c>
      <c r="K10" s="66">
        <f t="shared" si="29"/>
        <v>142134</v>
      </c>
      <c r="L10" s="66">
        <f t="shared" si="29"/>
        <v>142134</v>
      </c>
      <c r="M10" s="66">
        <f t="shared" si="29"/>
        <v>142134</v>
      </c>
      <c r="N10" s="66">
        <f t="shared" si="29"/>
        <v>142134</v>
      </c>
      <c r="O10" s="66">
        <f t="shared" ref="O10:AA10" si="30">O6</f>
        <v>145134</v>
      </c>
      <c r="P10" s="66">
        <f t="shared" si="30"/>
        <v>145134</v>
      </c>
      <c r="Q10" s="66">
        <f t="shared" si="30"/>
        <v>145134</v>
      </c>
      <c r="R10" s="66">
        <f t="shared" si="30"/>
        <v>145134</v>
      </c>
      <c r="S10" s="66">
        <f t="shared" si="30"/>
        <v>145134</v>
      </c>
      <c r="T10" s="66">
        <f t="shared" si="30"/>
        <v>145134</v>
      </c>
      <c r="U10" s="66">
        <f t="shared" si="30"/>
        <v>145134</v>
      </c>
      <c r="V10" s="66">
        <f t="shared" si="30"/>
        <v>145134</v>
      </c>
      <c r="W10" s="66">
        <f t="shared" si="30"/>
        <v>145134</v>
      </c>
      <c r="X10" s="66">
        <f t="shared" si="30"/>
        <v>145134</v>
      </c>
      <c r="Y10" s="66">
        <f t="shared" si="30"/>
        <v>145134</v>
      </c>
      <c r="Z10" s="66">
        <f t="shared" si="30"/>
        <v>145134</v>
      </c>
      <c r="AA10" s="66">
        <f t="shared" si="30"/>
        <v>145134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9434.75</v>
      </c>
      <c r="D11" s="66">
        <f t="shared" ref="D11:I11" si="31">D20</f>
        <v>21279.25</v>
      </c>
      <c r="E11" s="66">
        <f t="shared" si="31"/>
        <v>33123.75</v>
      </c>
      <c r="F11" s="66">
        <f t="shared" si="31"/>
        <v>44968.25</v>
      </c>
      <c r="G11" s="66">
        <f t="shared" si="31"/>
        <v>56812.75</v>
      </c>
      <c r="H11" s="66">
        <f t="shared" si="31"/>
        <v>68657.25</v>
      </c>
      <c r="I11" s="66">
        <f t="shared" si="31"/>
        <v>80501.75</v>
      </c>
      <c r="J11" s="66">
        <f t="shared" ref="J11:N11" si="32">J20</f>
        <v>92346.25</v>
      </c>
      <c r="K11" s="66">
        <f t="shared" si="32"/>
        <v>104190.75</v>
      </c>
      <c r="L11" s="66">
        <f t="shared" si="32"/>
        <v>116035.25</v>
      </c>
      <c r="M11" s="66">
        <f t="shared" si="32"/>
        <v>127879.75</v>
      </c>
      <c r="N11" s="66">
        <f t="shared" si="32"/>
        <v>139724.25</v>
      </c>
      <c r="O11" s="66">
        <f t="shared" ref="O11:AA11" si="33">O20</f>
        <v>139724.25</v>
      </c>
      <c r="P11" s="66">
        <f t="shared" si="33"/>
        <v>139724.25</v>
      </c>
      <c r="Q11" s="66">
        <f t="shared" si="33"/>
        <v>139724.25</v>
      </c>
      <c r="R11" s="66">
        <f t="shared" si="33"/>
        <v>139724.25</v>
      </c>
      <c r="S11" s="66">
        <f t="shared" si="33"/>
        <v>139724.25</v>
      </c>
      <c r="T11" s="66">
        <f t="shared" si="33"/>
        <v>139724.25</v>
      </c>
      <c r="U11" s="66">
        <f t="shared" si="33"/>
        <v>139724.25</v>
      </c>
      <c r="V11" s="66">
        <f t="shared" si="33"/>
        <v>139724.25</v>
      </c>
      <c r="W11" s="66">
        <f t="shared" si="33"/>
        <v>139724.25</v>
      </c>
      <c r="X11" s="66">
        <f t="shared" si="33"/>
        <v>139724.25</v>
      </c>
      <c r="Y11" s="66">
        <f t="shared" si="33"/>
        <v>139724.25</v>
      </c>
      <c r="Z11" s="66">
        <f t="shared" si="33"/>
        <v>139724.25</v>
      </c>
      <c r="AA11" s="66">
        <f t="shared" si="33"/>
        <v>139724.25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C67+C71</f>
        <v>-10827.443317989375</v>
      </c>
      <c r="D12" s="66">
        <f t="shared" si="34"/>
        <v>-10609.06307118314</v>
      </c>
      <c r="E12" s="66">
        <f t="shared" si="34"/>
        <v>-10368.125987140058</v>
      </c>
      <c r="F12" s="66">
        <f t="shared" si="34"/>
        <v>-10322.249676350315</v>
      </c>
      <c r="G12" s="66">
        <f t="shared" si="34"/>
        <v>-10457.218091187409</v>
      </c>
      <c r="H12" s="66">
        <f t="shared" si="34"/>
        <v>-10759.161296831819</v>
      </c>
      <c r="I12" s="66">
        <f t="shared" si="34"/>
        <v>-11215.847310960915</v>
      </c>
      <c r="J12" s="66">
        <f t="shared" ref="J12:N12" si="35">J67+J71</f>
        <v>-11815.33257859122</v>
      </c>
      <c r="K12" s="66">
        <f t="shared" si="35"/>
        <v>-12455.586157409893</v>
      </c>
      <c r="L12" s="66">
        <f t="shared" si="35"/>
        <v>-13099.628454797714</v>
      </c>
      <c r="M12" s="66">
        <f t="shared" si="35"/>
        <v>-13743.400847153986</v>
      </c>
      <c r="N12" s="66">
        <f t="shared" si="35"/>
        <v>-14387.443144541805</v>
      </c>
      <c r="O12" s="66">
        <f t="shared" ref="O12:AA12" si="36">O67+O71</f>
        <v>-12645.957249948076</v>
      </c>
      <c r="P12" s="66">
        <f t="shared" si="36"/>
        <v>-10883.980715941399</v>
      </c>
      <c r="Q12" s="66">
        <f t="shared" si="36"/>
        <v>-9124.9779249541716</v>
      </c>
      <c r="R12" s="66">
        <f t="shared" si="36"/>
        <v>-7369.2373342484925</v>
      </c>
      <c r="S12" s="66">
        <f t="shared" si="36"/>
        <v>-5616.0036885032641</v>
      </c>
      <c r="T12" s="66">
        <f t="shared" si="36"/>
        <v>-3865.6013525235858</v>
      </c>
      <c r="U12" s="66">
        <f t="shared" si="36"/>
        <v>-2117.304993940857</v>
      </c>
      <c r="V12" s="66">
        <f t="shared" si="36"/>
        <v>-371.46890051267866</v>
      </c>
      <c r="W12" s="66">
        <f t="shared" si="36"/>
        <v>643.42361840138528</v>
      </c>
      <c r="X12" s="66">
        <f t="shared" si="36"/>
        <v>798.81715534949979</v>
      </c>
      <c r="Y12" s="66">
        <f t="shared" si="36"/>
        <v>825.52039816049978</v>
      </c>
      <c r="Z12" s="66">
        <f t="shared" si="36"/>
        <v>852.21765638099976</v>
      </c>
      <c r="AA12" s="66">
        <f t="shared" si="36"/>
        <v>878.92089919199964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C69</f>
        <v>-2717.3586048125003</v>
      </c>
      <c r="D13" s="66">
        <f t="shared" ref="D13:I13" si="37">D69</f>
        <v>-2662.5518119850503</v>
      </c>
      <c r="E13" s="66">
        <f t="shared" si="37"/>
        <v>-2602.0839398092503</v>
      </c>
      <c r="F13" s="66">
        <f t="shared" si="37"/>
        <v>-2590.5703826175504</v>
      </c>
      <c r="G13" s="66">
        <f t="shared" si="37"/>
        <v>-2624.4433452980506</v>
      </c>
      <c r="H13" s="66">
        <f t="shared" si="37"/>
        <v>-2700.2218965151505</v>
      </c>
      <c r="I13" s="66">
        <f t="shared" si="37"/>
        <v>-2814.8361811385007</v>
      </c>
      <c r="J13" s="66">
        <f t="shared" ref="J13:N13" si="38">J69</f>
        <v>-2965.2887305180006</v>
      </c>
      <c r="K13" s="66">
        <f t="shared" si="38"/>
        <v>-3125.9728847148008</v>
      </c>
      <c r="L13" s="66">
        <f t="shared" si="38"/>
        <v>-3287.6078919156507</v>
      </c>
      <c r="M13" s="66">
        <f t="shared" si="38"/>
        <v>-3449.1751611715008</v>
      </c>
      <c r="N13" s="66">
        <f t="shared" si="38"/>
        <v>-3610.8101683723507</v>
      </c>
      <c r="O13" s="66">
        <f t="shared" ref="O13:AA13" si="39">O69</f>
        <v>-3173.7502326282006</v>
      </c>
      <c r="P13" s="66">
        <f t="shared" si="39"/>
        <v>-2731.5477702790504</v>
      </c>
      <c r="Q13" s="66">
        <f t="shared" si="39"/>
        <v>-2290.0916268849005</v>
      </c>
      <c r="R13" s="66">
        <f t="shared" si="39"/>
        <v>-1849.4541964357504</v>
      </c>
      <c r="S13" s="66">
        <f t="shared" si="39"/>
        <v>-1409.4459328416003</v>
      </c>
      <c r="T13" s="66">
        <f t="shared" si="39"/>
        <v>-970.14824179245034</v>
      </c>
      <c r="U13" s="66">
        <f t="shared" si="39"/>
        <v>-531.37908694830026</v>
      </c>
      <c r="V13" s="66">
        <f t="shared" si="39"/>
        <v>-93.227383749150249</v>
      </c>
      <c r="W13" s="66">
        <f t="shared" si="39"/>
        <v>161.47973761244975</v>
      </c>
      <c r="X13" s="66">
        <f t="shared" si="39"/>
        <v>200.47878404999977</v>
      </c>
      <c r="Y13" s="66">
        <f t="shared" si="39"/>
        <v>207.18048494999977</v>
      </c>
      <c r="Z13" s="66">
        <f t="shared" si="39"/>
        <v>213.88068389999975</v>
      </c>
      <c r="AA13" s="66">
        <f t="shared" si="39"/>
        <v>220.58238479999974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117327.05192280188</v>
      </c>
      <c r="D16" s="134">
        <f t="shared" ref="D16:I16" si="40">D10-D11-D12-D13+D14</f>
        <v>134126.36488316819</v>
      </c>
      <c r="E16" s="134">
        <f t="shared" si="40"/>
        <v>121980.4599269493</v>
      </c>
      <c r="F16" s="134">
        <f t="shared" si="40"/>
        <v>110078.57005896786</v>
      </c>
      <c r="G16" s="134">
        <f t="shared" si="40"/>
        <v>98402.911436485461</v>
      </c>
      <c r="H16" s="134">
        <f>H10-H11-H12-H13+H14</f>
        <v>86936.133193346977</v>
      </c>
      <c r="I16" s="134">
        <f t="shared" si="40"/>
        <v>75662.933492099415</v>
      </c>
      <c r="J16" s="134">
        <f t="shared" ref="J16:N16" si="41">J10-J11-J12-J13+J14</f>
        <v>64568.371309109214</v>
      </c>
      <c r="K16" s="134">
        <f t="shared" si="41"/>
        <v>53524.809042124696</v>
      </c>
      <c r="L16" s="134">
        <f t="shared" si="41"/>
        <v>42485.986346713362</v>
      </c>
      <c r="M16" s="134">
        <f>M10-M11-M12-M13+M14</f>
        <v>31446.826008325486</v>
      </c>
      <c r="N16" s="134">
        <f t="shared" si="41"/>
        <v>20408.003312914156</v>
      </c>
      <c r="O16" s="134">
        <f t="shared" ref="O16:AA16" si="42">O10-O11-O12-O13+O14</f>
        <v>21229.457482576279</v>
      </c>
      <c r="P16" s="134">
        <f t="shared" si="42"/>
        <v>19025.27848622045</v>
      </c>
      <c r="Q16" s="134">
        <f t="shared" si="42"/>
        <v>16824.819551839071</v>
      </c>
      <c r="R16" s="134">
        <f t="shared" si="42"/>
        <v>14628.441530684244</v>
      </c>
      <c r="S16" s="134">
        <f t="shared" si="42"/>
        <v>12435.199621344864</v>
      </c>
      <c r="T16" s="134">
        <f t="shared" si="42"/>
        <v>10245.499594316037</v>
      </c>
      <c r="U16" s="134">
        <f t="shared" si="42"/>
        <v>8058.4340808891575</v>
      </c>
      <c r="V16" s="134">
        <f t="shared" si="42"/>
        <v>5874.4462842618286</v>
      </c>
      <c r="W16" s="134">
        <f t="shared" si="42"/>
        <v>4604.846643986165</v>
      </c>
      <c r="X16" s="134">
        <f t="shared" si="42"/>
        <v>4410.4540606005012</v>
      </c>
      <c r="Y16" s="134">
        <f t="shared" si="42"/>
        <v>4377.0491168895005</v>
      </c>
      <c r="Z16" s="134">
        <f t="shared" si="42"/>
        <v>4343.6516597190002</v>
      </c>
      <c r="AA16" s="134">
        <f t="shared" si="42"/>
        <v>4310.2467160080005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8.3333333333333329E-2</v>
      </c>
      <c r="C19" s="72">
        <f>IF(C3-$C$3&lt;Input!$B$21,C6*$B$19,0)</f>
        <v>9434.75</v>
      </c>
      <c r="D19" s="72">
        <f>IF(D3-$C$3&lt;Input!$B$21,D6*$B$19,0)</f>
        <v>11844.5</v>
      </c>
      <c r="E19" s="72">
        <f>IF(E3-$C$3&lt;Input!$B$21,E6*$B$19,0)</f>
        <v>11844.5</v>
      </c>
      <c r="F19" s="72">
        <f>IF(F3-$C$3&lt;Input!$B$21,F6*$B$19,0)</f>
        <v>11844.5</v>
      </c>
      <c r="G19" s="72">
        <f>IF(G3-$C$3&lt;Input!$B$21,G6*$B$19,0)</f>
        <v>11844.5</v>
      </c>
      <c r="H19" s="72">
        <f>IF(H3-$C$3&lt;Input!$B$21,H6*$B$19,0)</f>
        <v>11844.5</v>
      </c>
      <c r="I19" s="72">
        <f>IF(I3-$C$3&lt;Input!$B$21,I6*$B$19,0)</f>
        <v>11844.5</v>
      </c>
      <c r="J19" s="72">
        <f>IF(J3-$C$3&lt;Input!$B$21,J6*$B$19,0)</f>
        <v>11844.5</v>
      </c>
      <c r="K19" s="72">
        <f>IF(K3-$C$3&lt;Input!$B$21,K6*$B$19,0)</f>
        <v>11844.5</v>
      </c>
      <c r="L19" s="72">
        <f>IF(L3-$C$3&lt;Input!$B$21,L6*$B$19,0)</f>
        <v>11844.5</v>
      </c>
      <c r="M19" s="72">
        <f>IF(M3-$C$3&lt;Input!$B$21,M6*$B$19,0)</f>
        <v>11844.5</v>
      </c>
      <c r="N19" s="72">
        <f>IF(N3-$C$3&lt;Input!$B$21,N6*$B$19,0)</f>
        <v>11844.5</v>
      </c>
      <c r="O19" s="72">
        <f>IF(O3-$C$3&lt;Input!$B$21,O6*$B$19,0)</f>
        <v>0</v>
      </c>
      <c r="P19" s="72">
        <f>IF(P3-$C$3&lt;Input!$B$21,P6*$B$19,0)</f>
        <v>0</v>
      </c>
      <c r="Q19" s="72">
        <f>IF(Q3-$C$3&lt;Input!$B$21,Q6*$B$19,0)</f>
        <v>0</v>
      </c>
      <c r="R19" s="72">
        <f>IF(R3-$C$3&lt;Input!$B$21,R6*$B$19,0)</f>
        <v>0</v>
      </c>
      <c r="S19" s="72">
        <f>IF(S3-$C$3&lt;Input!$B$21,S6*$B$19,0)</f>
        <v>0</v>
      </c>
      <c r="T19" s="72">
        <f>IF(T3-$C$3&lt;Input!$B$21,T6*$B$19,0)</f>
        <v>0</v>
      </c>
      <c r="U19" s="72">
        <f>IF(U3-$C$3&lt;Input!$B$21,U6*$B$19,0)</f>
        <v>0</v>
      </c>
      <c r="V19" s="72">
        <f>IF(V3-$C$3&lt;Input!$B$21,V6*$B$19,0)</f>
        <v>0</v>
      </c>
      <c r="W19" s="72">
        <f>IF(W3-$C$3&lt;Input!$B$21,W6*$B$19,0)</f>
        <v>0</v>
      </c>
      <c r="X19" s="72">
        <f>IF(X3-$C$3&lt;Input!$B$21,X6*$B$19,0)</f>
        <v>0</v>
      </c>
      <c r="Y19" s="72">
        <f>IF(Y3-$C$3&lt;Input!$B$21,Y6*$B$19,0)</f>
        <v>0</v>
      </c>
      <c r="Z19" s="72">
        <f>IF(Z3-$C$3&lt;Input!$B$21,Z6*$B$19,0)</f>
        <v>0</v>
      </c>
      <c r="AA19" s="72">
        <f>IF(AA3-$C$3&lt;Input!$B$21,AA6*$B$19,0)</f>
        <v>0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9434.75</v>
      </c>
      <c r="D20" s="69">
        <f t="shared" ref="D20:N20" si="43">C20+D19</f>
        <v>21279.25</v>
      </c>
      <c r="E20" s="69">
        <f t="shared" si="43"/>
        <v>33123.75</v>
      </c>
      <c r="F20" s="69">
        <f t="shared" si="43"/>
        <v>44968.25</v>
      </c>
      <c r="G20" s="69">
        <f t="shared" si="43"/>
        <v>56812.75</v>
      </c>
      <c r="H20" s="69">
        <f t="shared" si="43"/>
        <v>68657.25</v>
      </c>
      <c r="I20" s="69">
        <f t="shared" si="43"/>
        <v>80501.75</v>
      </c>
      <c r="J20" s="69">
        <f t="shared" si="43"/>
        <v>92346.25</v>
      </c>
      <c r="K20" s="69">
        <f t="shared" si="43"/>
        <v>104190.75</v>
      </c>
      <c r="L20" s="69">
        <f t="shared" si="43"/>
        <v>116035.25</v>
      </c>
      <c r="M20" s="69">
        <f t="shared" si="43"/>
        <v>127879.75</v>
      </c>
      <c r="N20" s="69">
        <f t="shared" si="43"/>
        <v>139724.25</v>
      </c>
      <c r="O20" s="69">
        <f t="shared" ref="O20" si="44">N20+O19</f>
        <v>139724.25</v>
      </c>
      <c r="P20" s="69">
        <f t="shared" ref="P20" si="45">O20+P19</f>
        <v>139724.25</v>
      </c>
      <c r="Q20" s="69">
        <f t="shared" ref="Q20" si="46">P20+Q19</f>
        <v>139724.25</v>
      </c>
      <c r="R20" s="69">
        <f t="shared" ref="R20" si="47">Q20+R19</f>
        <v>139724.25</v>
      </c>
      <c r="S20" s="69">
        <f t="shared" ref="S20" si="48">R20+S19</f>
        <v>139724.25</v>
      </c>
      <c r="T20" s="69">
        <f t="shared" ref="T20" si="49">S20+T19</f>
        <v>139724.25</v>
      </c>
      <c r="U20" s="69">
        <f t="shared" ref="U20" si="50">T20+U19</f>
        <v>139724.25</v>
      </c>
      <c r="V20" s="69">
        <f t="shared" ref="V20" si="51">U20+V19</f>
        <v>139724.25</v>
      </c>
      <c r="W20" s="69">
        <f t="shared" ref="W20" si="52">V20+W19</f>
        <v>139724.25</v>
      </c>
      <c r="X20" s="69">
        <f t="shared" ref="X20" si="53">W20+X19</f>
        <v>139724.25</v>
      </c>
      <c r="Y20" s="69">
        <f t="shared" ref="Y20" si="54">X20+Y19</f>
        <v>139724.25</v>
      </c>
      <c r="Z20" s="69">
        <f t="shared" ref="Z20" si="55">Y20+Z19</f>
        <v>139724.25</v>
      </c>
      <c r="AA20" s="69">
        <f t="shared" ref="AA20" si="56">Z20+AA19</f>
        <v>139724.25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0</v>
      </c>
      <c r="D24" s="49">
        <f>D4</f>
        <v>28917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0</v>
      </c>
      <c r="O24" s="49">
        <f t="shared" ref="O24:AA24" si="59">O4</f>
        <v>3000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239">
        <f>B6</f>
        <v>113217</v>
      </c>
      <c r="D25" s="49">
        <f>IF(D27=1,$B$5,0)</f>
        <v>0</v>
      </c>
      <c r="E25" s="49">
        <f>IF(E27=1,$B$5,0)</f>
        <v>0</v>
      </c>
      <c r="F25" s="49">
        <f>IF(F27=1,$B$5,0)</f>
        <v>0</v>
      </c>
      <c r="G25" s="49">
        <f>IF(G27=1,$B$5,0)</f>
        <v>0</v>
      </c>
      <c r="H25" s="49">
        <f t="shared" ref="H25:AA25" si="60">IF(H27=1,$B$5,0)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241" customFormat="1">
      <c r="A26" s="240" t="s">
        <v>356</v>
      </c>
      <c r="B26" s="239"/>
      <c r="C26" s="239">
        <f>'Cash Flow of U2'!H5/1000</f>
        <v>51000</v>
      </c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V26" s="239"/>
      <c r="W26" s="239"/>
      <c r="X26" s="239"/>
      <c r="Y26" s="239"/>
      <c r="Z26" s="239"/>
      <c r="AA26" s="239"/>
      <c r="AB26" s="239"/>
      <c r="AC26" s="239"/>
      <c r="AD26" s="239"/>
      <c r="AE26" s="239"/>
      <c r="AF26" s="239"/>
      <c r="AG26" s="239"/>
      <c r="AH26" s="239"/>
      <c r="AI26" s="239"/>
      <c r="AJ26" s="239"/>
      <c r="AK26" s="239"/>
    </row>
    <row r="27" spans="1:37" s="50" customFormat="1">
      <c r="A27" s="74" t="s">
        <v>11</v>
      </c>
      <c r="B27" s="74"/>
      <c r="C27" s="74">
        <v>1</v>
      </c>
      <c r="D27" s="74">
        <v>2</v>
      </c>
      <c r="E27" s="74">
        <v>3</v>
      </c>
      <c r="F27" s="74">
        <v>4</v>
      </c>
      <c r="G27" s="74">
        <v>5</v>
      </c>
      <c r="H27" s="74">
        <v>6</v>
      </c>
      <c r="I27" s="74">
        <v>7</v>
      </c>
      <c r="J27" s="74">
        <v>8</v>
      </c>
      <c r="K27" s="74">
        <v>9</v>
      </c>
      <c r="L27" s="74">
        <v>10</v>
      </c>
      <c r="M27" s="74">
        <v>11</v>
      </c>
      <c r="N27" s="74">
        <v>12</v>
      </c>
      <c r="O27" s="74">
        <v>13</v>
      </c>
      <c r="P27" s="74">
        <v>14</v>
      </c>
      <c r="Q27" s="74">
        <v>15</v>
      </c>
      <c r="R27" s="74">
        <v>16</v>
      </c>
      <c r="S27" s="74">
        <v>17</v>
      </c>
      <c r="T27" s="74">
        <v>18</v>
      </c>
      <c r="U27" s="74">
        <v>19</v>
      </c>
      <c r="V27" s="74">
        <v>20</v>
      </c>
      <c r="W27" s="74">
        <v>21</v>
      </c>
      <c r="X27" s="74">
        <v>22</v>
      </c>
      <c r="Y27" s="74">
        <v>23</v>
      </c>
      <c r="Z27" s="74">
        <v>24</v>
      </c>
      <c r="AA27" s="74">
        <v>25</v>
      </c>
      <c r="AB27" s="74"/>
      <c r="AC27" s="74"/>
      <c r="AD27" s="74"/>
      <c r="AE27" s="74"/>
      <c r="AF27" s="74"/>
      <c r="AG27" s="74"/>
      <c r="AH27" s="74"/>
      <c r="AI27" s="74"/>
      <c r="AJ27" s="74"/>
      <c r="AK27" s="74"/>
    </row>
    <row r="28" spans="1:37" s="50" customFormat="1">
      <c r="A28" s="74" t="s">
        <v>1</v>
      </c>
      <c r="B28" s="113" t="str">
        <f>Input!B33</f>
        <v>20  YR MACRS</v>
      </c>
      <c r="C28" s="114" cm="1">
        <f t="array" ref="C28">_xlfn.XLOOKUP($B$28,MACRS!$B$1:$G$1,_xlfn.XLOOKUP('Rate Base - coal'!C27,MACRS!$A$2:$A$22,MACRS!$B$2:$G$22))</f>
        <v>3.7499999999999999E-2</v>
      </c>
      <c r="D28" s="114" cm="1">
        <f t="array" ref="D28">_xlfn.XLOOKUP($B$28,MACRS!$B$1:$G$1,_xlfn.XLOOKUP('Rate Base - coal'!D27,MACRS!$A$2:$A$22,MACRS!$B$2:$G$22))</f>
        <v>7.2190000000000004E-2</v>
      </c>
      <c r="E28" s="114" cm="1">
        <f t="array" ref="E28">_xlfn.XLOOKUP($B$28,MACRS!$B$1:$G$1,_xlfn.XLOOKUP('Rate Base - coal'!E27,MACRS!$A$2:$A$22,MACRS!$B$2:$G$22))</f>
        <v>6.6769999999999996E-2</v>
      </c>
      <c r="F28" s="114" cm="1">
        <f t="array" ref="F28">_xlfn.XLOOKUP($B$28,MACRS!$B$1:$G$1,_xlfn.XLOOKUP('Rate Base - coal'!F27,MACRS!$A$2:$A$22,MACRS!$B$2:$G$22))</f>
        <v>6.1769999999999999E-2</v>
      </c>
      <c r="G28" s="114" cm="1">
        <f t="array" ref="G28">_xlfn.XLOOKUP($B$28,MACRS!$B$1:$G$1,_xlfn.XLOOKUP('Rate Base - coal'!G27,MACRS!$A$2:$A$22,MACRS!$B$2:$G$22))</f>
        <v>5.713E-2</v>
      </c>
      <c r="H28" s="114" cm="1">
        <f t="array" ref="H28">_xlfn.XLOOKUP($B$28,MACRS!$B$1:$G$1,_xlfn.XLOOKUP('Rate Base - coal'!H27,MACRS!$A$2:$A$22,MACRS!$B$2:$G$22))</f>
        <v>5.2850000000000001E-2</v>
      </c>
      <c r="I28" s="114" cm="1">
        <f t="array" ref="I28">_xlfn.XLOOKUP($B$28,MACRS!$B$1:$G$1,_xlfn.XLOOKUP('Rate Base - coal'!I27,MACRS!$A$2:$A$22,MACRS!$B$2:$G$22))</f>
        <v>4.888E-2</v>
      </c>
      <c r="J28" s="114" cm="1">
        <f t="array" ref="J28">_xlfn.XLOOKUP($B$28,MACRS!$B$1:$G$1,_xlfn.XLOOKUP('Rate Base - coal'!J27,MACRS!$A$2:$A$22,MACRS!$B$2:$G$22))</f>
        <v>4.5220000000000003E-2</v>
      </c>
      <c r="K28" s="114" cm="1">
        <f t="array" ref="K28">_xlfn.XLOOKUP($B$28,MACRS!$B$1:$G$1,_xlfn.XLOOKUP('Rate Base - coal'!K27,MACRS!$A$2:$A$22,MACRS!$B$2:$G$22))</f>
        <v>4.462E-2</v>
      </c>
      <c r="L28" s="114" cm="1">
        <f t="array" ref="L28">_xlfn.XLOOKUP($B$28,MACRS!$B$1:$G$1,_xlfn.XLOOKUP('Rate Base - coal'!L27,MACRS!$A$2:$A$22,MACRS!$B$2:$G$22))</f>
        <v>4.4609999999999997E-2</v>
      </c>
      <c r="M28" s="114" cm="1">
        <f t="array" ref="M28">_xlfn.XLOOKUP($B$28,MACRS!$B$1:$G$1,_xlfn.XLOOKUP('Rate Base - coal'!M27,MACRS!$A$2:$A$22,MACRS!$B$2:$G$22))</f>
        <v>4.462E-2</v>
      </c>
      <c r="N28" s="196" cm="1">
        <f t="array" ref="N28">_xlfn.XLOOKUP($B$28,MACRS!$B$1:$G$1,_xlfn.XLOOKUP('Rate Base - coal'!N27,MACRS!$A$2:$A$22,MACRS!$B$2:$G$22))</f>
        <v>4.4609999999999997E-2</v>
      </c>
      <c r="O28" s="196" cm="1">
        <f t="array" ref="O28">_xlfn.XLOOKUP($B$28,MACRS!$B$1:$G$1,_xlfn.XLOOKUP('Rate Base - coal'!O27,MACRS!$A$2:$A$22,MACRS!$B$2:$G$22))</f>
        <v>4.462E-2</v>
      </c>
      <c r="P28" s="196" cm="1">
        <f t="array" ref="P28">_xlfn.XLOOKUP($B$28,MACRS!$B$1:$G$1,_xlfn.XLOOKUP('Rate Base - coal'!P27,MACRS!$A$2:$A$22,MACRS!$B$2:$G$22))</f>
        <v>4.4609999999999997E-2</v>
      </c>
      <c r="Q28" s="196" cm="1">
        <f t="array" ref="Q28">_xlfn.XLOOKUP($B$28,MACRS!$B$1:$G$1,_xlfn.XLOOKUP('Rate Base - coal'!Q27,MACRS!$A$2:$A$22,MACRS!$B$2:$G$22))</f>
        <v>4.462E-2</v>
      </c>
      <c r="R28" s="196" cm="1">
        <f t="array" ref="R28">_xlfn.XLOOKUP($B$28,MACRS!$B$1:$G$1,_xlfn.XLOOKUP('Rate Base - coal'!R27,MACRS!$A$2:$A$22,MACRS!$B$2:$G$22))</f>
        <v>4.4609999999999997E-2</v>
      </c>
      <c r="S28" s="196" cm="1">
        <f t="array" ref="S28">_xlfn.XLOOKUP($B$28,MACRS!$B$1:$G$1,_xlfn.XLOOKUP('Rate Base - coal'!S27,MACRS!$A$2:$A$22,MACRS!$B$2:$G$22))</f>
        <v>4.462E-2</v>
      </c>
      <c r="T28" s="196" cm="1">
        <f t="array" ref="T28">_xlfn.XLOOKUP($B$28,MACRS!$B$1:$G$1,_xlfn.XLOOKUP('Rate Base - coal'!T27,MACRS!$A$2:$A$22,MACRS!$B$2:$G$22))</f>
        <v>4.4609999999999997E-2</v>
      </c>
      <c r="U28" s="196" cm="1">
        <f t="array" ref="U28">_xlfn.XLOOKUP($B$28,MACRS!$B$1:$G$1,_xlfn.XLOOKUP('Rate Base - coal'!U27,MACRS!$A$2:$A$22,MACRS!$B$2:$G$22))</f>
        <v>4.462E-2</v>
      </c>
      <c r="V28" s="196" cm="1">
        <f t="array" ref="V28">_xlfn.XLOOKUP($B$28,MACRS!$B$1:$G$1,_xlfn.XLOOKUP('Rate Base - coal'!V27,MACRS!$A$2:$A$22,MACRS!$B$2:$G$22))</f>
        <v>4.4609999999999997E-2</v>
      </c>
      <c r="W28" s="196" cm="1">
        <f t="array" ref="W28">_xlfn.XLOOKUP($B$28,MACRS!$B$1:$G$1,_xlfn.XLOOKUP('Rate Base - coal'!W27,MACRS!$A$2:$A$22,MACRS!$B$2:$G$22))</f>
        <v>2.231E-2</v>
      </c>
      <c r="X28" s="196">
        <v>0</v>
      </c>
      <c r="Y28" s="196">
        <v>0</v>
      </c>
      <c r="Z28" s="196">
        <v>0</v>
      </c>
      <c r="AA28" s="196">
        <v>0</v>
      </c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</row>
    <row r="29" spans="1:37" s="241" customFormat="1">
      <c r="A29" s="242" t="s">
        <v>355</v>
      </c>
      <c r="B29" s="242"/>
      <c r="C29" s="94">
        <f>-C26</f>
        <v>-51000</v>
      </c>
      <c r="D29" s="94">
        <f t="shared" ref="D29:AA29" si="61">-D26</f>
        <v>0</v>
      </c>
      <c r="E29" s="94">
        <f t="shared" si="61"/>
        <v>0</v>
      </c>
      <c r="F29" s="94">
        <f t="shared" si="61"/>
        <v>0</v>
      </c>
      <c r="G29" s="94">
        <f t="shared" si="61"/>
        <v>0</v>
      </c>
      <c r="H29" s="94">
        <f t="shared" si="61"/>
        <v>0</v>
      </c>
      <c r="I29" s="94">
        <f t="shared" si="61"/>
        <v>0</v>
      </c>
      <c r="J29" s="94">
        <f t="shared" si="61"/>
        <v>0</v>
      </c>
      <c r="K29" s="94">
        <f t="shared" si="61"/>
        <v>0</v>
      </c>
      <c r="L29" s="94">
        <f t="shared" si="61"/>
        <v>0</v>
      </c>
      <c r="M29" s="94">
        <f t="shared" si="61"/>
        <v>0</v>
      </c>
      <c r="N29" s="94">
        <f t="shared" si="61"/>
        <v>0</v>
      </c>
      <c r="O29" s="94">
        <f t="shared" si="61"/>
        <v>0</v>
      </c>
      <c r="P29" s="94">
        <f t="shared" si="61"/>
        <v>0</v>
      </c>
      <c r="Q29" s="94">
        <f t="shared" si="61"/>
        <v>0</v>
      </c>
      <c r="R29" s="94">
        <f t="shared" si="61"/>
        <v>0</v>
      </c>
      <c r="S29" s="94">
        <f t="shared" si="61"/>
        <v>0</v>
      </c>
      <c r="T29" s="94">
        <f t="shared" si="61"/>
        <v>0</v>
      </c>
      <c r="U29" s="94">
        <f t="shared" si="61"/>
        <v>0</v>
      </c>
      <c r="V29" s="94">
        <f t="shared" si="61"/>
        <v>0</v>
      </c>
      <c r="W29" s="94">
        <f t="shared" si="61"/>
        <v>0</v>
      </c>
      <c r="X29" s="94">
        <f t="shared" si="61"/>
        <v>0</v>
      </c>
      <c r="Y29" s="94">
        <f t="shared" si="61"/>
        <v>0</v>
      </c>
      <c r="Z29" s="94">
        <f t="shared" si="61"/>
        <v>0</v>
      </c>
      <c r="AA29" s="94">
        <f t="shared" si="61"/>
        <v>0</v>
      </c>
      <c r="AB29" s="243"/>
      <c r="AC29" s="243"/>
      <c r="AD29" s="243"/>
      <c r="AE29" s="243"/>
      <c r="AF29" s="243"/>
      <c r="AG29" s="243"/>
      <c r="AH29" s="243"/>
      <c r="AI29" s="243"/>
      <c r="AJ29" s="243"/>
      <c r="AK29" s="243"/>
    </row>
    <row r="30" spans="1:37" s="241" customFormat="1">
      <c r="A30" s="242" t="s">
        <v>354</v>
      </c>
      <c r="B30" s="242"/>
      <c r="C30" s="94">
        <f>$C$26*C$28</f>
        <v>1912.5</v>
      </c>
      <c r="D30" s="94">
        <f t="shared" ref="D30:AA30" si="62">$C$26*D$28</f>
        <v>3681.69</v>
      </c>
      <c r="E30" s="94">
        <f t="shared" si="62"/>
        <v>3405.27</v>
      </c>
      <c r="F30" s="94">
        <f t="shared" si="62"/>
        <v>3150.27</v>
      </c>
      <c r="G30" s="94">
        <f t="shared" si="62"/>
        <v>2913.63</v>
      </c>
      <c r="H30" s="94">
        <f t="shared" si="62"/>
        <v>2695.35</v>
      </c>
      <c r="I30" s="94">
        <f t="shared" si="62"/>
        <v>2492.88</v>
      </c>
      <c r="J30" s="94">
        <f t="shared" si="62"/>
        <v>2306.2200000000003</v>
      </c>
      <c r="K30" s="94">
        <f t="shared" si="62"/>
        <v>2275.62</v>
      </c>
      <c r="L30" s="94">
        <f t="shared" si="62"/>
        <v>2275.1099999999997</v>
      </c>
      <c r="M30" s="94">
        <f t="shared" si="62"/>
        <v>2275.62</v>
      </c>
      <c r="N30" s="94">
        <f t="shared" si="62"/>
        <v>2275.1099999999997</v>
      </c>
      <c r="O30" s="94">
        <f t="shared" si="62"/>
        <v>2275.62</v>
      </c>
      <c r="P30" s="94">
        <f t="shared" si="62"/>
        <v>2275.1099999999997</v>
      </c>
      <c r="Q30" s="94">
        <f t="shared" si="62"/>
        <v>2275.62</v>
      </c>
      <c r="R30" s="94">
        <f t="shared" si="62"/>
        <v>2275.1099999999997</v>
      </c>
      <c r="S30" s="94">
        <f t="shared" si="62"/>
        <v>2275.62</v>
      </c>
      <c r="T30" s="94">
        <f t="shared" si="62"/>
        <v>2275.1099999999997</v>
      </c>
      <c r="U30" s="94">
        <f t="shared" si="62"/>
        <v>2275.62</v>
      </c>
      <c r="V30" s="94">
        <f t="shared" si="62"/>
        <v>2275.1099999999997</v>
      </c>
      <c r="W30" s="94">
        <f t="shared" si="62"/>
        <v>1137.81</v>
      </c>
      <c r="X30" s="94">
        <f t="shared" si="62"/>
        <v>0</v>
      </c>
      <c r="Y30" s="94">
        <f t="shared" si="62"/>
        <v>0</v>
      </c>
      <c r="Z30" s="94">
        <f t="shared" si="62"/>
        <v>0</v>
      </c>
      <c r="AA30" s="94">
        <f t="shared" si="62"/>
        <v>0</v>
      </c>
      <c r="AB30" s="243"/>
      <c r="AC30" s="243"/>
      <c r="AD30" s="243"/>
      <c r="AE30" s="243"/>
      <c r="AF30" s="243"/>
      <c r="AG30" s="243"/>
      <c r="AH30" s="243"/>
      <c r="AI30" s="243"/>
      <c r="AJ30" s="243"/>
      <c r="AK30" s="243"/>
    </row>
    <row r="31" spans="1:37" s="50" customFormat="1">
      <c r="A31" s="74" t="s">
        <v>71</v>
      </c>
      <c r="B31" s="74"/>
      <c r="C31" s="69">
        <f>($C$25+$C$24)*C$28</f>
        <v>4245.6374999999998</v>
      </c>
      <c r="D31" s="69">
        <f t="shared" ref="D31:AA31" si="63">($C$25+$C$24)*D$28</f>
        <v>8173.1352300000008</v>
      </c>
      <c r="E31" s="69">
        <f t="shared" si="63"/>
        <v>7559.4990899999993</v>
      </c>
      <c r="F31" s="69">
        <f t="shared" si="63"/>
        <v>6993.4140900000002</v>
      </c>
      <c r="G31" s="69">
        <f t="shared" si="63"/>
        <v>6468.0872099999997</v>
      </c>
      <c r="H31" s="69">
        <f t="shared" si="63"/>
        <v>5983.5184500000005</v>
      </c>
      <c r="I31" s="69">
        <f t="shared" si="63"/>
        <v>5534.0469599999997</v>
      </c>
      <c r="J31" s="69">
        <f t="shared" si="63"/>
        <v>5119.67274</v>
      </c>
      <c r="K31" s="69">
        <f t="shared" si="63"/>
        <v>5051.7425400000002</v>
      </c>
      <c r="L31" s="69">
        <f t="shared" si="63"/>
        <v>5050.6103699999994</v>
      </c>
      <c r="M31" s="69">
        <f t="shared" si="63"/>
        <v>5051.7425400000002</v>
      </c>
      <c r="N31" s="69">
        <f t="shared" si="63"/>
        <v>5050.6103699999994</v>
      </c>
      <c r="O31" s="69">
        <f t="shared" si="63"/>
        <v>5051.7425400000002</v>
      </c>
      <c r="P31" s="69">
        <f t="shared" si="63"/>
        <v>5050.6103699999994</v>
      </c>
      <c r="Q31" s="69">
        <f t="shared" si="63"/>
        <v>5051.7425400000002</v>
      </c>
      <c r="R31" s="69">
        <f t="shared" si="63"/>
        <v>5050.6103699999994</v>
      </c>
      <c r="S31" s="69">
        <f t="shared" si="63"/>
        <v>5051.7425400000002</v>
      </c>
      <c r="T31" s="69">
        <f t="shared" si="63"/>
        <v>5050.6103699999994</v>
      </c>
      <c r="U31" s="69">
        <f t="shared" si="63"/>
        <v>5051.7425400000002</v>
      </c>
      <c r="V31" s="69">
        <f t="shared" si="63"/>
        <v>5050.6103699999994</v>
      </c>
      <c r="W31" s="69">
        <f t="shared" si="63"/>
        <v>2525.8712700000001</v>
      </c>
      <c r="X31" s="69">
        <f t="shared" si="63"/>
        <v>0</v>
      </c>
      <c r="Y31" s="69">
        <f t="shared" si="63"/>
        <v>0</v>
      </c>
      <c r="Z31" s="69">
        <f t="shared" si="63"/>
        <v>0</v>
      </c>
      <c r="AA31" s="69">
        <f t="shared" si="63"/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72</v>
      </c>
      <c r="B32" s="74"/>
      <c r="C32" s="67"/>
      <c r="D32" s="69">
        <f>($D$24*C$28)</f>
        <v>1084.3875</v>
      </c>
      <c r="E32" s="69">
        <f t="shared" ref="E32:N32" si="64">($D$24*D$28)</f>
        <v>2087.5182300000001</v>
      </c>
      <c r="F32" s="69">
        <f t="shared" si="64"/>
        <v>1930.7880899999998</v>
      </c>
      <c r="G32" s="69">
        <f t="shared" si="64"/>
        <v>1786.20309</v>
      </c>
      <c r="H32" s="69">
        <f t="shared" si="64"/>
        <v>1652.0282099999999</v>
      </c>
      <c r="I32" s="69">
        <f t="shared" si="64"/>
        <v>1528.2634499999999</v>
      </c>
      <c r="J32" s="69">
        <f t="shared" si="64"/>
        <v>1413.4629600000001</v>
      </c>
      <c r="K32" s="69">
        <f t="shared" si="64"/>
        <v>1307.6267400000002</v>
      </c>
      <c r="L32" s="69">
        <f t="shared" si="64"/>
        <v>1290.2765400000001</v>
      </c>
      <c r="M32" s="69">
        <f t="shared" si="64"/>
        <v>1289.9873699999998</v>
      </c>
      <c r="N32" s="69">
        <f t="shared" si="64"/>
        <v>1290.2765400000001</v>
      </c>
      <c r="O32" s="69">
        <f t="shared" ref="O32" si="65">($D$24*N$28)</f>
        <v>1289.9873699999998</v>
      </c>
      <c r="P32" s="69">
        <f t="shared" ref="P32" si="66">($D$24*O$28)</f>
        <v>1290.2765400000001</v>
      </c>
      <c r="Q32" s="69">
        <f t="shared" ref="Q32" si="67">($D$24*P$28)</f>
        <v>1289.9873699999998</v>
      </c>
      <c r="R32" s="69">
        <f t="shared" ref="R32" si="68">($D$24*Q$28)</f>
        <v>1290.2765400000001</v>
      </c>
      <c r="S32" s="69">
        <f t="shared" ref="S32" si="69">($D$24*R$28)</f>
        <v>1289.9873699999998</v>
      </c>
      <c r="T32" s="69">
        <f t="shared" ref="T32" si="70">($D$24*S$28)</f>
        <v>1290.2765400000001</v>
      </c>
      <c r="U32" s="69">
        <f t="shared" ref="U32" si="71">($D$24*T$28)</f>
        <v>1289.9873699999998</v>
      </c>
      <c r="V32" s="69">
        <f t="shared" ref="V32" si="72">($D$24*U$28)</f>
        <v>1290.2765400000001</v>
      </c>
      <c r="W32" s="69">
        <f t="shared" ref="W32" si="73">($D$24*V$28)</f>
        <v>1289.9873699999998</v>
      </c>
      <c r="X32" s="69">
        <f t="shared" ref="X32" si="74">($D$24*W$28)</f>
        <v>645.13827000000003</v>
      </c>
      <c r="Y32" s="69">
        <f t="shared" ref="Y32" si="75">($D$24*X$28)</f>
        <v>0</v>
      </c>
      <c r="Z32" s="69">
        <f t="shared" ref="Z32" si="76">($D$24*Y$28)</f>
        <v>0</v>
      </c>
      <c r="AA32" s="69">
        <f t="shared" ref="AA32" si="77">($D$24*Z$28)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73</v>
      </c>
      <c r="B33" s="74"/>
      <c r="C33" s="67"/>
      <c r="D33" s="75"/>
      <c r="E33" s="69">
        <f t="shared" ref="E33:N33" si="78">$E$24*C28</f>
        <v>0</v>
      </c>
      <c r="F33" s="69">
        <f t="shared" si="78"/>
        <v>0</v>
      </c>
      <c r="G33" s="69">
        <f t="shared" si="78"/>
        <v>0</v>
      </c>
      <c r="H33" s="69">
        <f t="shared" si="78"/>
        <v>0</v>
      </c>
      <c r="I33" s="69">
        <f t="shared" si="78"/>
        <v>0</v>
      </c>
      <c r="J33" s="69">
        <f t="shared" si="78"/>
        <v>0</v>
      </c>
      <c r="K33" s="69">
        <f t="shared" si="78"/>
        <v>0</v>
      </c>
      <c r="L33" s="69">
        <f t="shared" si="78"/>
        <v>0</v>
      </c>
      <c r="M33" s="69">
        <f t="shared" si="78"/>
        <v>0</v>
      </c>
      <c r="N33" s="69">
        <f t="shared" si="78"/>
        <v>0</v>
      </c>
      <c r="O33" s="69">
        <f t="shared" ref="O33" si="79">$E$24*M28</f>
        <v>0</v>
      </c>
      <c r="P33" s="69">
        <f t="shared" ref="P33" si="80">$E$24*N28</f>
        <v>0</v>
      </c>
      <c r="Q33" s="69">
        <f t="shared" ref="Q33" si="81">$E$24*O28</f>
        <v>0</v>
      </c>
      <c r="R33" s="69">
        <f t="shared" ref="R33" si="82">$E$24*P28</f>
        <v>0</v>
      </c>
      <c r="S33" s="69">
        <f t="shared" ref="S33" si="83">$E$24*Q28</f>
        <v>0</v>
      </c>
      <c r="T33" s="69">
        <f t="shared" ref="T33" si="84">$E$24*R28</f>
        <v>0</v>
      </c>
      <c r="U33" s="69">
        <f t="shared" ref="U33" si="85">$E$24*S28</f>
        <v>0</v>
      </c>
      <c r="V33" s="69">
        <f t="shared" ref="V33" si="86">$E$24*T28</f>
        <v>0</v>
      </c>
      <c r="W33" s="69">
        <f t="shared" ref="W33" si="87">$E$24*U28</f>
        <v>0</v>
      </c>
      <c r="X33" s="69">
        <f t="shared" ref="X33" si="88">$E$24*V28</f>
        <v>0</v>
      </c>
      <c r="Y33" s="69">
        <f t="shared" ref="Y33" si="89">$E$24*W28</f>
        <v>0</v>
      </c>
      <c r="Z33" s="69">
        <f t="shared" ref="Z33" si="90">$E$24*X28</f>
        <v>0</v>
      </c>
      <c r="AA33" s="69">
        <f t="shared" ref="AA33" si="91">$E$24*Y28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74</v>
      </c>
      <c r="B34" s="74"/>
      <c r="C34" s="76"/>
      <c r="D34" s="77"/>
      <c r="E34" s="75"/>
      <c r="F34" s="69">
        <f t="shared" ref="F34:N34" si="92">$F$24*C28</f>
        <v>0</v>
      </c>
      <c r="G34" s="69">
        <f t="shared" si="92"/>
        <v>0</v>
      </c>
      <c r="H34" s="69">
        <f t="shared" si="92"/>
        <v>0</v>
      </c>
      <c r="I34" s="69">
        <f t="shared" si="92"/>
        <v>0</v>
      </c>
      <c r="J34" s="69">
        <f t="shared" si="92"/>
        <v>0</v>
      </c>
      <c r="K34" s="69">
        <f t="shared" si="92"/>
        <v>0</v>
      </c>
      <c r="L34" s="69">
        <f t="shared" si="92"/>
        <v>0</v>
      </c>
      <c r="M34" s="69">
        <f t="shared" si="92"/>
        <v>0</v>
      </c>
      <c r="N34" s="69">
        <f t="shared" si="92"/>
        <v>0</v>
      </c>
      <c r="O34" s="69">
        <f t="shared" ref="O34" si="93">$F$24*L28</f>
        <v>0</v>
      </c>
      <c r="P34" s="69">
        <f t="shared" ref="P34" si="94">$F$24*M28</f>
        <v>0</v>
      </c>
      <c r="Q34" s="69">
        <f t="shared" ref="Q34" si="95">$F$24*N28</f>
        <v>0</v>
      </c>
      <c r="R34" s="69">
        <f t="shared" ref="R34" si="96">$F$24*O28</f>
        <v>0</v>
      </c>
      <c r="S34" s="69">
        <f t="shared" ref="S34" si="97">$F$24*P28</f>
        <v>0</v>
      </c>
      <c r="T34" s="69">
        <f t="shared" ref="T34" si="98">$F$24*Q28</f>
        <v>0</v>
      </c>
      <c r="U34" s="69">
        <f t="shared" ref="U34" si="99">$F$24*R28</f>
        <v>0</v>
      </c>
      <c r="V34" s="69">
        <f t="shared" ref="V34" si="100">$F$24*S28</f>
        <v>0</v>
      </c>
      <c r="W34" s="69">
        <f t="shared" ref="W34" si="101">$F$24*T28</f>
        <v>0</v>
      </c>
      <c r="X34" s="69">
        <f t="shared" ref="X34" si="102">$F$24*U28</f>
        <v>0</v>
      </c>
      <c r="Y34" s="69">
        <f t="shared" ref="Y34" si="103">$F$24*V28</f>
        <v>0</v>
      </c>
      <c r="Z34" s="69">
        <f t="shared" ref="Z34" si="104">$F$24*W28</f>
        <v>0</v>
      </c>
      <c r="AA34" s="69">
        <f t="shared" ref="AA34" si="105">$F$24*X28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75</v>
      </c>
      <c r="B35" s="74"/>
      <c r="C35" s="76"/>
      <c r="D35" s="75"/>
      <c r="E35" s="75"/>
      <c r="F35" s="75"/>
      <c r="G35" s="69">
        <f t="shared" ref="G35:N35" si="106">$G$24*C28</f>
        <v>0</v>
      </c>
      <c r="H35" s="69">
        <f t="shared" si="106"/>
        <v>0</v>
      </c>
      <c r="I35" s="69">
        <f t="shared" si="106"/>
        <v>0</v>
      </c>
      <c r="J35" s="69">
        <f t="shared" si="106"/>
        <v>0</v>
      </c>
      <c r="K35" s="69">
        <f t="shared" si="106"/>
        <v>0</v>
      </c>
      <c r="L35" s="69">
        <f t="shared" si="106"/>
        <v>0</v>
      </c>
      <c r="M35" s="69">
        <f t="shared" si="106"/>
        <v>0</v>
      </c>
      <c r="N35" s="69">
        <f t="shared" si="106"/>
        <v>0</v>
      </c>
      <c r="O35" s="69">
        <f t="shared" ref="O35" si="107">$G$24*K28</f>
        <v>0</v>
      </c>
      <c r="P35" s="69">
        <f t="shared" ref="P35" si="108">$G$24*L28</f>
        <v>0</v>
      </c>
      <c r="Q35" s="69">
        <f t="shared" ref="Q35" si="109">$G$24*M28</f>
        <v>0</v>
      </c>
      <c r="R35" s="69">
        <f t="shared" ref="R35" si="110">$G$24*N28</f>
        <v>0</v>
      </c>
      <c r="S35" s="69">
        <f t="shared" ref="S35" si="111">$G$24*O28</f>
        <v>0</v>
      </c>
      <c r="T35" s="69">
        <f t="shared" ref="T35" si="112">$G$24*P28</f>
        <v>0</v>
      </c>
      <c r="U35" s="69">
        <f t="shared" ref="U35" si="113">$G$24*Q28</f>
        <v>0</v>
      </c>
      <c r="V35" s="69">
        <f t="shared" ref="V35" si="114">$G$24*R28</f>
        <v>0</v>
      </c>
      <c r="W35" s="69">
        <f t="shared" ref="W35" si="115">$G$24*S28</f>
        <v>0</v>
      </c>
      <c r="X35" s="69">
        <f t="shared" ref="X35" si="116">$G$24*T28</f>
        <v>0</v>
      </c>
      <c r="Y35" s="69">
        <f t="shared" ref="Y35" si="117">$G$24*U28</f>
        <v>0</v>
      </c>
      <c r="Z35" s="69">
        <f t="shared" ref="Z35" si="118">$G$24*V28</f>
        <v>0</v>
      </c>
      <c r="AA35" s="69">
        <f t="shared" ref="AA35" si="119">$G$24*W28</f>
        <v>0</v>
      </c>
      <c r="AB35" s="69"/>
      <c r="AC35" s="69"/>
      <c r="AD35" s="69"/>
      <c r="AE35" s="69"/>
      <c r="AF35" s="69"/>
      <c r="AG35" s="69"/>
      <c r="AH35" s="69"/>
      <c r="AI35" s="69"/>
      <c r="AJ35" s="69"/>
      <c r="AK35" s="69"/>
    </row>
    <row r="36" spans="1:37" s="50" customFormat="1">
      <c r="A36" s="74" t="s">
        <v>76</v>
      </c>
      <c r="B36" s="74"/>
      <c r="C36" s="76"/>
      <c r="D36" s="75"/>
      <c r="E36" s="75"/>
      <c r="F36" s="75"/>
      <c r="G36" s="75"/>
      <c r="H36" s="69">
        <f t="shared" ref="H36:N36" si="120">$H$24*C$28</f>
        <v>0</v>
      </c>
      <c r="I36" s="69">
        <f t="shared" si="120"/>
        <v>0</v>
      </c>
      <c r="J36" s="69">
        <f t="shared" si="120"/>
        <v>0</v>
      </c>
      <c r="K36" s="69">
        <f t="shared" si="120"/>
        <v>0</v>
      </c>
      <c r="L36" s="69">
        <f t="shared" si="120"/>
        <v>0</v>
      </c>
      <c r="M36" s="69">
        <f t="shared" si="120"/>
        <v>0</v>
      </c>
      <c r="N36" s="69">
        <f t="shared" si="120"/>
        <v>0</v>
      </c>
      <c r="O36" s="69">
        <f t="shared" ref="O36" si="121">$H$24*J$28</f>
        <v>0</v>
      </c>
      <c r="P36" s="69">
        <f t="shared" ref="P36" si="122">$H$24*K$28</f>
        <v>0</v>
      </c>
      <c r="Q36" s="69">
        <f t="shared" ref="Q36" si="123">$H$24*L$28</f>
        <v>0</v>
      </c>
      <c r="R36" s="69">
        <f t="shared" ref="R36" si="124">$H$24*M$28</f>
        <v>0</v>
      </c>
      <c r="S36" s="69">
        <f t="shared" ref="S36" si="125">$H$24*N$28</f>
        <v>0</v>
      </c>
      <c r="T36" s="69">
        <f t="shared" ref="T36" si="126">$H$24*O$28</f>
        <v>0</v>
      </c>
      <c r="U36" s="69">
        <f t="shared" ref="U36" si="127">$H$24*P$28</f>
        <v>0</v>
      </c>
      <c r="V36" s="69">
        <f t="shared" ref="V36" si="128">$H$24*Q$28</f>
        <v>0</v>
      </c>
      <c r="W36" s="69">
        <f t="shared" ref="W36" si="129">$H$24*R$28</f>
        <v>0</v>
      </c>
      <c r="X36" s="69">
        <f t="shared" ref="X36" si="130">$H$24*S$28</f>
        <v>0</v>
      </c>
      <c r="Y36" s="69">
        <f t="shared" ref="Y36" si="131">$H$24*T$28</f>
        <v>0</v>
      </c>
      <c r="Z36" s="69">
        <f t="shared" ref="Z36" si="132">$H$24*U$28</f>
        <v>0</v>
      </c>
      <c r="AA36" s="69">
        <f t="shared" ref="AA36" si="133">$H$24*V$28</f>
        <v>0</v>
      </c>
      <c r="AB36" s="69"/>
      <c r="AC36" s="69"/>
      <c r="AD36" s="69"/>
      <c r="AE36" s="69"/>
      <c r="AF36" s="69"/>
      <c r="AG36" s="69"/>
      <c r="AH36" s="69"/>
      <c r="AI36" s="69"/>
      <c r="AJ36" s="69"/>
      <c r="AK36" s="69"/>
    </row>
    <row r="37" spans="1:37" s="50" customFormat="1">
      <c r="A37" s="74" t="s">
        <v>77</v>
      </c>
      <c r="B37" s="74"/>
      <c r="C37" s="76"/>
      <c r="D37" s="75"/>
      <c r="E37" s="75"/>
      <c r="F37" s="75"/>
      <c r="G37" s="75"/>
      <c r="H37" s="75"/>
      <c r="I37" s="69">
        <f>$I$24*C$28</f>
        <v>0</v>
      </c>
      <c r="J37" s="69">
        <f>$I$24*D$28</f>
        <v>0</v>
      </c>
      <c r="K37" s="69">
        <f t="shared" ref="K37:N37" si="134">$I$24*E$28</f>
        <v>0</v>
      </c>
      <c r="L37" s="69">
        <f t="shared" si="134"/>
        <v>0</v>
      </c>
      <c r="M37" s="69">
        <f t="shared" si="134"/>
        <v>0</v>
      </c>
      <c r="N37" s="69">
        <f t="shared" si="134"/>
        <v>0</v>
      </c>
      <c r="O37" s="69">
        <f t="shared" ref="O37" si="135">$I$24*I$28</f>
        <v>0</v>
      </c>
      <c r="P37" s="69">
        <f t="shared" ref="P37" si="136">$I$24*J$28</f>
        <v>0</v>
      </c>
      <c r="Q37" s="69">
        <f t="shared" ref="Q37" si="137">$I$24*K$28</f>
        <v>0</v>
      </c>
      <c r="R37" s="69">
        <f t="shared" ref="R37" si="138">$I$24*L$28</f>
        <v>0</v>
      </c>
      <c r="S37" s="69">
        <f t="shared" ref="S37" si="139">$I$24*M$28</f>
        <v>0</v>
      </c>
      <c r="T37" s="69">
        <f t="shared" ref="T37" si="140">$I$24*N$28</f>
        <v>0</v>
      </c>
      <c r="U37" s="69">
        <f t="shared" ref="U37" si="141">$I$24*O$28</f>
        <v>0</v>
      </c>
      <c r="V37" s="69">
        <f t="shared" ref="V37" si="142">$I$24*P$28</f>
        <v>0</v>
      </c>
      <c r="W37" s="69">
        <f t="shared" ref="W37" si="143">$I$24*Q$28</f>
        <v>0</v>
      </c>
      <c r="X37" s="69">
        <f t="shared" ref="X37" si="144">$I$24*R$28</f>
        <v>0</v>
      </c>
      <c r="Y37" s="69">
        <f t="shared" ref="Y37" si="145">$I$24*S$28</f>
        <v>0</v>
      </c>
      <c r="Z37" s="69">
        <f t="shared" ref="Z37" si="146">$I$24*T$28</f>
        <v>0</v>
      </c>
      <c r="AA37" s="69">
        <f t="shared" ref="AA37" si="147">$I$24*U$28</f>
        <v>0</v>
      </c>
      <c r="AB37" s="69"/>
      <c r="AC37" s="69"/>
      <c r="AD37" s="69"/>
      <c r="AE37" s="69"/>
      <c r="AF37" s="69"/>
      <c r="AG37" s="69"/>
      <c r="AH37" s="69"/>
      <c r="AI37" s="69"/>
      <c r="AJ37" s="69"/>
      <c r="AK37" s="69"/>
    </row>
    <row r="38" spans="1:37" s="50" customFormat="1">
      <c r="A38" s="74" t="s">
        <v>78</v>
      </c>
      <c r="B38" s="74"/>
      <c r="C38" s="76"/>
      <c r="D38" s="75"/>
      <c r="E38" s="75"/>
      <c r="F38" s="75"/>
      <c r="G38" s="75"/>
      <c r="H38" s="75"/>
      <c r="I38" s="75"/>
      <c r="J38" s="69">
        <f>$J$24*C$28</f>
        <v>0</v>
      </c>
      <c r="K38" s="69">
        <f t="shared" ref="K38:N38" si="148">$J$24*D$28</f>
        <v>0</v>
      </c>
      <c r="L38" s="69">
        <f t="shared" si="148"/>
        <v>0</v>
      </c>
      <c r="M38" s="69">
        <f t="shared" si="148"/>
        <v>0</v>
      </c>
      <c r="N38" s="69">
        <f t="shared" si="148"/>
        <v>0</v>
      </c>
      <c r="O38" s="69">
        <f t="shared" ref="O38" si="149">$J$24*H$28</f>
        <v>0</v>
      </c>
      <c r="P38" s="69">
        <f t="shared" ref="P38" si="150">$J$24*I$28</f>
        <v>0</v>
      </c>
      <c r="Q38" s="69">
        <f t="shared" ref="Q38" si="151">$J$24*J$28</f>
        <v>0</v>
      </c>
      <c r="R38" s="69">
        <f t="shared" ref="R38" si="152">$J$24*K$28</f>
        <v>0</v>
      </c>
      <c r="S38" s="69">
        <f t="shared" ref="S38" si="153">$J$24*L$28</f>
        <v>0</v>
      </c>
      <c r="T38" s="69">
        <f t="shared" ref="T38" si="154">$J$24*M$28</f>
        <v>0</v>
      </c>
      <c r="U38" s="69">
        <f t="shared" ref="U38" si="155">$J$24*N$28</f>
        <v>0</v>
      </c>
      <c r="V38" s="69">
        <f t="shared" ref="V38" si="156">$J$24*O$28</f>
        <v>0</v>
      </c>
      <c r="W38" s="69">
        <f t="shared" ref="W38" si="157">$J$24*P$28</f>
        <v>0</v>
      </c>
      <c r="X38" s="69">
        <f t="shared" ref="X38" si="158">$J$24*Q$28</f>
        <v>0</v>
      </c>
      <c r="Y38" s="69">
        <f t="shared" ref="Y38" si="159">$J$24*R$28</f>
        <v>0</v>
      </c>
      <c r="Z38" s="69">
        <f t="shared" ref="Z38" si="160">$J$24*S$28</f>
        <v>0</v>
      </c>
      <c r="AA38" s="69">
        <f t="shared" ref="AA38" si="161">$J$24*T$28</f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79</v>
      </c>
      <c r="B39" s="74"/>
      <c r="C39" s="67"/>
      <c r="D39" s="75"/>
      <c r="E39" s="75"/>
      <c r="F39" s="75"/>
      <c r="G39" s="75"/>
      <c r="H39" s="75"/>
      <c r="I39" s="75"/>
      <c r="J39" s="75"/>
      <c r="K39" s="69">
        <f>$K$24*C$28</f>
        <v>0</v>
      </c>
      <c r="L39" s="69">
        <f t="shared" ref="L39:N39" si="162">$K$24*D$28</f>
        <v>0</v>
      </c>
      <c r="M39" s="69">
        <f t="shared" si="162"/>
        <v>0</v>
      </c>
      <c r="N39" s="69">
        <f t="shared" si="162"/>
        <v>0</v>
      </c>
      <c r="O39" s="69">
        <f t="shared" ref="O39" si="163">$K$24*G$28</f>
        <v>0</v>
      </c>
      <c r="P39" s="69">
        <f t="shared" ref="P39" si="164">$K$24*H$28</f>
        <v>0</v>
      </c>
      <c r="Q39" s="69">
        <f t="shared" ref="Q39" si="165">$K$24*I$28</f>
        <v>0</v>
      </c>
      <c r="R39" s="69">
        <f t="shared" ref="R39" si="166">$K$24*J$28</f>
        <v>0</v>
      </c>
      <c r="S39" s="69">
        <f t="shared" ref="S39" si="167">$K$24*K$28</f>
        <v>0</v>
      </c>
      <c r="T39" s="69">
        <f t="shared" ref="T39" si="168">$K$24*L$28</f>
        <v>0</v>
      </c>
      <c r="U39" s="69">
        <f t="shared" ref="U39" si="169">$K$24*M$28</f>
        <v>0</v>
      </c>
      <c r="V39" s="69">
        <f t="shared" ref="V39" si="170">$K$24*N$28</f>
        <v>0</v>
      </c>
      <c r="W39" s="69">
        <f t="shared" ref="W39" si="171">$K$24*O$28</f>
        <v>0</v>
      </c>
      <c r="X39" s="69">
        <f t="shared" ref="X39" si="172">$K$24*P$28</f>
        <v>0</v>
      </c>
      <c r="Y39" s="69">
        <f t="shared" ref="Y39" si="173">$K$24*Q$28</f>
        <v>0</v>
      </c>
      <c r="Z39" s="69">
        <f t="shared" ref="Z39" si="174">$K$24*R$28</f>
        <v>0</v>
      </c>
      <c r="AA39" s="69">
        <f t="shared" ref="AA39" si="175">$K$24*S$28</f>
        <v>0</v>
      </c>
      <c r="AB39" s="75"/>
      <c r="AC39" s="75"/>
      <c r="AD39" s="75"/>
      <c r="AE39" s="75"/>
      <c r="AF39" s="75"/>
      <c r="AG39" s="75"/>
      <c r="AH39" s="75"/>
      <c r="AI39" s="75"/>
      <c r="AJ39" s="75"/>
      <c r="AK39" s="69"/>
    </row>
    <row r="40" spans="1:37" s="50" customFormat="1">
      <c r="A40" s="74" t="s">
        <v>80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69">
        <f>$L$24*C$28</f>
        <v>0</v>
      </c>
      <c r="M40" s="69">
        <f t="shared" ref="M40:N40" si="176">$L$24*D$28</f>
        <v>0</v>
      </c>
      <c r="N40" s="69">
        <f t="shared" si="176"/>
        <v>0</v>
      </c>
      <c r="O40" s="69">
        <f t="shared" ref="O40" si="177">$L$24*F$28</f>
        <v>0</v>
      </c>
      <c r="P40" s="69">
        <f t="shared" ref="P40" si="178">$L$24*G$28</f>
        <v>0</v>
      </c>
      <c r="Q40" s="69">
        <f t="shared" ref="Q40" si="179">$L$24*H$28</f>
        <v>0</v>
      </c>
      <c r="R40" s="69">
        <f t="shared" ref="R40" si="180">$L$24*I$28</f>
        <v>0</v>
      </c>
      <c r="S40" s="69">
        <f t="shared" ref="S40" si="181">$L$24*J$28</f>
        <v>0</v>
      </c>
      <c r="T40" s="69">
        <f t="shared" ref="T40" si="182">$L$24*K$28</f>
        <v>0</v>
      </c>
      <c r="U40" s="69">
        <f t="shared" ref="U40" si="183">$L$24*L$28</f>
        <v>0</v>
      </c>
      <c r="V40" s="69">
        <f t="shared" ref="V40" si="184">$L$24*M$28</f>
        <v>0</v>
      </c>
      <c r="W40" s="69">
        <f t="shared" ref="W40" si="185">$L$24*N$28</f>
        <v>0</v>
      </c>
      <c r="X40" s="69">
        <f t="shared" ref="X40" si="186">$L$24*O$28</f>
        <v>0</v>
      </c>
      <c r="Y40" s="69">
        <f t="shared" ref="Y40" si="187">$L$24*P$28</f>
        <v>0</v>
      </c>
      <c r="Z40" s="69">
        <f t="shared" ref="Z40" si="188">$L$24*Q$28</f>
        <v>0</v>
      </c>
      <c r="AA40" s="69">
        <f t="shared" ref="AA40" si="189">$L$24*R$28</f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81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69">
        <f>$M$24*C$28</f>
        <v>0</v>
      </c>
      <c r="N41" s="69">
        <f>$M$24*D$28</f>
        <v>0</v>
      </c>
      <c r="O41" s="69">
        <f t="shared" ref="O41:AA41" si="190">$M$24*E$28</f>
        <v>0</v>
      </c>
      <c r="P41" s="69">
        <f t="shared" si="190"/>
        <v>0</v>
      </c>
      <c r="Q41" s="69">
        <f t="shared" si="190"/>
        <v>0</v>
      </c>
      <c r="R41" s="69">
        <f t="shared" si="190"/>
        <v>0</v>
      </c>
      <c r="S41" s="69">
        <f t="shared" si="190"/>
        <v>0</v>
      </c>
      <c r="T41" s="69">
        <f t="shared" si="190"/>
        <v>0</v>
      </c>
      <c r="U41" s="69">
        <f t="shared" si="190"/>
        <v>0</v>
      </c>
      <c r="V41" s="69">
        <f t="shared" si="190"/>
        <v>0</v>
      </c>
      <c r="W41" s="69">
        <f t="shared" si="190"/>
        <v>0</v>
      </c>
      <c r="X41" s="69">
        <f t="shared" si="190"/>
        <v>0</v>
      </c>
      <c r="Y41" s="69">
        <f t="shared" si="190"/>
        <v>0</v>
      </c>
      <c r="Z41" s="69">
        <f t="shared" si="190"/>
        <v>0</v>
      </c>
      <c r="AA41" s="69">
        <f t="shared" si="190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82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69">
        <f>$N$24*C$28</f>
        <v>0</v>
      </c>
      <c r="O42" s="69">
        <f t="shared" ref="O42:Z42" si="191">$N$24*D$28</f>
        <v>0</v>
      </c>
      <c r="P42" s="69">
        <f t="shared" si="191"/>
        <v>0</v>
      </c>
      <c r="Q42" s="69">
        <f t="shared" si="191"/>
        <v>0</v>
      </c>
      <c r="R42" s="69">
        <f t="shared" si="191"/>
        <v>0</v>
      </c>
      <c r="S42" s="69">
        <f t="shared" si="191"/>
        <v>0</v>
      </c>
      <c r="T42" s="69">
        <f t="shared" si="191"/>
        <v>0</v>
      </c>
      <c r="U42" s="69">
        <f t="shared" si="191"/>
        <v>0</v>
      </c>
      <c r="V42" s="69">
        <f t="shared" si="191"/>
        <v>0</v>
      </c>
      <c r="W42" s="69">
        <f t="shared" si="191"/>
        <v>0</v>
      </c>
      <c r="X42" s="69">
        <f t="shared" si="191"/>
        <v>0</v>
      </c>
      <c r="Y42" s="69">
        <f t="shared" si="191"/>
        <v>0</v>
      </c>
      <c r="Z42" s="69">
        <f t="shared" si="191"/>
        <v>0</v>
      </c>
      <c r="AA42" s="69">
        <f>$N$24*P$28</f>
        <v>0</v>
      </c>
      <c r="AB42" s="74"/>
      <c r="AC42" s="74"/>
      <c r="AD42" s="74"/>
      <c r="AE42" s="74"/>
      <c r="AF42" s="74"/>
      <c r="AG42" s="74"/>
      <c r="AH42" s="74"/>
      <c r="AI42" s="74"/>
      <c r="AJ42" s="74"/>
      <c r="AK42" s="69"/>
    </row>
    <row r="43" spans="1:37" s="50" customFormat="1">
      <c r="A43" s="74" t="s">
        <v>83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69">
        <f>$O$24*C$28</f>
        <v>112.5</v>
      </c>
      <c r="P43" s="69">
        <f t="shared" ref="P43:AA43" si="192">$O$24*D$28</f>
        <v>216.57000000000002</v>
      </c>
      <c r="Q43" s="69">
        <f t="shared" si="192"/>
        <v>200.31</v>
      </c>
      <c r="R43" s="69">
        <f t="shared" si="192"/>
        <v>185.31</v>
      </c>
      <c r="S43" s="69">
        <f t="shared" si="192"/>
        <v>171.39000000000001</v>
      </c>
      <c r="T43" s="69">
        <f t="shared" si="192"/>
        <v>158.55000000000001</v>
      </c>
      <c r="U43" s="69">
        <f t="shared" si="192"/>
        <v>146.63999999999999</v>
      </c>
      <c r="V43" s="69">
        <f t="shared" si="192"/>
        <v>135.66</v>
      </c>
      <c r="W43" s="69">
        <f t="shared" si="192"/>
        <v>133.86000000000001</v>
      </c>
      <c r="X43" s="69">
        <f t="shared" si="192"/>
        <v>133.82999999999998</v>
      </c>
      <c r="Y43" s="69">
        <f t="shared" si="192"/>
        <v>133.86000000000001</v>
      </c>
      <c r="Z43" s="69">
        <f t="shared" si="192"/>
        <v>133.82999999999998</v>
      </c>
      <c r="AA43" s="69">
        <f t="shared" si="192"/>
        <v>133.86000000000001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84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69">
        <f>$P$24*C$28</f>
        <v>0</v>
      </c>
      <c r="Q44" s="69">
        <f t="shared" ref="Q44:AA44" si="193">$P$24*D$28</f>
        <v>0</v>
      </c>
      <c r="R44" s="69">
        <f t="shared" si="193"/>
        <v>0</v>
      </c>
      <c r="S44" s="69">
        <f t="shared" si="193"/>
        <v>0</v>
      </c>
      <c r="T44" s="69">
        <f t="shared" si="193"/>
        <v>0</v>
      </c>
      <c r="U44" s="69">
        <f t="shared" si="193"/>
        <v>0</v>
      </c>
      <c r="V44" s="69">
        <f t="shared" si="193"/>
        <v>0</v>
      </c>
      <c r="W44" s="69">
        <f t="shared" si="193"/>
        <v>0</v>
      </c>
      <c r="X44" s="69">
        <f t="shared" si="193"/>
        <v>0</v>
      </c>
      <c r="Y44" s="69">
        <f t="shared" si="193"/>
        <v>0</v>
      </c>
      <c r="Z44" s="69">
        <f t="shared" si="193"/>
        <v>0</v>
      </c>
      <c r="AA44" s="69">
        <f t="shared" si="193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85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69">
        <f>$Q$24*C$28</f>
        <v>0</v>
      </c>
      <c r="R45" s="69">
        <f t="shared" ref="R45:AA45" si="194">$Q$24*D$28</f>
        <v>0</v>
      </c>
      <c r="S45" s="69">
        <f t="shared" si="194"/>
        <v>0</v>
      </c>
      <c r="T45" s="69">
        <f t="shared" si="194"/>
        <v>0</v>
      </c>
      <c r="U45" s="69">
        <f t="shared" si="194"/>
        <v>0</v>
      </c>
      <c r="V45" s="69">
        <f t="shared" si="194"/>
        <v>0</v>
      </c>
      <c r="W45" s="69">
        <f t="shared" si="194"/>
        <v>0</v>
      </c>
      <c r="X45" s="69">
        <f t="shared" si="194"/>
        <v>0</v>
      </c>
      <c r="Y45" s="69">
        <f t="shared" si="194"/>
        <v>0</v>
      </c>
      <c r="Z45" s="69">
        <f t="shared" si="194"/>
        <v>0</v>
      </c>
      <c r="AA45" s="69">
        <f t="shared" si="194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86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69">
        <f>$R$24*C$28</f>
        <v>0</v>
      </c>
      <c r="S46" s="69">
        <f t="shared" ref="S46:AA46" si="195">$R$24*D$28</f>
        <v>0</v>
      </c>
      <c r="T46" s="69">
        <f t="shared" si="195"/>
        <v>0</v>
      </c>
      <c r="U46" s="69">
        <f t="shared" si="195"/>
        <v>0</v>
      </c>
      <c r="V46" s="69">
        <f t="shared" si="195"/>
        <v>0</v>
      </c>
      <c r="W46" s="69">
        <f t="shared" si="195"/>
        <v>0</v>
      </c>
      <c r="X46" s="69">
        <f t="shared" si="195"/>
        <v>0</v>
      </c>
      <c r="Y46" s="69">
        <f t="shared" si="195"/>
        <v>0</v>
      </c>
      <c r="Z46" s="69">
        <f t="shared" si="195"/>
        <v>0</v>
      </c>
      <c r="AA46" s="69">
        <f t="shared" si="195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87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69">
        <f>$S$24*C$28</f>
        <v>0</v>
      </c>
      <c r="T47" s="69">
        <f t="shared" ref="T47:AA47" si="196">$S$24*D$28</f>
        <v>0</v>
      </c>
      <c r="U47" s="69">
        <f t="shared" si="196"/>
        <v>0</v>
      </c>
      <c r="V47" s="69">
        <f t="shared" si="196"/>
        <v>0</v>
      </c>
      <c r="W47" s="69">
        <f t="shared" si="196"/>
        <v>0</v>
      </c>
      <c r="X47" s="69">
        <f t="shared" si="196"/>
        <v>0</v>
      </c>
      <c r="Y47" s="69">
        <f t="shared" si="196"/>
        <v>0</v>
      </c>
      <c r="Z47" s="69">
        <f t="shared" si="196"/>
        <v>0</v>
      </c>
      <c r="AA47" s="69">
        <f t="shared" si="196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88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69">
        <f>$T$24*C$28</f>
        <v>0</v>
      </c>
      <c r="U48" s="69">
        <f t="shared" ref="U48:AA48" si="197">$T$24*D$28</f>
        <v>0</v>
      </c>
      <c r="V48" s="69">
        <f t="shared" si="197"/>
        <v>0</v>
      </c>
      <c r="W48" s="69">
        <f t="shared" si="197"/>
        <v>0</v>
      </c>
      <c r="X48" s="69">
        <f t="shared" si="197"/>
        <v>0</v>
      </c>
      <c r="Y48" s="69">
        <f t="shared" si="197"/>
        <v>0</v>
      </c>
      <c r="Z48" s="69">
        <f t="shared" si="197"/>
        <v>0</v>
      </c>
      <c r="AA48" s="69">
        <f t="shared" si="197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89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69">
        <f>$U$24*C$28</f>
        <v>0</v>
      </c>
      <c r="V49" s="69">
        <f t="shared" ref="V49:AA49" si="198">$U$24*D$28</f>
        <v>0</v>
      </c>
      <c r="W49" s="69">
        <f t="shared" si="198"/>
        <v>0</v>
      </c>
      <c r="X49" s="69">
        <f t="shared" si="198"/>
        <v>0</v>
      </c>
      <c r="Y49" s="69">
        <f t="shared" si="198"/>
        <v>0</v>
      </c>
      <c r="Z49" s="69">
        <f t="shared" si="198"/>
        <v>0</v>
      </c>
      <c r="AA49" s="69">
        <f t="shared" si="198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90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69">
        <f>$V$24*C$28</f>
        <v>0</v>
      </c>
      <c r="W50" s="69">
        <f t="shared" ref="W50:AA50" si="199">$V$24*D$28</f>
        <v>0</v>
      </c>
      <c r="X50" s="69">
        <f t="shared" si="199"/>
        <v>0</v>
      </c>
      <c r="Y50" s="69">
        <f t="shared" si="199"/>
        <v>0</v>
      </c>
      <c r="Z50" s="69">
        <f t="shared" si="199"/>
        <v>0</v>
      </c>
      <c r="AA50" s="69">
        <f t="shared" si="199"/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91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69">
        <f>$W$24*C$28</f>
        <v>0</v>
      </c>
      <c r="X51" s="69">
        <f t="shared" ref="X51:AA51" si="200">$W$24*D$28</f>
        <v>0</v>
      </c>
      <c r="Y51" s="69">
        <f t="shared" si="200"/>
        <v>0</v>
      </c>
      <c r="Z51" s="69">
        <f t="shared" si="200"/>
        <v>0</v>
      </c>
      <c r="AA51" s="69">
        <f t="shared" si="200"/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92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69">
        <f>$X$24*C$28</f>
        <v>0</v>
      </c>
      <c r="Y52" s="69">
        <f t="shared" ref="Y52:AA52" si="201">$X$24*D$28</f>
        <v>0</v>
      </c>
      <c r="Z52" s="69">
        <f t="shared" si="201"/>
        <v>0</v>
      </c>
      <c r="AA52" s="69">
        <f t="shared" si="201"/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93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69">
        <f>$Y$24*C$28</f>
        <v>0</v>
      </c>
      <c r="Z53" s="69">
        <f>$Y$24*D$28</f>
        <v>0</v>
      </c>
      <c r="AA53" s="69">
        <f t="shared" ref="AA53" si="202">$Y$24*E$28</f>
        <v>0</v>
      </c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94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69">
        <f>$Z$24*C$28</f>
        <v>0</v>
      </c>
      <c r="AA54" s="69">
        <f>$Z$24*D$28</f>
        <v>0</v>
      </c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95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69">
        <f>$AA$24*C$28</f>
        <v>0</v>
      </c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96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97</v>
      </c>
      <c r="B57" s="74"/>
      <c r="C57" s="67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 t="s">
        <v>98</v>
      </c>
      <c r="B58" s="74"/>
      <c r="C58" s="67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74" t="s">
        <v>99</v>
      </c>
      <c r="B59" s="74"/>
      <c r="C59" s="67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69"/>
    </row>
    <row r="60" spans="1:37" s="50" customFormat="1">
      <c r="A60" s="74" t="s">
        <v>100</v>
      </c>
      <c r="B60" s="67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69"/>
    </row>
    <row r="61" spans="1:37" s="50" customFormat="1">
      <c r="A61" s="74"/>
      <c r="B61" s="67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69"/>
    </row>
    <row r="62" spans="1:37" s="50" customFormat="1">
      <c r="A62" s="67" t="s">
        <v>9</v>
      </c>
      <c r="B62" s="69"/>
      <c r="C62" s="94">
        <f>SUM(C29:C60)</f>
        <v>-44841.862500000003</v>
      </c>
      <c r="D62" s="94">
        <f>SUM(D29:D60)</f>
        <v>12939.212730000001</v>
      </c>
      <c r="E62" s="94">
        <f t="shared" ref="E62:AA62" si="203">SUM(E29:E60)</f>
        <v>13052.287319999999</v>
      </c>
      <c r="F62" s="94">
        <f t="shared" si="203"/>
        <v>12074.472180000001</v>
      </c>
      <c r="G62" s="94">
        <f t="shared" si="203"/>
        <v>11167.920299999998</v>
      </c>
      <c r="H62" s="94">
        <f t="shared" si="203"/>
        <v>10330.89666</v>
      </c>
      <c r="I62" s="94">
        <f t="shared" si="203"/>
        <v>9555.1904099999992</v>
      </c>
      <c r="J62" s="94">
        <f t="shared" si="203"/>
        <v>8839.3557000000001</v>
      </c>
      <c r="K62" s="94">
        <f t="shared" si="203"/>
        <v>8634.9892799999998</v>
      </c>
      <c r="L62" s="94">
        <f t="shared" si="203"/>
        <v>8615.9969099999998</v>
      </c>
      <c r="M62" s="94">
        <f t="shared" si="203"/>
        <v>8617.3499100000008</v>
      </c>
      <c r="N62" s="94">
        <f t="shared" si="203"/>
        <v>8615.9969099999998</v>
      </c>
      <c r="O62" s="94">
        <f t="shared" si="203"/>
        <v>8729.8499100000008</v>
      </c>
      <c r="P62" s="94">
        <f t="shared" si="203"/>
        <v>8832.5669099999996</v>
      </c>
      <c r="Q62" s="94">
        <f t="shared" si="203"/>
        <v>8817.6599100000003</v>
      </c>
      <c r="R62" s="94">
        <f t="shared" si="203"/>
        <v>8801.3069099999993</v>
      </c>
      <c r="S62" s="94">
        <f t="shared" si="203"/>
        <v>8788.7399100000002</v>
      </c>
      <c r="T62" s="94">
        <f t="shared" si="203"/>
        <v>8774.5469099999991</v>
      </c>
      <c r="U62" s="94">
        <f t="shared" si="203"/>
        <v>8763.9899100000002</v>
      </c>
      <c r="V62" s="94">
        <f t="shared" si="203"/>
        <v>8751.6569099999997</v>
      </c>
      <c r="W62" s="94">
        <f t="shared" si="203"/>
        <v>5087.5286399999995</v>
      </c>
      <c r="X62" s="94">
        <f t="shared" si="203"/>
        <v>778.96827000000008</v>
      </c>
      <c r="Y62" s="94">
        <f t="shared" si="203"/>
        <v>133.86000000000001</v>
      </c>
      <c r="Z62" s="94">
        <f t="shared" si="203"/>
        <v>133.82999999999998</v>
      </c>
      <c r="AA62" s="94">
        <f t="shared" si="203"/>
        <v>133.86000000000001</v>
      </c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>
      <c r="A63" s="67" t="s">
        <v>12</v>
      </c>
      <c r="B63" s="78"/>
      <c r="C63" s="78">
        <f>C62</f>
        <v>-44841.862500000003</v>
      </c>
      <c r="D63" s="69">
        <f>D62+C63</f>
        <v>-31902.649770000004</v>
      </c>
      <c r="E63" s="69">
        <f t="shared" ref="E63:N63" si="204">E62+D63</f>
        <v>-18850.362450000004</v>
      </c>
      <c r="F63" s="69">
        <f t="shared" si="204"/>
        <v>-6775.8902700000035</v>
      </c>
      <c r="G63" s="69">
        <f t="shared" si="204"/>
        <v>4392.0300299999944</v>
      </c>
      <c r="H63" s="69">
        <f t="shared" si="204"/>
        <v>14722.926689999995</v>
      </c>
      <c r="I63" s="69">
        <f t="shared" si="204"/>
        <v>24278.117099999996</v>
      </c>
      <c r="J63" s="69">
        <f t="shared" si="204"/>
        <v>33117.472799999996</v>
      </c>
      <c r="K63" s="69">
        <f t="shared" si="204"/>
        <v>41752.462079999998</v>
      </c>
      <c r="L63" s="69">
        <f t="shared" si="204"/>
        <v>50368.458989999999</v>
      </c>
      <c r="M63" s="69">
        <f t="shared" si="204"/>
        <v>58985.808900000004</v>
      </c>
      <c r="N63" s="69">
        <f t="shared" si="204"/>
        <v>67601.805810000005</v>
      </c>
      <c r="O63" s="69">
        <f t="shared" ref="O63" si="205">O62+N63</f>
        <v>76331.65572000001</v>
      </c>
      <c r="P63" s="69">
        <f t="shared" ref="P63" si="206">P62+O63</f>
        <v>85164.222630000004</v>
      </c>
      <c r="Q63" s="69">
        <f t="shared" ref="Q63" si="207">Q62+P63</f>
        <v>93981.882540000006</v>
      </c>
      <c r="R63" s="69">
        <f t="shared" ref="R63" si="208">R62+Q63</f>
        <v>102783.18945000001</v>
      </c>
      <c r="S63" s="69">
        <f t="shared" ref="S63" si="209">S62+R63</f>
        <v>111571.92936000001</v>
      </c>
      <c r="T63" s="69">
        <f t="shared" ref="T63" si="210">T62+S63</f>
        <v>120346.47627000001</v>
      </c>
      <c r="U63" s="69">
        <f t="shared" ref="U63" si="211">U62+T63</f>
        <v>129110.46618000002</v>
      </c>
      <c r="V63" s="69">
        <f t="shared" ref="V63" si="212">V62+U63</f>
        <v>137862.12309000001</v>
      </c>
      <c r="W63" s="69">
        <f t="shared" ref="W63" si="213">W62+V63</f>
        <v>142949.65173000001</v>
      </c>
      <c r="X63" s="69">
        <f t="shared" ref="X63" si="214">X62+W63</f>
        <v>143728.62000000002</v>
      </c>
      <c r="Y63" s="69">
        <f t="shared" ref="Y63" si="215">Y62+X63</f>
        <v>143862.48000000001</v>
      </c>
      <c r="Z63" s="69">
        <f t="shared" ref="Z63" si="216">Z62+Y63</f>
        <v>143996.31</v>
      </c>
      <c r="AA63" s="69">
        <f t="shared" ref="AA63" si="217">AA62+Z63</f>
        <v>144130.16999999998</v>
      </c>
      <c r="AB63" s="69"/>
      <c r="AC63" s="69"/>
      <c r="AD63" s="69"/>
      <c r="AE63" s="69"/>
      <c r="AF63" s="69"/>
      <c r="AG63" s="69"/>
      <c r="AH63" s="69"/>
      <c r="AI63" s="69"/>
      <c r="AJ63" s="69"/>
      <c r="AK63" s="69"/>
    </row>
    <row r="64" spans="1:37" s="50" customFormat="1">
      <c r="A64" s="67"/>
      <c r="B64" s="67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</row>
    <row r="65" spans="1:37" s="50" customFormat="1">
      <c r="A65" s="18" t="s">
        <v>8</v>
      </c>
      <c r="B65" s="67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 ht="12" customHeight="1">
      <c r="A66" s="67" t="s">
        <v>151</v>
      </c>
      <c r="B66" s="79"/>
      <c r="C66" s="79">
        <f>+(C62-C19)*Input!$B$35</f>
        <v>-11398.088625</v>
      </c>
      <c r="D66" s="79">
        <f>+(D62-D19)*Input!$B$35</f>
        <v>229.88967330000023</v>
      </c>
      <c r="E66" s="79">
        <f>+(E62-E19)*Input!$B$35</f>
        <v>253.63533719999987</v>
      </c>
      <c r="F66" s="79">
        <f>+(F62-F19)*Input!$B$35</f>
        <v>48.294157800000136</v>
      </c>
      <c r="G66" s="79">
        <f>+(G62-G19)*Input!$B$35</f>
        <v>-142.08173700000043</v>
      </c>
      <c r="H66" s="79">
        <f>+(H62-H19)*Input!$B$35</f>
        <v>-317.85670139999991</v>
      </c>
      <c r="I66" s="79">
        <f>+(I62-I19)*Input!$B$35</f>
        <v>-480.75501390000016</v>
      </c>
      <c r="J66" s="79">
        <f>+(J62-J19)*Input!$B$35</f>
        <v>-631.08030299999996</v>
      </c>
      <c r="K66" s="79">
        <f>+(K62-K19)*Input!$B$35</f>
        <v>-673.99725120000005</v>
      </c>
      <c r="L66" s="79">
        <f>+(L62-L19)*Input!$B$35</f>
        <v>-677.9856489</v>
      </c>
      <c r="M66" s="79">
        <f>+(M62-M19)*Input!$B$35</f>
        <v>-677.70151889999977</v>
      </c>
      <c r="N66" s="79">
        <f>+(N62-N19)*Input!$B$35</f>
        <v>-677.9856489</v>
      </c>
      <c r="O66" s="79">
        <f>+(O62-O19)*Input!$B$35</f>
        <v>1833.2684811000001</v>
      </c>
      <c r="P66" s="79">
        <f>+(P62-P19)*Input!$B$35</f>
        <v>1854.8390510999998</v>
      </c>
      <c r="Q66" s="79">
        <f>+(Q62-Q19)*Input!$B$35</f>
        <v>1851.7085810999999</v>
      </c>
      <c r="R66" s="79">
        <f>+(R62-R19)*Input!$B$35</f>
        <v>1848.2744510999999</v>
      </c>
      <c r="S66" s="79">
        <f>+(S62-S19)*Input!$B$35</f>
        <v>1845.6353810999999</v>
      </c>
      <c r="T66" s="79">
        <f>+(T62-T19)*Input!$B$35</f>
        <v>1842.6548510999996</v>
      </c>
      <c r="U66" s="79">
        <f>+(U62-U19)*Input!$B$35</f>
        <v>1840.4378810999999</v>
      </c>
      <c r="V66" s="79">
        <f>+(V62-V19)*Input!$B$35</f>
        <v>1837.8479510999998</v>
      </c>
      <c r="W66" s="79">
        <f>+(W62-W19)*Input!$B$35</f>
        <v>1068.3810143999999</v>
      </c>
      <c r="X66" s="79">
        <f>+(X62-X19)*Input!$B$35</f>
        <v>163.58333670000002</v>
      </c>
      <c r="Y66" s="79">
        <f>+(Y62-Y19)*Input!$B$35</f>
        <v>28.110600000000002</v>
      </c>
      <c r="Z66" s="79">
        <f>+(Z62-Z19)*Input!$B$35</f>
        <v>28.104299999999995</v>
      </c>
      <c r="AA66" s="79">
        <f>+(AA62-AA19)*Input!$B$35</f>
        <v>28.110600000000002</v>
      </c>
      <c r="AB66" s="79"/>
      <c r="AC66" s="79"/>
      <c r="AD66" s="79"/>
      <c r="AE66" s="79"/>
      <c r="AF66" s="79"/>
      <c r="AG66" s="79"/>
      <c r="AH66" s="79"/>
      <c r="AI66" s="79"/>
      <c r="AJ66" s="79"/>
      <c r="AK66" s="79"/>
    </row>
    <row r="67" spans="1:37" s="50" customFormat="1">
      <c r="A67" s="67" t="s">
        <v>5</v>
      </c>
      <c r="B67" s="69"/>
      <c r="C67" s="69">
        <f>C66</f>
        <v>-11398.088625</v>
      </c>
      <c r="D67" s="94">
        <f t="shared" ref="D67:N67" si="218">C67+D66</f>
        <v>-11168.1989517</v>
      </c>
      <c r="E67" s="94">
        <f t="shared" si="218"/>
        <v>-10914.563614500001</v>
      </c>
      <c r="F67" s="94">
        <f t="shared" si="218"/>
        <v>-10866.2694567</v>
      </c>
      <c r="G67" s="94">
        <f t="shared" si="218"/>
        <v>-11008.3511937</v>
      </c>
      <c r="H67" s="94">
        <f>G67+H66</f>
        <v>-11326.2078951</v>
      </c>
      <c r="I67" s="94">
        <f t="shared" si="218"/>
        <v>-11806.962909</v>
      </c>
      <c r="J67" s="94">
        <f t="shared" si="218"/>
        <v>-12438.043212</v>
      </c>
      <c r="K67" s="94">
        <f t="shared" si="218"/>
        <v>-13112.040463200001</v>
      </c>
      <c r="L67" s="94">
        <f t="shared" si="218"/>
        <v>-13790.0261121</v>
      </c>
      <c r="M67" s="94">
        <f t="shared" si="218"/>
        <v>-14467.727631</v>
      </c>
      <c r="N67" s="69">
        <f t="shared" si="218"/>
        <v>-15145.713279899999</v>
      </c>
      <c r="O67" s="69">
        <f t="shared" ref="O67" si="219">N67+O66</f>
        <v>-13312.444798799999</v>
      </c>
      <c r="P67" s="69">
        <f t="shared" ref="P67" si="220">O67+P66</f>
        <v>-11457.605747699999</v>
      </c>
      <c r="Q67" s="69">
        <f t="shared" ref="Q67" si="221">P67+Q66</f>
        <v>-9605.8971665999998</v>
      </c>
      <c r="R67" s="69">
        <f t="shared" ref="R67" si="222">Q67+R66</f>
        <v>-7757.6227154999997</v>
      </c>
      <c r="S67" s="69">
        <f t="shared" ref="S67" si="223">R67+S66</f>
        <v>-5911.9873343999998</v>
      </c>
      <c r="T67" s="69">
        <f t="shared" ref="T67" si="224">S67+T66</f>
        <v>-4069.3324833000001</v>
      </c>
      <c r="U67" s="69">
        <f t="shared" ref="U67" si="225">T67+U66</f>
        <v>-2228.8946022</v>
      </c>
      <c r="V67" s="69">
        <f t="shared" ref="V67" si="226">U67+V66</f>
        <v>-391.04665110000019</v>
      </c>
      <c r="W67" s="69">
        <f t="shared" ref="W67" si="227">V67+W66</f>
        <v>677.33436329999972</v>
      </c>
      <c r="X67" s="69">
        <f t="shared" ref="X67" si="228">W67+X66</f>
        <v>840.91769999999974</v>
      </c>
      <c r="Y67" s="69">
        <f t="shared" ref="Y67" si="229">X67+Y66</f>
        <v>869.02829999999972</v>
      </c>
      <c r="Z67" s="69">
        <f t="shared" ref="Z67" si="230">Y67+Z66</f>
        <v>897.13259999999968</v>
      </c>
      <c r="AA67" s="69">
        <f t="shared" ref="AA67" si="231">Z67+AA66</f>
        <v>925.24319999999966</v>
      </c>
      <c r="AB67" s="94"/>
      <c r="AC67" s="94"/>
      <c r="AD67" s="94"/>
      <c r="AE67" s="94"/>
      <c r="AF67" s="94"/>
      <c r="AG67" s="94"/>
      <c r="AH67" s="94"/>
      <c r="AI67" s="94"/>
      <c r="AJ67" s="94"/>
      <c r="AK67" s="94"/>
    </row>
    <row r="68" spans="1:37" s="50" customFormat="1">
      <c r="A68" s="67" t="s">
        <v>152</v>
      </c>
      <c r="B68" s="69"/>
      <c r="C68" s="69">
        <f>+(C62-C19)*Input!$B$34</f>
        <v>-2717.3586048125003</v>
      </c>
      <c r="D68" s="69">
        <f>+(D62-D19)*Input!$B$34</f>
        <v>54.80679282745006</v>
      </c>
      <c r="E68" s="69">
        <f>+(E62-E19)*Input!$B$34</f>
        <v>60.467872175799982</v>
      </c>
      <c r="F68" s="69">
        <f>+(F62-F19)*Input!$B$34</f>
        <v>11.513557191700034</v>
      </c>
      <c r="G68" s="69">
        <f>+(G62-G19)*Input!$B$34</f>
        <v>-33.872962680500109</v>
      </c>
      <c r="H68" s="69">
        <f>+(H62-H19)*Input!$B$34</f>
        <v>-75.778551217099988</v>
      </c>
      <c r="I68" s="69">
        <f>+(I62-I19)*Input!$B$34</f>
        <v>-114.61428462335004</v>
      </c>
      <c r="J68" s="69">
        <f>+(J62-J19)*Input!$B$34</f>
        <v>-150.4525493795</v>
      </c>
      <c r="K68" s="69">
        <f>+(K62-K19)*Input!$B$34</f>
        <v>-160.68415419680002</v>
      </c>
      <c r="L68" s="69">
        <f>+(L62-L19)*Input!$B$34</f>
        <v>-161.63500720085003</v>
      </c>
      <c r="M68" s="69">
        <f>+(M62-M19)*Input!$B$34</f>
        <v>-161.56726925584996</v>
      </c>
      <c r="N68" s="69">
        <f>+(N62-N19)*Input!$B$34</f>
        <v>-161.63500720085003</v>
      </c>
      <c r="O68" s="69">
        <f>+(O62-O19)*Input!$B$34</f>
        <v>437.0599357441501</v>
      </c>
      <c r="P68" s="69">
        <f>+(P62-P19)*Input!$B$34</f>
        <v>442.20246234915004</v>
      </c>
      <c r="Q68" s="69">
        <f>+(Q62-Q19)*Input!$B$34</f>
        <v>441.45614339415005</v>
      </c>
      <c r="R68" s="69">
        <f>+(R62-R19)*Input!$B$34</f>
        <v>440.63743044915003</v>
      </c>
      <c r="S68" s="69">
        <f>+(S62-S19)*Input!$B$34</f>
        <v>440.00826359415004</v>
      </c>
      <c r="T68" s="69">
        <f>+(T62-T19)*Input!$B$34</f>
        <v>439.29769104914999</v>
      </c>
      <c r="U68" s="69">
        <f>+(U62-U19)*Input!$B$34</f>
        <v>438.76915484415008</v>
      </c>
      <c r="V68" s="69">
        <f>+(V62-V19)*Input!$B$34</f>
        <v>438.15170319915001</v>
      </c>
      <c r="W68" s="69">
        <f>+(W62-W19)*Input!$B$34</f>
        <v>254.7071213616</v>
      </c>
      <c r="X68" s="69">
        <f>+(X62-X19)*Input!$B$34</f>
        <v>38.999046437550007</v>
      </c>
      <c r="Y68" s="69">
        <f>+(Y62-Y19)*Input!$B$34</f>
        <v>6.7017009000000014</v>
      </c>
      <c r="Z68" s="69">
        <f>+(Z62-Z19)*Input!$B$34</f>
        <v>6.7001989499999999</v>
      </c>
      <c r="AA68" s="69">
        <f>+(AA62-AA19)*Input!$B$34</f>
        <v>6.7017009000000014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 s="50" customFormat="1">
      <c r="A69" s="67" t="s">
        <v>153</v>
      </c>
      <c r="B69" s="69"/>
      <c r="C69" s="69">
        <f>C68</f>
        <v>-2717.3586048125003</v>
      </c>
      <c r="D69" s="69">
        <f>+C69+D68</f>
        <v>-2662.5518119850503</v>
      </c>
      <c r="E69" s="69">
        <f t="shared" ref="E69:N69" si="232">D69+E68</f>
        <v>-2602.0839398092503</v>
      </c>
      <c r="F69" s="69">
        <f t="shared" si="232"/>
        <v>-2590.5703826175504</v>
      </c>
      <c r="G69" s="69">
        <f t="shared" si="232"/>
        <v>-2624.4433452980506</v>
      </c>
      <c r="H69" s="69">
        <f t="shared" si="232"/>
        <v>-2700.2218965151505</v>
      </c>
      <c r="I69" s="69">
        <f t="shared" si="232"/>
        <v>-2814.8361811385007</v>
      </c>
      <c r="J69" s="69">
        <f t="shared" si="232"/>
        <v>-2965.2887305180006</v>
      </c>
      <c r="K69" s="69">
        <f t="shared" si="232"/>
        <v>-3125.9728847148008</v>
      </c>
      <c r="L69" s="69">
        <f t="shared" si="232"/>
        <v>-3287.6078919156507</v>
      </c>
      <c r="M69" s="69">
        <f t="shared" si="232"/>
        <v>-3449.1751611715008</v>
      </c>
      <c r="N69" s="69">
        <f t="shared" si="232"/>
        <v>-3610.8101683723507</v>
      </c>
      <c r="O69" s="69">
        <f t="shared" ref="O69" si="233">N69+O68</f>
        <v>-3173.7502326282006</v>
      </c>
      <c r="P69" s="69">
        <f t="shared" ref="P69" si="234">O69+P68</f>
        <v>-2731.5477702790504</v>
      </c>
      <c r="Q69" s="69">
        <f t="shared" ref="Q69" si="235">P69+Q68</f>
        <v>-2290.0916268849005</v>
      </c>
      <c r="R69" s="69">
        <f t="shared" ref="R69" si="236">Q69+R68</f>
        <v>-1849.4541964357504</v>
      </c>
      <c r="S69" s="69">
        <f t="shared" ref="S69" si="237">R69+S68</f>
        <v>-1409.4459328416003</v>
      </c>
      <c r="T69" s="69">
        <f t="shared" ref="T69" si="238">S69+T68</f>
        <v>-970.14824179245034</v>
      </c>
      <c r="U69" s="69">
        <f t="shared" ref="U69" si="239">T69+U68</f>
        <v>-531.37908694830026</v>
      </c>
      <c r="V69" s="69">
        <f t="shared" ref="V69" si="240">U69+V68</f>
        <v>-93.227383749150249</v>
      </c>
      <c r="W69" s="69">
        <f t="shared" ref="W69" si="241">V69+W68</f>
        <v>161.47973761244975</v>
      </c>
      <c r="X69" s="69">
        <f t="shared" ref="X69" si="242">W69+X68</f>
        <v>200.47878404999977</v>
      </c>
      <c r="Y69" s="69">
        <f t="shared" ref="Y69" si="243">X69+Y68</f>
        <v>207.18048494999977</v>
      </c>
      <c r="Z69" s="69">
        <f t="shared" ref="Z69" si="244">Y69+Z68</f>
        <v>213.88068389999975</v>
      </c>
      <c r="AA69" s="69">
        <f t="shared" ref="AA69" si="245">Z69+AA68</f>
        <v>220.58238479999974</v>
      </c>
      <c r="AB69" s="69"/>
      <c r="AC69" s="69"/>
      <c r="AD69" s="69"/>
      <c r="AE69" s="69"/>
      <c r="AF69" s="69"/>
      <c r="AG69" s="69"/>
      <c r="AH69" s="69"/>
      <c r="AI69" s="69"/>
      <c r="AJ69" s="69"/>
      <c r="AK69" s="69"/>
    </row>
    <row r="70" spans="1:37" s="50" customFormat="1">
      <c r="A70" s="67" t="s">
        <v>154</v>
      </c>
      <c r="B70" s="69"/>
      <c r="C70" s="69">
        <f>-C68*Input!$B$35</f>
        <v>570.64530701062506</v>
      </c>
      <c r="D70" s="94">
        <f>-D68*Input!$B$35</f>
        <v>-11.509426493764511</v>
      </c>
      <c r="E70" s="69">
        <f>-E68*Input!$B$35</f>
        <v>-12.698253156917996</v>
      </c>
      <c r="F70" s="69">
        <f>-F68*Input!$B$35</f>
        <v>-2.4178470102570069</v>
      </c>
      <c r="G70" s="69">
        <f>-G68*Input!$B$35</f>
        <v>7.1133221629050229</v>
      </c>
      <c r="H70" s="69">
        <f>-H68*Input!$B$35</f>
        <v>15.913495755590997</v>
      </c>
      <c r="I70" s="69">
        <f>-I68*Input!$B$35</f>
        <v>24.06899977090351</v>
      </c>
      <c r="J70" s="69">
        <f>-J68*Input!$B$35</f>
        <v>31.595035369694997</v>
      </c>
      <c r="K70" s="69">
        <f>-K68*Input!$B$35</f>
        <v>33.743672381328004</v>
      </c>
      <c r="L70" s="69">
        <f>-L68*Input!$B$35</f>
        <v>33.943351512178502</v>
      </c>
      <c r="M70" s="69">
        <f>-M68*Input!$B$35</f>
        <v>33.929126543728493</v>
      </c>
      <c r="N70" s="69">
        <f>-N68*Input!$B$35</f>
        <v>33.943351512178502</v>
      </c>
      <c r="O70" s="69">
        <f>-O68*Input!$B$35</f>
        <v>-91.782586506271514</v>
      </c>
      <c r="P70" s="69">
        <f>-P68*Input!$B$35</f>
        <v>-92.8625170933215</v>
      </c>
      <c r="Q70" s="69">
        <f>-Q68*Input!$B$35</f>
        <v>-92.70579011277151</v>
      </c>
      <c r="R70" s="69">
        <f>-R68*Input!$B$35</f>
        <v>-92.533860394321508</v>
      </c>
      <c r="S70" s="69">
        <f>-S68*Input!$B$35</f>
        <v>-92.401735354771503</v>
      </c>
      <c r="T70" s="69">
        <f>-T68*Input!$B$35</f>
        <v>-92.25251512032149</v>
      </c>
      <c r="U70" s="69">
        <f>-U68*Input!$B$35</f>
        <v>-92.141522517271511</v>
      </c>
      <c r="V70" s="69">
        <f>-V68*Input!$B$35</f>
        <v>-92.011857671821502</v>
      </c>
      <c r="W70" s="69">
        <f>-W68*Input!$B$35</f>
        <v>-53.488495485935999</v>
      </c>
      <c r="X70" s="69">
        <f>-X68*Input!$B$35</f>
        <v>-8.1897997518855004</v>
      </c>
      <c r="Y70" s="69">
        <f>-Y68*Input!$B$35</f>
        <v>-1.4073571890000003</v>
      </c>
      <c r="Z70" s="69">
        <f>-Z68*Input!$B$35</f>
        <v>-1.4070417794999999</v>
      </c>
      <c r="AA70" s="69">
        <f>-AA68*Input!$B$35</f>
        <v>-1.4073571890000003</v>
      </c>
      <c r="AB70" s="69"/>
      <c r="AC70" s="69"/>
      <c r="AD70" s="69"/>
      <c r="AE70" s="69"/>
      <c r="AF70" s="69"/>
      <c r="AG70" s="69"/>
      <c r="AH70" s="69"/>
      <c r="AI70" s="69"/>
      <c r="AJ70" s="69"/>
      <c r="AK70" s="69"/>
    </row>
    <row r="71" spans="1:37" s="50" customFormat="1">
      <c r="A71" s="67" t="s">
        <v>155</v>
      </c>
      <c r="B71" s="69"/>
      <c r="C71" s="69">
        <f>C70</f>
        <v>570.64530701062506</v>
      </c>
      <c r="D71" s="69">
        <f>+C71+D70</f>
        <v>559.13588051686054</v>
      </c>
      <c r="E71" s="69">
        <f t="shared" ref="E71:N71" si="246">D71+E70</f>
        <v>546.43762735994255</v>
      </c>
      <c r="F71" s="69">
        <f t="shared" si="246"/>
        <v>544.01978034968556</v>
      </c>
      <c r="G71" s="69">
        <f t="shared" si="246"/>
        <v>551.13310251259054</v>
      </c>
      <c r="H71" s="69">
        <f t="shared" si="246"/>
        <v>567.04659826818158</v>
      </c>
      <c r="I71" s="69">
        <f t="shared" si="246"/>
        <v>591.11559803908506</v>
      </c>
      <c r="J71" s="69">
        <f t="shared" si="246"/>
        <v>622.71063340878004</v>
      </c>
      <c r="K71" s="69">
        <f t="shared" si="246"/>
        <v>656.45430579010804</v>
      </c>
      <c r="L71" s="69">
        <f t="shared" si="246"/>
        <v>690.39765730228658</v>
      </c>
      <c r="M71" s="69">
        <f t="shared" si="246"/>
        <v>724.32678384601502</v>
      </c>
      <c r="N71" s="69">
        <f t="shared" si="246"/>
        <v>758.27013535819356</v>
      </c>
      <c r="O71" s="69">
        <f t="shared" ref="O71" si="247">N71+O70</f>
        <v>666.48754885192204</v>
      </c>
      <c r="P71" s="69">
        <f t="shared" ref="P71" si="248">O71+P70</f>
        <v>573.62503175860058</v>
      </c>
      <c r="Q71" s="69">
        <f t="shared" ref="Q71" si="249">P71+Q70</f>
        <v>480.91924164582906</v>
      </c>
      <c r="R71" s="69">
        <f t="shared" ref="R71" si="250">Q71+R70</f>
        <v>388.38538125150757</v>
      </c>
      <c r="S71" s="69">
        <f t="shared" ref="S71" si="251">R71+S70</f>
        <v>295.98364589673605</v>
      </c>
      <c r="T71" s="69">
        <f t="shared" ref="T71" si="252">S71+T70</f>
        <v>203.73113077641455</v>
      </c>
      <c r="U71" s="69">
        <f t="shared" ref="U71" si="253">T71+U70</f>
        <v>111.58960825914303</v>
      </c>
      <c r="V71" s="69">
        <f t="shared" ref="V71" si="254">U71+V70</f>
        <v>19.577750587321532</v>
      </c>
      <c r="W71" s="69">
        <f t="shared" ref="W71" si="255">V71+W70</f>
        <v>-33.910744898614468</v>
      </c>
      <c r="X71" s="69">
        <f t="shared" ref="X71" si="256">W71+X70</f>
        <v>-42.10054465049997</v>
      </c>
      <c r="Y71" s="69">
        <f t="shared" ref="Y71" si="257">X71+Y70</f>
        <v>-43.507901839499972</v>
      </c>
      <c r="Z71" s="69">
        <f t="shared" ref="Z71" si="258">Y71+Z70</f>
        <v>-44.91494361899997</v>
      </c>
      <c r="AA71" s="69">
        <f t="shared" ref="AA71" si="259">Z71+AA70</f>
        <v>-46.322300807999973</v>
      </c>
      <c r="AB71" s="69"/>
      <c r="AC71" s="69"/>
      <c r="AD71" s="69"/>
      <c r="AE71" s="69"/>
      <c r="AF71" s="69"/>
      <c r="AG71" s="69"/>
      <c r="AH71" s="69"/>
      <c r="AI71" s="69"/>
      <c r="AJ71" s="69"/>
      <c r="AK71" s="69"/>
    </row>
    <row r="72" spans="1:37">
      <c r="A72" s="60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</row>
    <row r="73" spans="1:37">
      <c r="C73" s="80"/>
    </row>
  </sheetData>
  <mergeCells count="1">
    <mergeCell ref="A1:M1"/>
  </mergeCells>
  <phoneticPr fontId="20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Confidential Exhibit NMC-R7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6"/>
  <sheetViews>
    <sheetView topLeftCell="A23" zoomScaleNormal="100" zoomScaleSheetLayoutView="50" workbookViewId="0">
      <selection activeCell="G38" sqref="G38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5" width="14.5703125" style="1" customWidth="1"/>
    <col min="16" max="37" width="13.28515625" style="1" customWidth="1"/>
    <col min="38" max="16384" width="9.140625" style="1"/>
  </cols>
  <sheetData>
    <row r="1" spans="1:37" ht="14.25">
      <c r="A1" s="251" t="str">
        <f>Input!B2&amp;" Total Company"</f>
        <v>KPCO Total Company</v>
      </c>
      <c r="B1" s="251"/>
      <c r="C1" s="251"/>
      <c r="D1" s="251"/>
      <c r="E1" s="251"/>
      <c r="F1" s="251"/>
      <c r="G1" s="251"/>
      <c r="H1" s="251"/>
      <c r="I1" s="251"/>
      <c r="J1" s="251"/>
    </row>
    <row r="2" spans="1:37" ht="14.25">
      <c r="A2" s="251" t="s">
        <v>13</v>
      </c>
      <c r="B2" s="251"/>
      <c r="C2" s="251"/>
      <c r="D2" s="251"/>
      <c r="E2" s="251"/>
      <c r="F2" s="251"/>
      <c r="G2" s="251"/>
      <c r="H2" s="251"/>
      <c r="I2" s="251"/>
      <c r="J2" s="251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297</v>
      </c>
      <c r="X4" s="96" t="s">
        <v>298</v>
      </c>
      <c r="Y4" s="96" t="s">
        <v>299</v>
      </c>
      <c r="Z4" s="96" t="s">
        <v>300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>
      <c r="A5" s="7"/>
      <c r="B5" s="95">
        <f>Input!B7</f>
        <v>2028</v>
      </c>
      <c r="C5" s="95">
        <f>B5+1</f>
        <v>2029</v>
      </c>
      <c r="D5" s="95">
        <f t="shared" ref="D5:L5" si="0">C5+1</f>
        <v>2030</v>
      </c>
      <c r="E5" s="95">
        <f t="shared" si="0"/>
        <v>2031</v>
      </c>
      <c r="F5" s="95">
        <f t="shared" si="0"/>
        <v>2032</v>
      </c>
      <c r="G5" s="95">
        <f t="shared" si="0"/>
        <v>2033</v>
      </c>
      <c r="H5" s="95">
        <f t="shared" si="0"/>
        <v>2034</v>
      </c>
      <c r="I5" s="95">
        <f t="shared" si="0"/>
        <v>2035</v>
      </c>
      <c r="J5" s="95">
        <f t="shared" si="0"/>
        <v>2036</v>
      </c>
      <c r="K5" s="95">
        <f t="shared" si="0"/>
        <v>2037</v>
      </c>
      <c r="L5" s="95">
        <f t="shared" si="0"/>
        <v>2038</v>
      </c>
      <c r="M5" s="95">
        <f t="shared" ref="M5" si="1">L5+1</f>
        <v>2039</v>
      </c>
      <c r="N5" s="95">
        <f t="shared" ref="N5" si="2">M5+1</f>
        <v>2040</v>
      </c>
      <c r="O5" s="95">
        <f t="shared" ref="O5" si="3">N5+1</f>
        <v>2041</v>
      </c>
      <c r="P5" s="95">
        <f t="shared" ref="P5" si="4">O5+1</f>
        <v>2042</v>
      </c>
      <c r="Q5" s="95">
        <f t="shared" ref="Q5" si="5">P5+1</f>
        <v>2043</v>
      </c>
      <c r="R5" s="95">
        <f t="shared" ref="R5" si="6">Q5+1</f>
        <v>2044</v>
      </c>
      <c r="S5" s="95">
        <f t="shared" ref="S5" si="7">R5+1</f>
        <v>2045</v>
      </c>
      <c r="T5" s="95">
        <f t="shared" ref="T5" si="8">S5+1</f>
        <v>2046</v>
      </c>
      <c r="U5" s="95">
        <f t="shared" ref="U5" si="9">T5+1</f>
        <v>2047</v>
      </c>
      <c r="V5" s="95">
        <f t="shared" ref="V5" si="10">U5+1</f>
        <v>2048</v>
      </c>
      <c r="W5" s="95">
        <f t="shared" ref="W5" si="11">V5+1</f>
        <v>2049</v>
      </c>
      <c r="X5" s="95">
        <f t="shared" ref="X5" si="12">W5+1</f>
        <v>2050</v>
      </c>
      <c r="Y5" s="95">
        <f t="shared" ref="Y5" si="13">X5+1</f>
        <v>2051</v>
      </c>
      <c r="Z5" s="95">
        <f t="shared" ref="Z5" si="14">Y5+1</f>
        <v>2052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>
        <f>Input!N46</f>
        <v>0</v>
      </c>
      <c r="O6" s="3">
        <f>Input!O46</f>
        <v>0</v>
      </c>
      <c r="P6" s="3">
        <f>Input!P46</f>
        <v>0</v>
      </c>
      <c r="Q6" s="3">
        <f>Input!Q46</f>
        <v>0</v>
      </c>
      <c r="R6" s="3">
        <f>Input!R46</f>
        <v>0</v>
      </c>
      <c r="S6" s="3">
        <f>Input!S46</f>
        <v>0</v>
      </c>
      <c r="T6" s="3">
        <f>Input!T46</f>
        <v>0</v>
      </c>
      <c r="U6" s="3">
        <f>Input!U46</f>
        <v>0</v>
      </c>
      <c r="V6" s="3">
        <f>Input!V46</f>
        <v>0</v>
      </c>
      <c r="W6" s="3">
        <f>Input!W46</f>
        <v>0</v>
      </c>
      <c r="X6" s="3">
        <f>Input!X46</f>
        <v>0</v>
      </c>
      <c r="Y6" s="3">
        <f>Input!Y46</f>
        <v>0</v>
      </c>
      <c r="Z6" s="3">
        <f>Input!Z46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>
        <f>Input!N48</f>
        <v>0</v>
      </c>
      <c r="O7" s="3">
        <f>Input!O48</f>
        <v>0</v>
      </c>
      <c r="P7" s="3">
        <f>Input!P48</f>
        <v>0</v>
      </c>
      <c r="Q7" s="3">
        <f>Input!Q48</f>
        <v>0</v>
      </c>
      <c r="R7" s="3">
        <f>Input!R48</f>
        <v>0</v>
      </c>
      <c r="S7" s="3">
        <f>Input!S48</f>
        <v>0</v>
      </c>
      <c r="T7" s="3">
        <f>Input!T48</f>
        <v>0</v>
      </c>
      <c r="U7" s="3">
        <f>Input!U48</f>
        <v>0</v>
      </c>
      <c r="V7" s="3">
        <f>Input!V48</f>
        <v>0</v>
      </c>
      <c r="W7" s="3">
        <f>Input!W48</f>
        <v>0</v>
      </c>
      <c r="X7" s="3">
        <f>Input!X48</f>
        <v>0</v>
      </c>
      <c r="Y7" s="3">
        <f>Input!Y48</f>
        <v>0</v>
      </c>
      <c r="Z7" s="3">
        <f>Input!Z48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>
        <f>Input!N49</f>
        <v>0</v>
      </c>
      <c r="O9" s="3">
        <f>Input!O49</f>
        <v>0</v>
      </c>
      <c r="P9" s="3">
        <f>Input!P49</f>
        <v>0</v>
      </c>
      <c r="Q9" s="3">
        <f>Input!Q49</f>
        <v>0</v>
      </c>
      <c r="R9" s="3">
        <f>Input!R49</f>
        <v>0</v>
      </c>
      <c r="S9" s="3">
        <f>Input!S49</f>
        <v>0</v>
      </c>
      <c r="T9" s="3">
        <f>Input!T49</f>
        <v>0</v>
      </c>
      <c r="U9" s="3">
        <f>Input!U49</f>
        <v>0</v>
      </c>
      <c r="V9" s="3">
        <f>Input!V49</f>
        <v>0</v>
      </c>
      <c r="W9" s="3">
        <f>Input!W49</f>
        <v>0</v>
      </c>
      <c r="X9" s="3">
        <f>Input!X49</f>
        <v>0</v>
      </c>
      <c r="Y9" s="3">
        <f>Input!Y49</f>
        <v>0</v>
      </c>
      <c r="Z9" s="3">
        <f>Input!Z49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>
        <f>Input!N50</f>
        <v>0</v>
      </c>
      <c r="O10" s="3">
        <f>Input!O50</f>
        <v>0</v>
      </c>
      <c r="P10" s="3">
        <f>Input!P50</f>
        <v>0</v>
      </c>
      <c r="Q10" s="3">
        <f>Input!Q50</f>
        <v>0</v>
      </c>
      <c r="R10" s="3">
        <f>Input!R50</f>
        <v>0</v>
      </c>
      <c r="S10" s="3">
        <f>Input!S50</f>
        <v>0</v>
      </c>
      <c r="T10" s="3">
        <f>Input!T50</f>
        <v>0</v>
      </c>
      <c r="U10" s="3">
        <f>Input!U50</f>
        <v>0</v>
      </c>
      <c r="V10" s="3">
        <f>Input!V50</f>
        <v>0</v>
      </c>
      <c r="W10" s="3">
        <f>Input!W50</f>
        <v>0</v>
      </c>
      <c r="X10" s="3">
        <f>Input!X50</f>
        <v>0</v>
      </c>
      <c r="Y10" s="3">
        <f>Input!Y50</f>
        <v>0</v>
      </c>
      <c r="Z10" s="3">
        <f>Input!Z50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>
        <f>Input!N51</f>
        <v>0</v>
      </c>
      <c r="O11" s="3">
        <f>Input!O51</f>
        <v>0</v>
      </c>
      <c r="P11" s="3">
        <f>Input!P51</f>
        <v>0</v>
      </c>
      <c r="Q11" s="3">
        <f>Input!Q51</f>
        <v>0</v>
      </c>
      <c r="R11" s="3">
        <f>Input!R51</f>
        <v>0</v>
      </c>
      <c r="S11" s="3">
        <f>Input!S51</f>
        <v>0</v>
      </c>
      <c r="T11" s="3">
        <f>Input!T51</f>
        <v>0</v>
      </c>
      <c r="U11" s="3">
        <f>Input!U51</f>
        <v>0</v>
      </c>
      <c r="V11" s="3">
        <f>Input!V51</f>
        <v>0</v>
      </c>
      <c r="W11" s="3">
        <f>Input!W51</f>
        <v>0</v>
      </c>
      <c r="X11" s="3">
        <f>Input!X51</f>
        <v>0</v>
      </c>
      <c r="Y11" s="3">
        <f>Input!Y51</f>
        <v>0</v>
      </c>
      <c r="Z11" s="3">
        <f>Input!Z51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>
        <f>Input!N52</f>
        <v>0</v>
      </c>
      <c r="O12" s="3">
        <f>Input!O52</f>
        <v>0</v>
      </c>
      <c r="P12" s="3">
        <f>Input!P52</f>
        <v>0</v>
      </c>
      <c r="Q12" s="3">
        <f>Input!Q52</f>
        <v>0</v>
      </c>
      <c r="R12" s="3">
        <f>Input!R52</f>
        <v>0</v>
      </c>
      <c r="S12" s="3">
        <f>Input!S52</f>
        <v>0</v>
      </c>
      <c r="T12" s="3">
        <f>Input!T52</f>
        <v>0</v>
      </c>
      <c r="U12" s="3">
        <f>Input!U52</f>
        <v>0</v>
      </c>
      <c r="V12" s="3">
        <f>Input!V52</f>
        <v>0</v>
      </c>
      <c r="W12" s="3">
        <f>Input!W52</f>
        <v>0</v>
      </c>
      <c r="X12" s="3">
        <f>Input!X52</f>
        <v>0</v>
      </c>
      <c r="Y12" s="3">
        <f>Input!Y52</f>
        <v>0</v>
      </c>
      <c r="Z12" s="3">
        <f>Input!Z52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15">SUM(G6:G12)</f>
        <v>0</v>
      </c>
      <c r="H13" s="54">
        <f t="shared" si="15"/>
        <v>0</v>
      </c>
      <c r="I13" s="54">
        <f t="shared" si="15"/>
        <v>0</v>
      </c>
      <c r="J13" s="54">
        <f t="shared" si="15"/>
        <v>0</v>
      </c>
      <c r="K13" s="54">
        <f t="shared" si="15"/>
        <v>0</v>
      </c>
      <c r="L13" s="54">
        <f t="shared" si="15"/>
        <v>0</v>
      </c>
      <c r="M13" s="54">
        <f t="shared" ref="M13" si="16">SUM(M6:M12)</f>
        <v>0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9434750</v>
      </c>
      <c r="C14" s="3">
        <f>'Rate Base - coal'!D19*1000</f>
        <v>11844500</v>
      </c>
      <c r="D14" s="3">
        <f>'Rate Base - coal'!E19*1000</f>
        <v>11844500</v>
      </c>
      <c r="E14" s="3">
        <f>'Rate Base - coal'!F19*1000</f>
        <v>11844500</v>
      </c>
      <c r="F14" s="3">
        <f>'Rate Base - coal'!G19*1000</f>
        <v>11844500</v>
      </c>
      <c r="G14" s="3">
        <f>'Rate Base - coal'!H19*1000</f>
        <v>11844500</v>
      </c>
      <c r="H14" s="3">
        <f>'Rate Base - coal'!I19*1000</f>
        <v>11844500</v>
      </c>
      <c r="I14" s="3">
        <f>'Rate Base - coal'!J19*1000</f>
        <v>11844500</v>
      </c>
      <c r="J14" s="3">
        <f>'Rate Base - coal'!K19*1000</f>
        <v>11844500</v>
      </c>
      <c r="K14" s="3">
        <f>'Rate Base - coal'!L19*1000</f>
        <v>11844500</v>
      </c>
      <c r="L14" s="3">
        <f>'Rate Base - coal'!M19*1000</f>
        <v>11844500</v>
      </c>
      <c r="M14" s="3">
        <f>'Rate Base - coal'!N19*1000</f>
        <v>11844500</v>
      </c>
      <c r="N14" s="3">
        <f>'Rate Base - coal'!O19*1000</f>
        <v>0</v>
      </c>
      <c r="O14" s="3">
        <f>'Rate Base - coal'!P19*1000</f>
        <v>0</v>
      </c>
      <c r="P14" s="3">
        <f>'Rate Base - coal'!Q19*1000</f>
        <v>0</v>
      </c>
      <c r="Q14" s="3">
        <f>'Rate Base - coal'!R19*1000</f>
        <v>0</v>
      </c>
      <c r="R14" s="3">
        <f>'Rate Base - coal'!S19*1000</f>
        <v>0</v>
      </c>
      <c r="S14" s="3">
        <f>'Rate Base - coal'!T19*1000</f>
        <v>0</v>
      </c>
      <c r="T14" s="3">
        <f>'Rate Base - coal'!U19*1000</f>
        <v>0</v>
      </c>
      <c r="U14" s="3">
        <f>'Rate Base - coal'!V19*1000</f>
        <v>0</v>
      </c>
      <c r="V14" s="3">
        <f>'Rate Base - coal'!W19*1000</f>
        <v>0</v>
      </c>
      <c r="W14" s="3">
        <f>'Rate Base - coal'!X19*1000</f>
        <v>0</v>
      </c>
      <c r="X14" s="3">
        <f>'Rate Base - coal'!Y19*1000</f>
        <v>0</v>
      </c>
      <c r="Y14" s="3">
        <f>'Rate Base - coal'!Z19*1000</f>
        <v>0</v>
      </c>
      <c r="Z14" s="3">
        <f>'Rate Base - coal'!AA19*1000</f>
        <v>0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2087476.7796181559</v>
      </c>
      <c r="C15" s="3">
        <f>SIT!E20</f>
        <v>-827888.62139272469</v>
      </c>
      <c r="D15" s="3">
        <f>SIT!F20</f>
        <v>-817241.8047415762</v>
      </c>
      <c r="E15" s="3">
        <f>SIT!G20</f>
        <v>-752307.22456816677</v>
      </c>
      <c r="F15" s="3">
        <f>SIT!H20</f>
        <v>-691244.19255237363</v>
      </c>
      <c r="G15" s="3">
        <f>SIT!I20</f>
        <v>-633942.54849644692</v>
      </c>
      <c r="H15" s="3">
        <f>SIT!J20</f>
        <v>-579970.67093525734</v>
      </c>
      <c r="I15" s="3">
        <f>SIT!K20</f>
        <v>-529236.11258119531</v>
      </c>
      <c r="J15" s="3">
        <f>SIT!L20</f>
        <v>-504176.69002918148</v>
      </c>
      <c r="K15" s="3">
        <f>SIT!M20</f>
        <v>-488404.38295295072</v>
      </c>
      <c r="L15" s="3">
        <f>SIT!N20</f>
        <v>-473650.21348395909</v>
      </c>
      <c r="M15" s="3">
        <f>SIT!O20</f>
        <v>-458761.0214667783</v>
      </c>
      <c r="N15" s="3">
        <f>SIT!P20</f>
        <v>-465564.01065660571</v>
      </c>
      <c r="O15" s="3">
        <f>SIT!Q20</f>
        <v>-467747.06063418114</v>
      </c>
      <c r="P15" s="3">
        <f>SIT!R20</f>
        <v>-464046.25985321519</v>
      </c>
      <c r="Q15" s="3">
        <f>SIT!S20</f>
        <v>-460278.54438648559</v>
      </c>
      <c r="R15" s="3">
        <f>SIT!T20</f>
        <v>-456704.58576107613</v>
      </c>
      <c r="S15" s="3">
        <f>SIT!U20</f>
        <v>-453053.97701131372</v>
      </c>
      <c r="T15" s="3">
        <f>SIT!V20</f>
        <v>-449588.94187390676</v>
      </c>
      <c r="U15" s="3">
        <f>SIT!W20</f>
        <v>-446039.12364280596</v>
      </c>
      <c r="V15" s="3">
        <f>SIT!X20</f>
        <v>-260889.89328633141</v>
      </c>
      <c r="W15" s="3">
        <f>SIT!Y20</f>
        <v>-44920.814011897106</v>
      </c>
      <c r="X15" s="3">
        <f>SIT!Z20</f>
        <v>-12578.616785660935</v>
      </c>
      <c r="Y15" s="3">
        <f>SIT!AA20</f>
        <v>-12532.27319889962</v>
      </c>
      <c r="Z15" s="3">
        <f>SIT!AB20</f>
        <v>-12488.923460213455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coal'!C68)*1000</f>
        <v>-2717358.6048125001</v>
      </c>
      <c r="C16" s="3">
        <f>('Rate Base - coal'!D68)*1000</f>
        <v>54806.792827450059</v>
      </c>
      <c r="D16" s="3">
        <f>('Rate Base - coal'!E68)*1000</f>
        <v>60467.872175799981</v>
      </c>
      <c r="E16" s="3">
        <f>('Rate Base - coal'!F68)*1000</f>
        <v>11513.557191700034</v>
      </c>
      <c r="F16" s="3">
        <f>('Rate Base - coal'!G68)*1000</f>
        <v>-33872.96268050011</v>
      </c>
      <c r="G16" s="3">
        <f>('Rate Base - coal'!H68)*1000</f>
        <v>-75778.551217099986</v>
      </c>
      <c r="H16" s="3">
        <f>('Rate Base - coal'!I68)*1000</f>
        <v>-114614.28462335005</v>
      </c>
      <c r="I16" s="3">
        <f>('Rate Base - coal'!J68)*1000</f>
        <v>-150452.54937950001</v>
      </c>
      <c r="J16" s="3">
        <f>('Rate Base - coal'!K68)*1000</f>
        <v>-160684.15419680002</v>
      </c>
      <c r="K16" s="3">
        <f>('Rate Base - coal'!L68)*1000</f>
        <v>-161635.00720085003</v>
      </c>
      <c r="L16" s="3">
        <f>('Rate Base - coal'!M68)*1000</f>
        <v>-161567.26925584997</v>
      </c>
      <c r="M16" s="3">
        <f>('Rate Base - coal'!N68)*1000</f>
        <v>-161635.00720085003</v>
      </c>
      <c r="N16" s="3">
        <f>('Rate Base - coal'!O68)*1000</f>
        <v>437059.93574415008</v>
      </c>
      <c r="O16" s="3">
        <f>('Rate Base - coal'!P68)*1000</f>
        <v>442202.46234915004</v>
      </c>
      <c r="P16" s="3">
        <f>('Rate Base - coal'!Q68)*1000</f>
        <v>441456.14339415007</v>
      </c>
      <c r="Q16" s="3">
        <f>('Rate Base - coal'!R68)*1000</f>
        <v>440637.43044915004</v>
      </c>
      <c r="R16" s="3">
        <f>('Rate Base - coal'!S68)*1000</f>
        <v>440008.26359415002</v>
      </c>
      <c r="S16" s="3">
        <f>('Rate Base - coal'!T68)*1000</f>
        <v>439297.69104915002</v>
      </c>
      <c r="T16" s="3">
        <f>('Rate Base - coal'!U68)*1000</f>
        <v>438769.15484415006</v>
      </c>
      <c r="U16" s="3">
        <f>('Rate Base - coal'!V68)*1000</f>
        <v>438151.70319914998</v>
      </c>
      <c r="V16" s="3">
        <f>('Rate Base - coal'!W68)*1000</f>
        <v>254707.1213616</v>
      </c>
      <c r="W16" s="3">
        <f>('Rate Base - coal'!X68)*1000</f>
        <v>38999.046437550009</v>
      </c>
      <c r="X16" s="3">
        <f>('Rate Base - coal'!Y68)*1000</f>
        <v>6701.7009000000016</v>
      </c>
      <c r="Y16" s="3">
        <f>('Rate Base - coal'!Z68)*1000</f>
        <v>6700.19895</v>
      </c>
      <c r="Z16" s="3">
        <f>('Rate Base - coal'!AA68)*1000</f>
        <v>6701.7009000000016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8317649.5251329318</v>
      </c>
      <c r="C17" s="3">
        <f>FIT!E25</f>
        <v>-3298761.19620826</v>
      </c>
      <c r="D17" s="3">
        <f>FIT!F25</f>
        <v>-3256338.4539161031</v>
      </c>
      <c r="E17" s="3">
        <f>FIT!G25</f>
        <v>-2997603.5615246962</v>
      </c>
      <c r="F17" s="3">
        <f>FIT!H25</f>
        <v>-2754295.0350738075</v>
      </c>
      <c r="G17" s="3">
        <f>FIT!I25</f>
        <v>-2525973.9360681945</v>
      </c>
      <c r="H17" s="3">
        <f>FIT!J25</f>
        <v>-2310920.448455519</v>
      </c>
      <c r="I17" s="3">
        <f>FIT!K25</f>
        <v>-2108766.2116650692</v>
      </c>
      <c r="J17" s="3">
        <f>FIT!L25</f>
        <v>-2008915.7624888204</v>
      </c>
      <c r="K17" s="3">
        <f>FIT!M25</f>
        <v>-1946070.2622448085</v>
      </c>
      <c r="L17" s="3">
        <f>FIT!N25</f>
        <v>-1887281.5792397037</v>
      </c>
      <c r="M17" s="3">
        <f>FIT!O25</f>
        <v>-1827954.8925332914</v>
      </c>
      <c r="N17" s="3">
        <f>FIT!P25</f>
        <v>-1855061.723304651</v>
      </c>
      <c r="O17" s="3">
        <f>FIT!Q25</f>
        <v>-1863760.1887374707</v>
      </c>
      <c r="P17" s="3">
        <f>FIT!R25</f>
        <v>-1849014.1737595007</v>
      </c>
      <c r="Q17" s="3">
        <f>FIT!S25</f>
        <v>-1834001.5340651749</v>
      </c>
      <c r="R17" s="3">
        <f>FIT!T25</f>
        <v>-1819760.9276288634</v>
      </c>
      <c r="S17" s="3">
        <f>FIT!U25</f>
        <v>-1805214.905162706</v>
      </c>
      <c r="T17" s="3">
        <f>FIT!V25</f>
        <v>-1791408.3094934148</v>
      </c>
      <c r="U17" s="3">
        <f>FIT!W25</f>
        <v>-1777263.8915949676</v>
      </c>
      <c r="V17" s="3">
        <f>FIT!X25</f>
        <v>-1039528.0647873713</v>
      </c>
      <c r="W17" s="3">
        <f>FIT!Y25</f>
        <v>-178989.09869693816</v>
      </c>
      <c r="X17" s="3">
        <f>FIT!Z25</f>
        <v>-50120.090894242123</v>
      </c>
      <c r="Y17" s="3">
        <f>FIT!AA25</f>
        <v>-49935.432690528491</v>
      </c>
      <c r="Z17" s="3">
        <f>FIT!AB25</f>
        <v>-49762.703615446961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coal'!C66+'Rate Base - coal'!C70)*1000</f>
        <v>-10827443.317989375</v>
      </c>
      <c r="C18" s="3">
        <f>('Rate Base - coal'!D66+'Rate Base - coal'!D70)*1000</f>
        <v>218380.24680623569</v>
      </c>
      <c r="D18" s="3">
        <f>('Rate Base - coal'!E66+'Rate Base - coal'!E70)*1000</f>
        <v>240937.08404308188</v>
      </c>
      <c r="E18" s="3">
        <f>('Rate Base - coal'!F66+'Rate Base - coal'!F70)*1000</f>
        <v>45876.310789743133</v>
      </c>
      <c r="F18" s="3">
        <f>('Rate Base - coal'!G66+'Rate Base - coal'!G70)*1000</f>
        <v>-134968.41483709539</v>
      </c>
      <c r="G18" s="3">
        <f>('Rate Base - coal'!H66+'Rate Base - coal'!H70)*1000</f>
        <v>-301943.20564440894</v>
      </c>
      <c r="H18" s="3">
        <f>('Rate Base - coal'!I66+'Rate Base - coal'!I70)*1000</f>
        <v>-456686.01412909664</v>
      </c>
      <c r="I18" s="3">
        <f>('Rate Base - coal'!J66+'Rate Base - coal'!J70)*1000</f>
        <v>-599485.26763030502</v>
      </c>
      <c r="J18" s="3">
        <f>('Rate Base - coal'!K66+'Rate Base - coal'!K70)*1000</f>
        <v>-640253.5788186721</v>
      </c>
      <c r="K18" s="3">
        <f>('Rate Base - coal'!L66+'Rate Base - coal'!L70)*1000</f>
        <v>-644042.29738782148</v>
      </c>
      <c r="L18" s="3">
        <f>('Rate Base - coal'!M66+'Rate Base - coal'!M70)*1000</f>
        <v>-643772.39235627127</v>
      </c>
      <c r="M18" s="3">
        <f>('Rate Base - coal'!N66+'Rate Base - coal'!N70)*1000</f>
        <v>-644042.29738782148</v>
      </c>
      <c r="N18" s="3">
        <f>('Rate Base - coal'!O66+'Rate Base - coal'!O70)*1000</f>
        <v>1741485.8945937285</v>
      </c>
      <c r="O18" s="3">
        <f>('Rate Base - coal'!P66+'Rate Base - coal'!P70)*1000</f>
        <v>1761976.5340066783</v>
      </c>
      <c r="P18" s="3">
        <f>('Rate Base - coal'!Q66+'Rate Base - coal'!Q70)*1000</f>
        <v>1759002.7909872285</v>
      </c>
      <c r="Q18" s="3">
        <f>('Rate Base - coal'!R66+'Rate Base - coal'!R70)*1000</f>
        <v>1755740.5907056783</v>
      </c>
      <c r="R18" s="3">
        <f>('Rate Base - coal'!S66+'Rate Base - coal'!S70)*1000</f>
        <v>1753233.6457452283</v>
      </c>
      <c r="S18" s="3">
        <f>('Rate Base - coal'!T66+'Rate Base - coal'!T70)*1000</f>
        <v>1750402.3359796782</v>
      </c>
      <c r="T18" s="3">
        <f>('Rate Base - coal'!U66+'Rate Base - coal'!U70)*1000</f>
        <v>1748296.3585827283</v>
      </c>
      <c r="U18" s="3">
        <f>('Rate Base - coal'!V66+'Rate Base - coal'!V70)*1000</f>
        <v>1745836.0934281785</v>
      </c>
      <c r="V18" s="3">
        <f>('Rate Base - coal'!W66+'Rate Base - coal'!W70)*1000</f>
        <v>1014892.5189140639</v>
      </c>
      <c r="W18" s="3">
        <f>('Rate Base - coal'!X66+'Rate Base - coal'!X70)*1000</f>
        <v>155393.53694811452</v>
      </c>
      <c r="X18" s="3">
        <f>('Rate Base - coal'!Y66+'Rate Base - coal'!Y70)*1000</f>
        <v>26703.242811000004</v>
      </c>
      <c r="Y18" s="3">
        <f>('Rate Base - coal'!Z66+'Rate Base - coal'!Z70)*1000</f>
        <v>26697.258220499996</v>
      </c>
      <c r="Z18" s="3">
        <f>('Rate Base - coal'!AA66+'Rate Base - coal'!AA70)*1000</f>
        <v>26703.242811000004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5">
      <c r="A19" s="23" t="s">
        <v>7</v>
      </c>
      <c r="B19" s="22">
        <f>SUM(B13:B18)</f>
        <v>6295074.3819492124</v>
      </c>
      <c r="C19" s="22">
        <f>SUM(C13:C18)</f>
        <v>7991037.2220327007</v>
      </c>
      <c r="D19" s="22">
        <f>SUM(D13:D18)</f>
        <v>8072324.6975612026</v>
      </c>
      <c r="E19" s="22">
        <f>SUM(E13:E18)</f>
        <v>8151979.0818885807</v>
      </c>
      <c r="F19" s="22">
        <f>SUM(F13:F18)</f>
        <v>8230119.3948562248</v>
      </c>
      <c r="G19" s="22">
        <f t="shared" ref="G19:L19" si="18">SUM(G13:G18)</f>
        <v>8306861.7585738497</v>
      </c>
      <c r="H19" s="22">
        <f t="shared" si="18"/>
        <v>8382308.5818567742</v>
      </c>
      <c r="I19" s="22">
        <f t="shared" si="18"/>
        <v>8456559.8587439302</v>
      </c>
      <c r="J19" s="22">
        <f t="shared" si="18"/>
        <v>8530469.8144665267</v>
      </c>
      <c r="K19" s="22">
        <f t="shared" si="18"/>
        <v>8604348.0502135698</v>
      </c>
      <c r="L19" s="22">
        <f t="shared" si="18"/>
        <v>8678228.5456642155</v>
      </c>
      <c r="M19" s="22">
        <f t="shared" ref="M19:Z19" si="19">SUM(M13:M18)</f>
        <v>8752106.7814112585</v>
      </c>
      <c r="N19" s="22">
        <f t="shared" si="19"/>
        <v>-142079.90362337814</v>
      </c>
      <c r="O19" s="22">
        <f t="shared" si="19"/>
        <v>-127328.25301582343</v>
      </c>
      <c r="P19" s="22">
        <f t="shared" si="19"/>
        <v>-112601.49923133734</v>
      </c>
      <c r="Q19" s="22">
        <f t="shared" si="19"/>
        <v>-97902.057296832092</v>
      </c>
      <c r="R19" s="22">
        <f t="shared" si="19"/>
        <v>-83223.604050561087</v>
      </c>
      <c r="S19" s="22">
        <f t="shared" si="19"/>
        <v>-68568.855145191541</v>
      </c>
      <c r="T19" s="22">
        <f t="shared" si="19"/>
        <v>-53931.737940443214</v>
      </c>
      <c r="U19" s="22">
        <f t="shared" si="19"/>
        <v>-39315.218610445037</v>
      </c>
      <c r="V19" s="22">
        <f t="shared" si="19"/>
        <v>-30818.317798038828</v>
      </c>
      <c r="W19" s="22">
        <f t="shared" si="19"/>
        <v>-29517.329323170736</v>
      </c>
      <c r="X19" s="22">
        <f t="shared" si="19"/>
        <v>-29293.763968903055</v>
      </c>
      <c r="Y19" s="22">
        <f t="shared" si="19"/>
        <v>-29070.248718928113</v>
      </c>
      <c r="Z19" s="22">
        <f t="shared" si="19"/>
        <v>-28846.683364660406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5">
      <c r="A21" s="23" t="s">
        <v>107</v>
      </c>
      <c r="B21" s="53">
        <f t="shared" ref="B21:Z21" si="20">WACC</f>
        <v>6.9533995942596558E-2</v>
      </c>
      <c r="C21" s="53">
        <f t="shared" si="20"/>
        <v>6.9533995942596558E-2</v>
      </c>
      <c r="D21" s="53">
        <f t="shared" si="20"/>
        <v>6.9533995942596558E-2</v>
      </c>
      <c r="E21" s="53">
        <f t="shared" si="20"/>
        <v>6.9533995942596558E-2</v>
      </c>
      <c r="F21" s="53">
        <f t="shared" si="20"/>
        <v>6.9533995942596558E-2</v>
      </c>
      <c r="G21" s="53">
        <f t="shared" si="20"/>
        <v>6.9533995942596558E-2</v>
      </c>
      <c r="H21" s="53">
        <f t="shared" si="20"/>
        <v>6.9533995942596558E-2</v>
      </c>
      <c r="I21" s="53">
        <f t="shared" si="20"/>
        <v>6.9533995942596558E-2</v>
      </c>
      <c r="J21" s="53">
        <f t="shared" si="20"/>
        <v>6.9533995942596558E-2</v>
      </c>
      <c r="K21" s="53">
        <f t="shared" si="20"/>
        <v>6.9533995942596558E-2</v>
      </c>
      <c r="L21" s="53">
        <f t="shared" si="20"/>
        <v>6.9533995942596558E-2</v>
      </c>
      <c r="M21" s="53">
        <f t="shared" si="20"/>
        <v>6.9533995942596558E-2</v>
      </c>
      <c r="N21" s="53">
        <f t="shared" si="20"/>
        <v>6.9533995942596558E-2</v>
      </c>
      <c r="O21" s="53">
        <f t="shared" si="20"/>
        <v>6.9533995942596558E-2</v>
      </c>
      <c r="P21" s="53">
        <f t="shared" si="20"/>
        <v>6.9533995942596558E-2</v>
      </c>
      <c r="Q21" s="53">
        <f t="shared" si="20"/>
        <v>6.9533995942596558E-2</v>
      </c>
      <c r="R21" s="53">
        <f t="shared" si="20"/>
        <v>6.9533995942596558E-2</v>
      </c>
      <c r="S21" s="53">
        <f t="shared" si="20"/>
        <v>6.9533995942596558E-2</v>
      </c>
      <c r="T21" s="53">
        <f t="shared" si="20"/>
        <v>6.9533995942596558E-2</v>
      </c>
      <c r="U21" s="53">
        <f t="shared" si="20"/>
        <v>6.9533995942596558E-2</v>
      </c>
      <c r="V21" s="53">
        <f t="shared" si="20"/>
        <v>6.9533995942596558E-2</v>
      </c>
      <c r="W21" s="53">
        <f t="shared" si="20"/>
        <v>6.9533995942596558E-2</v>
      </c>
      <c r="X21" s="53">
        <f t="shared" si="20"/>
        <v>6.9533995942596558E-2</v>
      </c>
      <c r="Y21" s="53">
        <f t="shared" si="20"/>
        <v>6.9533995942596558E-2</v>
      </c>
      <c r="Z21" s="53">
        <f t="shared" si="20"/>
        <v>6.9533995942596558E-2</v>
      </c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5">
      <c r="A23" s="23" t="s">
        <v>0</v>
      </c>
      <c r="B23" s="7">
        <f>('Rate Base - coal'!C16)*1000</f>
        <v>117327051.92280188</v>
      </c>
      <c r="C23" s="7">
        <f>('Rate Base - coal'!D16)*1000</f>
        <v>134126364.88316819</v>
      </c>
      <c r="D23" s="7">
        <f>('Rate Base - coal'!E16)*1000</f>
        <v>121980459.92694931</v>
      </c>
      <c r="E23" s="7">
        <f>('Rate Base - coal'!F16)*1000</f>
        <v>110078570.05896786</v>
      </c>
      <c r="F23" s="7">
        <f>('Rate Base - coal'!G16)*1000</f>
        <v>98402911.436485454</v>
      </c>
      <c r="G23" s="7">
        <f>('Rate Base - coal'!H16)*1000</f>
        <v>86936133.193346977</v>
      </c>
      <c r="H23" s="7">
        <f>('Rate Base - coal'!I16)*1000</f>
        <v>75662933.492099419</v>
      </c>
      <c r="I23" s="7">
        <f>('Rate Base - coal'!J16)*1000</f>
        <v>64568371.309109211</v>
      </c>
      <c r="J23" s="7">
        <f>('Rate Base - coal'!K16)*1000</f>
        <v>53524809.042124696</v>
      </c>
      <c r="K23" s="7">
        <f>('Rate Base - coal'!L16)*1000</f>
        <v>42485986.346713364</v>
      </c>
      <c r="L23" s="7">
        <f>('Rate Base - coal'!M16)*1000</f>
        <v>31446826.008325487</v>
      </c>
      <c r="M23" s="7">
        <f>('Rate Base - coal'!N16)*1000</f>
        <v>20408003.312914155</v>
      </c>
      <c r="N23" s="7">
        <f>('Rate Base - coal'!O16)*1000</f>
        <v>21229457.482576281</v>
      </c>
      <c r="O23" s="7">
        <f>('Rate Base - coal'!P16)*1000</f>
        <v>19025278.486220449</v>
      </c>
      <c r="P23" s="7">
        <f>('Rate Base - coal'!Q16)*1000</f>
        <v>16824819.551839072</v>
      </c>
      <c r="Q23" s="7">
        <f>('Rate Base - coal'!R16)*1000</f>
        <v>14628441.530684244</v>
      </c>
      <c r="R23" s="7">
        <f>('Rate Base - coal'!S16)*1000</f>
        <v>12435199.621344864</v>
      </c>
      <c r="S23" s="7">
        <f>('Rate Base - coal'!T16)*1000</f>
        <v>10245499.594316037</v>
      </c>
      <c r="T23" s="7">
        <f>('Rate Base - coal'!U16)*1000</f>
        <v>8058434.080889158</v>
      </c>
      <c r="U23" s="7">
        <f>('Rate Base - coal'!V16)*1000</f>
        <v>5874446.2842618283</v>
      </c>
      <c r="V23" s="7">
        <f>('Rate Base - coal'!W16)*1000</f>
        <v>4604846.6439861646</v>
      </c>
      <c r="W23" s="7">
        <f>('Rate Base - coal'!X16)*1000</f>
        <v>4410454.0606005015</v>
      </c>
      <c r="X23" s="7">
        <f>('Rate Base - coal'!Y16)*1000</f>
        <v>4377049.1168895001</v>
      </c>
      <c r="Y23" s="7">
        <f>('Rate Base - coal'!Z16)*1000</f>
        <v>4343651.6597190006</v>
      </c>
      <c r="Z23" s="7">
        <f>('Rate Base - coal'!AA16)*1000</f>
        <v>4310246.7160080001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5">
      <c r="A24" s="23" t="s">
        <v>40</v>
      </c>
      <c r="B24" s="7">
        <f>B23*B21</f>
        <v>8158218.7523569213</v>
      </c>
      <c r="C24" s="7">
        <f>C23*C21</f>
        <v>9326342.1115814429</v>
      </c>
      <c r="D24" s="7">
        <f>D23*D21</f>
        <v>8481788.805636555</v>
      </c>
      <c r="E24" s="7">
        <f>E23*E21</f>
        <v>7654202.8438471016</v>
      </c>
      <c r="F24" s="7">
        <f>F23*F21</f>
        <v>6842347.6445642682</v>
      </c>
      <c r="G24" s="7">
        <f t="shared" ref="G24:L24" si="21">G23*G21</f>
        <v>6045016.7327312222</v>
      </c>
      <c r="H24" s="7">
        <f t="shared" si="21"/>
        <v>5261146.1104445942</v>
      </c>
      <c r="I24" s="7">
        <f t="shared" si="21"/>
        <v>4489696.8686276674</v>
      </c>
      <c r="J24" s="7">
        <f t="shared" si="21"/>
        <v>3721793.8547633542</v>
      </c>
      <c r="K24" s="7">
        <f t="shared" si="21"/>
        <v>2954220.4022495798</v>
      </c>
      <c r="L24" s="7">
        <f t="shared" si="21"/>
        <v>2186623.4720704444</v>
      </c>
      <c r="M24" s="7">
        <f t="shared" ref="M24:Z24" si="22">M23*M21</f>
        <v>1419050.01955667</v>
      </c>
      <c r="N24" s="7">
        <f t="shared" si="22"/>
        <v>1476169.0104569853</v>
      </c>
      <c r="O24" s="7">
        <f t="shared" si="22"/>
        <v>1322903.6370676223</v>
      </c>
      <c r="P24" s="7">
        <f t="shared" si="22"/>
        <v>1169896.9344524972</v>
      </c>
      <c r="Q24" s="7">
        <f t="shared" si="22"/>
        <v>1017173.9940411092</v>
      </c>
      <c r="R24" s="7">
        <f t="shared" si="22"/>
        <v>864669.12001597206</v>
      </c>
      <c r="S24" s="7">
        <f t="shared" si="22"/>
        <v>712410.52722104604</v>
      </c>
      <c r="T24" s="7">
        <f t="shared" si="22"/>
        <v>560335.12268422858</v>
      </c>
      <c r="U24" s="7">
        <f t="shared" si="22"/>
        <v>408473.7240948634</v>
      </c>
      <c r="V24" s="7">
        <f t="shared" si="22"/>
        <v>320193.38785921334</v>
      </c>
      <c r="W24" s="7">
        <f t="shared" si="22"/>
        <v>306676.49475480377</v>
      </c>
      <c r="X24" s="7">
        <f t="shared" si="22"/>
        <v>304353.71553434036</v>
      </c>
      <c r="Y24" s="7">
        <f t="shared" si="22"/>
        <v>302031.45688295376</v>
      </c>
      <c r="Z24" s="7">
        <f t="shared" si="22"/>
        <v>299708.6776624904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">
      <c r="A25" s="99"/>
      <c r="B25" s="81"/>
      <c r="C25" s="8"/>
    </row>
    <row r="26" spans="1:37">
      <c r="A26" s="1" t="s">
        <v>61</v>
      </c>
      <c r="B26" s="38">
        <f>B24+B19</f>
        <v>14453293.134306133</v>
      </c>
      <c r="C26" s="38">
        <f>C24+C19</f>
        <v>17317379.333614144</v>
      </c>
      <c r="D26" s="38">
        <f>D24+D19</f>
        <v>16554113.503197758</v>
      </c>
      <c r="E26" s="38">
        <f>E24+E19</f>
        <v>15806181.925735682</v>
      </c>
      <c r="F26" s="38">
        <f>F24+F19</f>
        <v>15072467.039420493</v>
      </c>
      <c r="G26" s="38">
        <f t="shared" ref="G26:L26" si="23">G24+G19</f>
        <v>14351878.491305072</v>
      </c>
      <c r="H26" s="38">
        <f t="shared" si="23"/>
        <v>13643454.692301368</v>
      </c>
      <c r="I26" s="38">
        <f t="shared" si="23"/>
        <v>12946256.727371598</v>
      </c>
      <c r="J26" s="38">
        <f t="shared" si="23"/>
        <v>12252263.66922988</v>
      </c>
      <c r="K26" s="38">
        <f t="shared" si="23"/>
        <v>11558568.45246315</v>
      </c>
      <c r="L26" s="38">
        <f t="shared" si="23"/>
        <v>10864852.01773466</v>
      </c>
      <c r="M26" s="38">
        <f t="shared" ref="M26:Z26" si="24">M24+M19</f>
        <v>10171156.800967928</v>
      </c>
      <c r="N26" s="38">
        <f t="shared" si="24"/>
        <v>1334089.1068336072</v>
      </c>
      <c r="O26" s="38">
        <f t="shared" si="24"/>
        <v>1195575.3840517988</v>
      </c>
      <c r="P26" s="38">
        <f t="shared" si="24"/>
        <v>1057295.4352211598</v>
      </c>
      <c r="Q26" s="38">
        <f t="shared" si="24"/>
        <v>919271.93674427713</v>
      </c>
      <c r="R26" s="38">
        <f t="shared" si="24"/>
        <v>781445.51596541097</v>
      </c>
      <c r="S26" s="38">
        <f t="shared" si="24"/>
        <v>643841.6720758545</v>
      </c>
      <c r="T26" s="38">
        <f t="shared" si="24"/>
        <v>506403.38474378537</v>
      </c>
      <c r="U26" s="38">
        <f t="shared" si="24"/>
        <v>369158.50548441836</v>
      </c>
      <c r="V26" s="38">
        <f t="shared" si="24"/>
        <v>289375.07006117451</v>
      </c>
      <c r="W26" s="38">
        <f t="shared" si="24"/>
        <v>277159.16543163301</v>
      </c>
      <c r="X26" s="38">
        <f t="shared" si="24"/>
        <v>275059.95156543731</v>
      </c>
      <c r="Y26" s="38">
        <f t="shared" si="24"/>
        <v>272961.20816402562</v>
      </c>
      <c r="Z26" s="38">
        <f t="shared" si="24"/>
        <v>270861.99429782998</v>
      </c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</row>
    <row r="27" spans="1:37" s="47" customFormat="1">
      <c r="A27" s="47" t="s">
        <v>62</v>
      </c>
      <c r="B27" s="122">
        <f t="shared" ref="B27:Z27" si="25">GRCF</f>
        <v>1.3258945200000001</v>
      </c>
      <c r="C27" s="122">
        <f t="shared" si="25"/>
        <v>1.3258945200000001</v>
      </c>
      <c r="D27" s="122">
        <f t="shared" si="25"/>
        <v>1.3258945200000001</v>
      </c>
      <c r="E27" s="122">
        <f t="shared" si="25"/>
        <v>1.3258945200000001</v>
      </c>
      <c r="F27" s="122">
        <f t="shared" si="25"/>
        <v>1.3258945200000001</v>
      </c>
      <c r="G27" s="122">
        <f t="shared" si="25"/>
        <v>1.3258945200000001</v>
      </c>
      <c r="H27" s="122">
        <f t="shared" si="25"/>
        <v>1.3258945200000001</v>
      </c>
      <c r="I27" s="122">
        <f t="shared" si="25"/>
        <v>1.3258945200000001</v>
      </c>
      <c r="J27" s="122">
        <f t="shared" si="25"/>
        <v>1.3258945200000001</v>
      </c>
      <c r="K27" s="122">
        <f t="shared" si="25"/>
        <v>1.3258945200000001</v>
      </c>
      <c r="L27" s="122">
        <f t="shared" si="25"/>
        <v>1.3258945200000001</v>
      </c>
      <c r="M27" s="122">
        <f t="shared" si="25"/>
        <v>1.3258945200000001</v>
      </c>
      <c r="N27" s="122">
        <f t="shared" si="25"/>
        <v>1.3258945200000001</v>
      </c>
      <c r="O27" s="122">
        <f t="shared" si="25"/>
        <v>1.3258945200000001</v>
      </c>
      <c r="P27" s="122">
        <f t="shared" si="25"/>
        <v>1.3258945200000001</v>
      </c>
      <c r="Q27" s="122">
        <f t="shared" si="25"/>
        <v>1.3258945200000001</v>
      </c>
      <c r="R27" s="122">
        <f t="shared" si="25"/>
        <v>1.3258945200000001</v>
      </c>
      <c r="S27" s="122">
        <f t="shared" si="25"/>
        <v>1.3258945200000001</v>
      </c>
      <c r="T27" s="122">
        <f t="shared" si="25"/>
        <v>1.3258945200000001</v>
      </c>
      <c r="U27" s="122">
        <f t="shared" si="25"/>
        <v>1.3258945200000001</v>
      </c>
      <c r="V27" s="122">
        <f t="shared" si="25"/>
        <v>1.3258945200000001</v>
      </c>
      <c r="W27" s="122">
        <f t="shared" si="25"/>
        <v>1.3258945200000001</v>
      </c>
      <c r="X27" s="122">
        <f t="shared" si="25"/>
        <v>1.3258945200000001</v>
      </c>
      <c r="Y27" s="122">
        <f t="shared" si="25"/>
        <v>1.3258945200000001</v>
      </c>
      <c r="Z27" s="122">
        <f t="shared" si="25"/>
        <v>1.3258945200000001</v>
      </c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</row>
    <row r="28" spans="1:37" ht="15.75" thickBot="1">
      <c r="A28" s="23" t="s">
        <v>63</v>
      </c>
      <c r="B28" s="5">
        <f>B26*B27</f>
        <v>19163542.162730128</v>
      </c>
      <c r="C28" s="5">
        <f>C26*C27</f>
        <v>22961018.359200247</v>
      </c>
      <c r="D28" s="5">
        <f>D26*D27</f>
        <v>21949008.377347909</v>
      </c>
      <c r="E28" s="5">
        <f>E26*E27</f>
        <v>20957329.997455988</v>
      </c>
      <c r="F28" s="5">
        <f>F26*F27</f>
        <v>19984501.450448256</v>
      </c>
      <c r="G28" s="5">
        <f t="shared" ref="G28:L28" si="26">G26*G27</f>
        <v>19029077.043327264</v>
      </c>
      <c r="H28" s="5">
        <f t="shared" si="26"/>
        <v>18089781.81039067</v>
      </c>
      <c r="I28" s="5">
        <f t="shared" si="26"/>
        <v>17165370.849335138</v>
      </c>
      <c r="J28" s="5">
        <f t="shared" si="26"/>
        <v>16245209.256626992</v>
      </c>
      <c r="K28" s="5">
        <f t="shared" si="26"/>
        <v>15325442.570165772</v>
      </c>
      <c r="L28" s="5">
        <f t="shared" si="26"/>
        <v>14405647.750925329</v>
      </c>
      <c r="M28" s="5">
        <f t="shared" ref="M28:Z28" si="27">M26*M27</f>
        <v>13485881.064464107</v>
      </c>
      <c r="N28" s="5">
        <f t="shared" si="27"/>
        <v>1768861.4359423744</v>
      </c>
      <c r="O28" s="5">
        <f t="shared" si="27"/>
        <v>1585206.8499611756</v>
      </c>
      <c r="P28" s="5">
        <f t="shared" si="27"/>
        <v>1401862.2235807509</v>
      </c>
      <c r="Q28" s="5">
        <f t="shared" si="27"/>
        <v>1218857.6233190238</v>
      </c>
      <c r="R28" s="5">
        <f t="shared" si="27"/>
        <v>1036114.3272971109</v>
      </c>
      <c r="S28" s="5">
        <f t="shared" si="27"/>
        <v>853666.14475301257</v>
      </c>
      <c r="T28" s="5">
        <f t="shared" si="27"/>
        <v>671437.47274123668</v>
      </c>
      <c r="U28" s="5">
        <f t="shared" si="27"/>
        <v>489465.23943318031</v>
      </c>
      <c r="V28" s="5">
        <f t="shared" si="27"/>
        <v>383680.81961872737</v>
      </c>
      <c r="W28" s="5">
        <f t="shared" si="27"/>
        <v>367483.81861357566</v>
      </c>
      <c r="X28" s="5">
        <f t="shared" si="27"/>
        <v>364700.48245207878</v>
      </c>
      <c r="Y28" s="5">
        <f t="shared" si="27"/>
        <v>361917.77007726085</v>
      </c>
      <c r="Z28" s="5">
        <f t="shared" si="27"/>
        <v>359134.43391576404</v>
      </c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</row>
    <row r="29" spans="1:37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</row>
    <row r="31" spans="1:37">
      <c r="A31" s="7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</row>
    <row r="32" spans="1:37">
      <c r="A32" s="4" t="s">
        <v>316</v>
      </c>
      <c r="B32" s="38">
        <v>-192196.11645569967</v>
      </c>
      <c r="C32" s="38">
        <v>-301657.51139240456</v>
      </c>
      <c r="D32" s="38">
        <v>-186568.76202531566</v>
      </c>
      <c r="E32" s="38">
        <v>-75012.121518986532</v>
      </c>
      <c r="F32" s="38">
        <v>-182322.49367088662</v>
      </c>
      <c r="G32" s="38">
        <v>-168955.63291139115</v>
      </c>
      <c r="H32" s="38">
        <v>-121940.096202532</v>
      </c>
      <c r="I32" s="38">
        <v>-85141.420253163233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</row>
    <row r="33" spans="1:3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7" t="s">
        <v>311</v>
      </c>
      <c r="B34" s="38">
        <f>B28-B32</f>
        <v>19355738.279185828</v>
      </c>
      <c r="C34" s="38">
        <f t="shared" ref="C34:Z34" si="28">C28-C32</f>
        <v>23262675.87059265</v>
      </c>
      <c r="D34" s="38">
        <f t="shared" si="28"/>
        <v>22135577.139373224</v>
      </c>
      <c r="E34" s="38">
        <f t="shared" si="28"/>
        <v>21032342.118974976</v>
      </c>
      <c r="F34" s="38">
        <f t="shared" si="28"/>
        <v>20166823.944119144</v>
      </c>
      <c r="G34" s="38">
        <f t="shared" si="28"/>
        <v>19198032.676238656</v>
      </c>
      <c r="H34" s="38">
        <f t="shared" si="28"/>
        <v>18211721.906593204</v>
      </c>
      <c r="I34" s="38">
        <f t="shared" si="28"/>
        <v>17250512.269588303</v>
      </c>
      <c r="J34" s="38">
        <f t="shared" si="28"/>
        <v>16245209.256626992</v>
      </c>
      <c r="K34" s="38">
        <f t="shared" si="28"/>
        <v>15325442.570165772</v>
      </c>
      <c r="L34" s="38">
        <f t="shared" si="28"/>
        <v>14405647.750925329</v>
      </c>
      <c r="M34" s="38">
        <f t="shared" si="28"/>
        <v>13485881.064464107</v>
      </c>
      <c r="N34" s="38">
        <f t="shared" si="28"/>
        <v>1768861.4359423744</v>
      </c>
      <c r="O34" s="38">
        <f t="shared" si="28"/>
        <v>1585206.8499611756</v>
      </c>
      <c r="P34" s="38">
        <f t="shared" si="28"/>
        <v>1401862.2235807509</v>
      </c>
      <c r="Q34" s="38">
        <f t="shared" si="28"/>
        <v>1218857.6233190238</v>
      </c>
      <c r="R34" s="38">
        <f t="shared" si="28"/>
        <v>1036114.3272971109</v>
      </c>
      <c r="S34" s="38">
        <f t="shared" si="28"/>
        <v>853666.14475301257</v>
      </c>
      <c r="T34" s="38">
        <f t="shared" si="28"/>
        <v>671437.47274123668</v>
      </c>
      <c r="U34" s="38">
        <f t="shared" si="28"/>
        <v>489465.23943318031</v>
      </c>
      <c r="V34" s="38">
        <f t="shared" si="28"/>
        <v>383680.81961872737</v>
      </c>
      <c r="W34" s="38">
        <f t="shared" si="28"/>
        <v>367483.81861357566</v>
      </c>
      <c r="X34" s="38">
        <f t="shared" si="28"/>
        <v>364700.48245207878</v>
      </c>
      <c r="Y34" s="38">
        <f t="shared" si="28"/>
        <v>361917.77007726085</v>
      </c>
      <c r="Z34" s="38">
        <f t="shared" si="28"/>
        <v>359134.43391576404</v>
      </c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</row>
    <row r="35" spans="1:37" s="185" customFormat="1">
      <c r="A35" s="187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</row>
    <row r="36" spans="1:37">
      <c r="A36" s="97" t="s">
        <v>323</v>
      </c>
      <c r="B36" s="38">
        <f>NPV(B21,B34:K34)</f>
        <v>137982558.31387565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</row>
    <row r="37" spans="1:37">
      <c r="A37" s="97" t="s">
        <v>324</v>
      </c>
      <c r="B37" s="38">
        <f>AVERAGE(B34:K34)</f>
        <v>19218407.603145875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</row>
    <row r="38" spans="1:37">
      <c r="A38" s="97" t="s">
        <v>318</v>
      </c>
      <c r="B38" s="38">
        <f>SUM(B34:D34)</f>
        <v>64753991.289151698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</row>
    <row r="39" spans="1:37">
      <c r="A39" s="7"/>
      <c r="B39" s="38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</row>
    <row r="40" spans="1:37">
      <c r="A40" s="52" t="s">
        <v>112</v>
      </c>
      <c r="B40" s="39"/>
    </row>
    <row r="41" spans="1:37">
      <c r="A41" s="1" t="s">
        <v>66</v>
      </c>
      <c r="B41" s="100">
        <f t="shared" ref="B41:Z41" si="29">B28</f>
        <v>19163542.162730128</v>
      </c>
      <c r="C41" s="100">
        <f t="shared" si="29"/>
        <v>22961018.359200247</v>
      </c>
      <c r="D41" s="100">
        <f t="shared" si="29"/>
        <v>21949008.377347909</v>
      </c>
      <c r="E41" s="100">
        <f t="shared" si="29"/>
        <v>20957329.997455988</v>
      </c>
      <c r="F41" s="100">
        <f t="shared" si="29"/>
        <v>19984501.450448256</v>
      </c>
      <c r="G41" s="100">
        <f t="shared" si="29"/>
        <v>19029077.043327264</v>
      </c>
      <c r="H41" s="100">
        <f t="shared" si="29"/>
        <v>18089781.81039067</v>
      </c>
      <c r="I41" s="100">
        <f t="shared" si="29"/>
        <v>17165370.849335138</v>
      </c>
      <c r="J41" s="100">
        <f t="shared" si="29"/>
        <v>16245209.256626992</v>
      </c>
      <c r="K41" s="100">
        <f t="shared" si="29"/>
        <v>15325442.570165772</v>
      </c>
      <c r="L41" s="100">
        <f t="shared" si="29"/>
        <v>14405647.750925329</v>
      </c>
      <c r="M41" s="100">
        <f t="shared" si="29"/>
        <v>13485881.064464107</v>
      </c>
      <c r="N41" s="100">
        <f t="shared" si="29"/>
        <v>1768861.4359423744</v>
      </c>
      <c r="O41" s="100">
        <f t="shared" si="29"/>
        <v>1585206.8499611756</v>
      </c>
      <c r="P41" s="100">
        <f t="shared" si="29"/>
        <v>1401862.2235807509</v>
      </c>
      <c r="Q41" s="100">
        <f t="shared" si="29"/>
        <v>1218857.6233190238</v>
      </c>
      <c r="R41" s="100">
        <f t="shared" si="29"/>
        <v>1036114.3272971109</v>
      </c>
      <c r="S41" s="100">
        <f t="shared" si="29"/>
        <v>853666.14475301257</v>
      </c>
      <c r="T41" s="100">
        <f t="shared" si="29"/>
        <v>671437.47274123668</v>
      </c>
      <c r="U41" s="100">
        <f t="shared" si="29"/>
        <v>489465.23943318031</v>
      </c>
      <c r="V41" s="100">
        <f t="shared" si="29"/>
        <v>383680.81961872737</v>
      </c>
      <c r="W41" s="100">
        <f t="shared" si="29"/>
        <v>367483.81861357566</v>
      </c>
      <c r="X41" s="100">
        <f t="shared" si="29"/>
        <v>364700.48245207878</v>
      </c>
      <c r="Y41" s="100">
        <f t="shared" si="29"/>
        <v>361917.77007726085</v>
      </c>
      <c r="Z41" s="100">
        <f t="shared" si="29"/>
        <v>359134.43391576404</v>
      </c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</row>
    <row r="42" spans="1:37">
      <c r="A42" s="1" t="s">
        <v>104</v>
      </c>
      <c r="B42" s="3">
        <f t="shared" ref="B42:Z42" si="30">B13+B14</f>
        <v>9434750</v>
      </c>
      <c r="C42" s="3">
        <f t="shared" si="30"/>
        <v>11844500</v>
      </c>
      <c r="D42" s="3">
        <f t="shared" si="30"/>
        <v>11844500</v>
      </c>
      <c r="E42" s="3">
        <f t="shared" si="30"/>
        <v>11844500</v>
      </c>
      <c r="F42" s="3">
        <f t="shared" si="30"/>
        <v>11844500</v>
      </c>
      <c r="G42" s="3">
        <f t="shared" si="30"/>
        <v>11844500</v>
      </c>
      <c r="H42" s="3">
        <f t="shared" si="30"/>
        <v>11844500</v>
      </c>
      <c r="I42" s="3">
        <f t="shared" si="30"/>
        <v>11844500</v>
      </c>
      <c r="J42" s="3">
        <f t="shared" si="30"/>
        <v>11844500</v>
      </c>
      <c r="K42" s="3">
        <f t="shared" si="30"/>
        <v>11844500</v>
      </c>
      <c r="L42" s="3">
        <f t="shared" si="30"/>
        <v>11844500</v>
      </c>
      <c r="M42" s="3">
        <f t="shared" si="30"/>
        <v>11844500</v>
      </c>
      <c r="N42" s="3">
        <f t="shared" si="30"/>
        <v>0</v>
      </c>
      <c r="O42" s="3">
        <f t="shared" si="30"/>
        <v>0</v>
      </c>
      <c r="P42" s="3">
        <f t="shared" si="30"/>
        <v>0</v>
      </c>
      <c r="Q42" s="3">
        <f t="shared" si="30"/>
        <v>0</v>
      </c>
      <c r="R42" s="3">
        <f t="shared" si="30"/>
        <v>0</v>
      </c>
      <c r="S42" s="3">
        <f t="shared" si="30"/>
        <v>0</v>
      </c>
      <c r="T42" s="3">
        <f t="shared" si="30"/>
        <v>0</v>
      </c>
      <c r="U42" s="3">
        <f t="shared" si="30"/>
        <v>0</v>
      </c>
      <c r="V42" s="3">
        <f t="shared" si="30"/>
        <v>0</v>
      </c>
      <c r="W42" s="3">
        <f t="shared" si="30"/>
        <v>0</v>
      </c>
      <c r="X42" s="3">
        <f t="shared" si="30"/>
        <v>0</v>
      </c>
      <c r="Y42" s="3">
        <f t="shared" si="30"/>
        <v>0</v>
      </c>
      <c r="Z42" s="3">
        <f t="shared" si="30"/>
        <v>0</v>
      </c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>
      <c r="A43" s="1" t="s">
        <v>67</v>
      </c>
      <c r="B43" s="38">
        <f t="shared" ref="B43:Z43" si="31">(B28-B26)+B15+B16+B17+B18</f>
        <v>1570573.4103732072</v>
      </c>
      <c r="C43" s="38">
        <f t="shared" si="31"/>
        <v>1790176.2476188026</v>
      </c>
      <c r="D43" s="38">
        <f t="shared" si="31"/>
        <v>1622719.5717113535</v>
      </c>
      <c r="E43" s="38">
        <f t="shared" si="31"/>
        <v>1458627.1536088858</v>
      </c>
      <c r="F43" s="38">
        <f t="shared" si="31"/>
        <v>1297653.8058839864</v>
      </c>
      <c r="G43" s="38">
        <f t="shared" si="31"/>
        <v>1139560.3105960421</v>
      </c>
      <c r="H43" s="38">
        <f t="shared" si="31"/>
        <v>984135.69994607847</v>
      </c>
      <c r="I43" s="38">
        <f t="shared" si="31"/>
        <v>831173.98070747044</v>
      </c>
      <c r="J43" s="38">
        <f t="shared" si="31"/>
        <v>678915.40186363738</v>
      </c>
      <c r="K43" s="38">
        <f t="shared" si="31"/>
        <v>526722.16791619093</v>
      </c>
      <c r="L43" s="38">
        <f t="shared" si="31"/>
        <v>374524.27885488479</v>
      </c>
      <c r="M43" s="38">
        <f t="shared" si="31"/>
        <v>222331.04490743799</v>
      </c>
      <c r="N43" s="38">
        <f t="shared" si="31"/>
        <v>292692.42548538907</v>
      </c>
      <c r="O43" s="38">
        <f t="shared" si="31"/>
        <v>262303.21289355331</v>
      </c>
      <c r="P43" s="38">
        <f t="shared" si="31"/>
        <v>231965.2891282537</v>
      </c>
      <c r="Q43" s="38">
        <f t="shared" si="31"/>
        <v>201683.62927791453</v>
      </c>
      <c r="R43" s="38">
        <f t="shared" si="31"/>
        <v>171445.20728113875</v>
      </c>
      <c r="S43" s="38">
        <f t="shared" si="31"/>
        <v>141255.61753196642</v>
      </c>
      <c r="T43" s="38">
        <f t="shared" si="31"/>
        <v>111102.35005700798</v>
      </c>
      <c r="U43" s="38">
        <f t="shared" si="31"/>
        <v>80991.515338316793</v>
      </c>
      <c r="V43" s="38">
        <f t="shared" si="31"/>
        <v>63487.431759514031</v>
      </c>
      <c r="W43" s="38">
        <f t="shared" si="31"/>
        <v>60807.32385877191</v>
      </c>
      <c r="X43" s="38">
        <f t="shared" si="31"/>
        <v>60346.766917738409</v>
      </c>
      <c r="Y43" s="38">
        <f t="shared" si="31"/>
        <v>59886.31319430712</v>
      </c>
      <c r="Z43" s="38">
        <f t="shared" si="31"/>
        <v>59425.756253273641</v>
      </c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</row>
    <row r="44" spans="1:37">
      <c r="A44" s="45" t="s">
        <v>7</v>
      </c>
      <c r="B44" s="46">
        <f>B42+B43</f>
        <v>11005323.410373207</v>
      </c>
      <c r="C44" s="46">
        <f>C42+C43</f>
        <v>13634676.247618802</v>
      </c>
      <c r="D44" s="46">
        <f>D42+D43</f>
        <v>13467219.571711354</v>
      </c>
      <c r="E44" s="46">
        <f>E42+E43</f>
        <v>13303127.153608887</v>
      </c>
      <c r="F44" s="46">
        <f>F42+F43</f>
        <v>13142153.805883987</v>
      </c>
      <c r="G44" s="46">
        <f t="shared" ref="G44:L44" si="32">G42+G43</f>
        <v>12984060.310596041</v>
      </c>
      <c r="H44" s="46">
        <f t="shared" si="32"/>
        <v>12828635.699946079</v>
      </c>
      <c r="I44" s="46">
        <f t="shared" si="32"/>
        <v>12675673.98070747</v>
      </c>
      <c r="J44" s="46">
        <f t="shared" si="32"/>
        <v>12523415.401863638</v>
      </c>
      <c r="K44" s="46">
        <f t="shared" si="32"/>
        <v>12371222.167916192</v>
      </c>
      <c r="L44" s="46">
        <f t="shared" si="32"/>
        <v>12219024.278854884</v>
      </c>
      <c r="M44" s="46">
        <f t="shared" ref="M44:Z44" si="33">M42+M43</f>
        <v>12066831.044907438</v>
      </c>
      <c r="N44" s="46">
        <f t="shared" si="33"/>
        <v>292692.42548538907</v>
      </c>
      <c r="O44" s="46">
        <f t="shared" si="33"/>
        <v>262303.21289355331</v>
      </c>
      <c r="P44" s="46">
        <f t="shared" si="33"/>
        <v>231965.2891282537</v>
      </c>
      <c r="Q44" s="46">
        <f t="shared" si="33"/>
        <v>201683.62927791453</v>
      </c>
      <c r="R44" s="46">
        <f t="shared" si="33"/>
        <v>171445.20728113875</v>
      </c>
      <c r="S44" s="46">
        <f t="shared" si="33"/>
        <v>141255.61753196642</v>
      </c>
      <c r="T44" s="46">
        <f t="shared" si="33"/>
        <v>111102.35005700798</v>
      </c>
      <c r="U44" s="46">
        <f t="shared" si="33"/>
        <v>80991.515338316793</v>
      </c>
      <c r="V44" s="46">
        <f t="shared" si="33"/>
        <v>63487.431759514031</v>
      </c>
      <c r="W44" s="46">
        <f t="shared" si="33"/>
        <v>60807.32385877191</v>
      </c>
      <c r="X44" s="46">
        <f t="shared" si="33"/>
        <v>60346.766917738409</v>
      </c>
      <c r="Y44" s="46">
        <f t="shared" si="33"/>
        <v>59886.31319430712</v>
      </c>
      <c r="Z44" s="46">
        <f t="shared" si="33"/>
        <v>59425.756253273641</v>
      </c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</row>
    <row r="45" spans="1:37">
      <c r="A45" s="4" t="s">
        <v>103</v>
      </c>
      <c r="B45" s="39">
        <f>B41-B44</f>
        <v>8158218.7523569204</v>
      </c>
      <c r="C45" s="39">
        <f t="shared" ref="C45:Z45" si="34">C41-C44</f>
        <v>9326342.1115814447</v>
      </c>
      <c r="D45" s="39">
        <f t="shared" si="34"/>
        <v>8481788.805636555</v>
      </c>
      <c r="E45" s="39">
        <f t="shared" si="34"/>
        <v>7654202.8438471016</v>
      </c>
      <c r="F45" s="39">
        <f t="shared" si="34"/>
        <v>6842347.6445642691</v>
      </c>
      <c r="G45" s="39">
        <f t="shared" si="34"/>
        <v>6045016.7327312231</v>
      </c>
      <c r="H45" s="39">
        <f t="shared" si="34"/>
        <v>5261146.1104445904</v>
      </c>
      <c r="I45" s="39">
        <f t="shared" si="34"/>
        <v>4489696.8686276674</v>
      </c>
      <c r="J45" s="39">
        <f t="shared" si="34"/>
        <v>3721793.8547633532</v>
      </c>
      <c r="K45" s="39">
        <f t="shared" si="34"/>
        <v>2954220.4022495802</v>
      </c>
      <c r="L45" s="39">
        <f t="shared" si="34"/>
        <v>2186623.4720704444</v>
      </c>
      <c r="M45" s="39">
        <f t="shared" si="34"/>
        <v>1419050.0195566695</v>
      </c>
      <c r="N45" s="39">
        <f t="shared" si="34"/>
        <v>1476169.0104569853</v>
      </c>
      <c r="O45" s="39">
        <f t="shared" si="34"/>
        <v>1322903.6370676223</v>
      </c>
      <c r="P45" s="39">
        <f t="shared" si="34"/>
        <v>1169896.9344524972</v>
      </c>
      <c r="Q45" s="39">
        <f t="shared" si="34"/>
        <v>1017173.9940411092</v>
      </c>
      <c r="R45" s="39">
        <f t="shared" si="34"/>
        <v>864669.12001597218</v>
      </c>
      <c r="S45" s="39">
        <f t="shared" si="34"/>
        <v>712410.52722104616</v>
      </c>
      <c r="T45" s="39">
        <f t="shared" si="34"/>
        <v>560335.1226842287</v>
      </c>
      <c r="U45" s="39">
        <f t="shared" si="34"/>
        <v>408473.72409486352</v>
      </c>
      <c r="V45" s="39">
        <f t="shared" si="34"/>
        <v>320193.38785921334</v>
      </c>
      <c r="W45" s="39">
        <f t="shared" si="34"/>
        <v>306676.49475480372</v>
      </c>
      <c r="X45" s="39">
        <f t="shared" si="34"/>
        <v>304353.71553434036</v>
      </c>
      <c r="Y45" s="39">
        <f t="shared" si="34"/>
        <v>302031.45688295376</v>
      </c>
      <c r="Z45" s="39">
        <f t="shared" si="34"/>
        <v>299708.6776624904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47</v>
      </c>
      <c r="B46" s="44">
        <f t="shared" ref="B46:Z46" si="35">B23*WACD</f>
        <v>3146530.8387964563</v>
      </c>
      <c r="C46" s="44">
        <f t="shared" si="35"/>
        <v>3597062.5400034874</v>
      </c>
      <c r="D46" s="44">
        <f t="shared" si="35"/>
        <v>3271328.0748182586</v>
      </c>
      <c r="E46" s="44">
        <f t="shared" si="35"/>
        <v>2952137.7184952889</v>
      </c>
      <c r="F46" s="44">
        <f t="shared" si="35"/>
        <v>2639014.5357609848</v>
      </c>
      <c r="G46" s="44">
        <f t="shared" si="35"/>
        <v>2331493.2031068965</v>
      </c>
      <c r="H46" s="44">
        <f t="shared" si="35"/>
        <v>2029163.3488186821</v>
      </c>
      <c r="I46" s="44">
        <f t="shared" si="35"/>
        <v>1731624.2776529542</v>
      </c>
      <c r="J46" s="44">
        <f t="shared" si="35"/>
        <v>1435452.9456902321</v>
      </c>
      <c r="K46" s="44">
        <f t="shared" si="35"/>
        <v>1139408.7217377541</v>
      </c>
      <c r="L46" s="44">
        <f t="shared" si="35"/>
        <v>843355.44272064441</v>
      </c>
      <c r="M46" s="44">
        <f t="shared" si="35"/>
        <v>547311.21876816638</v>
      </c>
      <c r="N46" s="44">
        <f t="shared" si="35"/>
        <v>569341.35448827723</v>
      </c>
      <c r="O46" s="44">
        <f t="shared" si="35"/>
        <v>510228.66843165969</v>
      </c>
      <c r="P46" s="44">
        <f t="shared" si="35"/>
        <v>451215.74870798102</v>
      </c>
      <c r="Q46" s="44">
        <f t="shared" si="35"/>
        <v>392312.27279208024</v>
      </c>
      <c r="R46" s="44">
        <f t="shared" si="35"/>
        <v>333492.90256518725</v>
      </c>
      <c r="S46" s="44">
        <f t="shared" si="35"/>
        <v>274768.52016705921</v>
      </c>
      <c r="T46" s="44">
        <f t="shared" si="35"/>
        <v>216114.79136635741</v>
      </c>
      <c r="U46" s="44">
        <f t="shared" si="35"/>
        <v>157543.60219027038</v>
      </c>
      <c r="V46" s="44">
        <f t="shared" si="35"/>
        <v>123494.89513095758</v>
      </c>
      <c r="W46" s="44">
        <f t="shared" si="35"/>
        <v>118281.58542588838</v>
      </c>
      <c r="X46" s="44">
        <f t="shared" si="35"/>
        <v>117385.71628205202</v>
      </c>
      <c r="Y46" s="44">
        <f t="shared" si="35"/>
        <v>116490.04791570199</v>
      </c>
      <c r="Z46" s="44">
        <f t="shared" si="35"/>
        <v>115594.17877186564</v>
      </c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>
      <c r="A47" s="4" t="s">
        <v>69</v>
      </c>
      <c r="B47" s="39">
        <f>B45-B46</f>
        <v>5011687.913560464</v>
      </c>
      <c r="C47" s="39">
        <f>C45-C46</f>
        <v>5729279.5715779569</v>
      </c>
      <c r="D47" s="39">
        <f>D45-D46</f>
        <v>5210460.7308182959</v>
      </c>
      <c r="E47" s="39">
        <f>E45-E46</f>
        <v>4702065.1253518127</v>
      </c>
      <c r="F47" s="39">
        <f>F45-F46</f>
        <v>4203333.1088032844</v>
      </c>
      <c r="G47" s="39">
        <f t="shared" ref="G47:L47" si="36">G45-G46</f>
        <v>3713523.5296243266</v>
      </c>
      <c r="H47" s="39">
        <f t="shared" si="36"/>
        <v>3231982.7616259083</v>
      </c>
      <c r="I47" s="39">
        <f t="shared" si="36"/>
        <v>2758072.5909747132</v>
      </c>
      <c r="J47" s="39">
        <f t="shared" si="36"/>
        <v>2286340.9090731209</v>
      </c>
      <c r="K47" s="39">
        <f t="shared" si="36"/>
        <v>1814811.6805118262</v>
      </c>
      <c r="L47" s="39">
        <f t="shared" si="36"/>
        <v>1343268.0293498</v>
      </c>
      <c r="M47" s="39">
        <f t="shared" ref="M47:Z47" si="37">M45-M46</f>
        <v>871738.80078850314</v>
      </c>
      <c r="N47" s="39">
        <f t="shared" si="37"/>
        <v>906827.6559687081</v>
      </c>
      <c r="O47" s="39">
        <f t="shared" si="37"/>
        <v>812674.96863596258</v>
      </c>
      <c r="P47" s="39">
        <f t="shared" si="37"/>
        <v>718681.18574451609</v>
      </c>
      <c r="Q47" s="39">
        <f t="shared" si="37"/>
        <v>624861.72124902904</v>
      </c>
      <c r="R47" s="39">
        <f t="shared" si="37"/>
        <v>531176.21745078498</v>
      </c>
      <c r="S47" s="39">
        <f t="shared" si="37"/>
        <v>437642.00705398695</v>
      </c>
      <c r="T47" s="39">
        <f t="shared" si="37"/>
        <v>344220.33131787129</v>
      </c>
      <c r="U47" s="39">
        <f t="shared" si="37"/>
        <v>250930.12190459314</v>
      </c>
      <c r="V47" s="39">
        <f t="shared" si="37"/>
        <v>196698.49272825575</v>
      </c>
      <c r="W47" s="39">
        <f t="shared" si="37"/>
        <v>188394.90932891535</v>
      </c>
      <c r="X47" s="39">
        <f t="shared" si="37"/>
        <v>186967.99925228834</v>
      </c>
      <c r="Y47" s="39">
        <f t="shared" si="37"/>
        <v>185541.40896725177</v>
      </c>
      <c r="Z47" s="39">
        <f t="shared" si="37"/>
        <v>184114.49889062476</v>
      </c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>
      <c r="A48" s="42" t="s">
        <v>68</v>
      </c>
      <c r="B48" s="43">
        <f t="shared" ref="B48:Z48" si="38">B23*EquityWeighting</f>
        <v>52872530.347530439</v>
      </c>
      <c r="C48" s="43">
        <f t="shared" si="38"/>
        <v>60443011.065814026</v>
      </c>
      <c r="D48" s="43">
        <f t="shared" si="38"/>
        <v>54969552.746768869</v>
      </c>
      <c r="E48" s="43">
        <f t="shared" si="38"/>
        <v>49606057.943781182</v>
      </c>
      <c r="F48" s="43">
        <f t="shared" si="38"/>
        <v>44344512.505387425</v>
      </c>
      <c r="G48" s="43">
        <f t="shared" si="38"/>
        <v>39177097.397679307</v>
      </c>
      <c r="H48" s="43">
        <f t="shared" si="38"/>
        <v>34096916.965717517</v>
      </c>
      <c r="I48" s="43">
        <f t="shared" si="38"/>
        <v>29097238.152525496</v>
      </c>
      <c r="J48" s="43">
        <f t="shared" si="38"/>
        <v>24120542.05783309</v>
      </c>
      <c r="K48" s="43">
        <f t="shared" si="38"/>
        <v>19145981.814487252</v>
      </c>
      <c r="L48" s="43">
        <f t="shared" si="38"/>
        <v>14171269.414940163</v>
      </c>
      <c r="M48" s="43">
        <f t="shared" si="38"/>
        <v>9196709.1715943236</v>
      </c>
      <c r="N48" s="43">
        <f t="shared" si="38"/>
        <v>9566891.1526701245</v>
      </c>
      <c r="O48" s="43">
        <f t="shared" si="38"/>
        <v>8573594.9011552259</v>
      </c>
      <c r="P48" s="43">
        <f t="shared" si="38"/>
        <v>7581975.0668554176</v>
      </c>
      <c r="Q48" s="43">
        <f t="shared" si="38"/>
        <v>6592194.2646021852</v>
      </c>
      <c r="R48" s="43">
        <f t="shared" si="38"/>
        <v>5603826.726932168</v>
      </c>
      <c r="S48" s="43">
        <f t="shared" si="38"/>
        <v>4617055.3111870009</v>
      </c>
      <c r="T48" s="43">
        <f t="shared" si="38"/>
        <v>3631471.1186617757</v>
      </c>
      <c r="U48" s="43">
        <f t="shared" si="38"/>
        <v>2647273.8754565786</v>
      </c>
      <c r="V48" s="43">
        <f t="shared" si="38"/>
        <v>2075138.5971078433</v>
      </c>
      <c r="W48" s="43">
        <f t="shared" si="38"/>
        <v>1987537.0798451749</v>
      </c>
      <c r="X48" s="43">
        <f t="shared" si="38"/>
        <v>1972483.3998014661</v>
      </c>
      <c r="Y48" s="43">
        <f t="shared" si="38"/>
        <v>1957433.0935094489</v>
      </c>
      <c r="Z48" s="43">
        <f t="shared" si="38"/>
        <v>1942379.4134657406</v>
      </c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</row>
    <row r="49" spans="1:37">
      <c r="A49" s="4" t="s">
        <v>102</v>
      </c>
      <c r="B49" s="183">
        <f>ROUND(B47/B48,3)</f>
        <v>9.5000000000000001E-2</v>
      </c>
      <c r="C49" s="183">
        <f t="shared" ref="C49:Z49" si="39">ROUND(C47/C48,3)</f>
        <v>9.5000000000000001E-2</v>
      </c>
      <c r="D49" s="183">
        <f t="shared" si="39"/>
        <v>9.5000000000000001E-2</v>
      </c>
      <c r="E49" s="183">
        <f t="shared" si="39"/>
        <v>9.5000000000000001E-2</v>
      </c>
      <c r="F49" s="183">
        <f t="shared" si="39"/>
        <v>9.5000000000000001E-2</v>
      </c>
      <c r="G49" s="183">
        <f t="shared" si="39"/>
        <v>9.5000000000000001E-2</v>
      </c>
      <c r="H49" s="183">
        <f t="shared" si="39"/>
        <v>9.5000000000000001E-2</v>
      </c>
      <c r="I49" s="183">
        <f t="shared" si="39"/>
        <v>9.5000000000000001E-2</v>
      </c>
      <c r="J49" s="183">
        <f t="shared" si="39"/>
        <v>9.5000000000000001E-2</v>
      </c>
      <c r="K49" s="183">
        <f t="shared" si="39"/>
        <v>9.5000000000000001E-2</v>
      </c>
      <c r="L49" s="183">
        <f t="shared" si="39"/>
        <v>9.5000000000000001E-2</v>
      </c>
      <c r="M49" s="183">
        <f t="shared" si="39"/>
        <v>9.5000000000000001E-2</v>
      </c>
      <c r="N49" s="183">
        <f t="shared" si="39"/>
        <v>9.5000000000000001E-2</v>
      </c>
      <c r="O49" s="183">
        <f t="shared" si="39"/>
        <v>9.5000000000000001E-2</v>
      </c>
      <c r="P49" s="183">
        <f t="shared" si="39"/>
        <v>9.5000000000000001E-2</v>
      </c>
      <c r="Q49" s="183">
        <f t="shared" si="39"/>
        <v>9.5000000000000001E-2</v>
      </c>
      <c r="R49" s="183">
        <f t="shared" si="39"/>
        <v>9.5000000000000001E-2</v>
      </c>
      <c r="S49" s="183">
        <f t="shared" si="39"/>
        <v>9.5000000000000001E-2</v>
      </c>
      <c r="T49" s="183">
        <f t="shared" si="39"/>
        <v>9.5000000000000001E-2</v>
      </c>
      <c r="U49" s="183">
        <f t="shared" si="39"/>
        <v>9.5000000000000001E-2</v>
      </c>
      <c r="V49" s="183">
        <f t="shared" si="39"/>
        <v>9.5000000000000001E-2</v>
      </c>
      <c r="W49" s="183">
        <f t="shared" si="39"/>
        <v>9.5000000000000001E-2</v>
      </c>
      <c r="X49" s="183">
        <f t="shared" si="39"/>
        <v>9.5000000000000001E-2</v>
      </c>
      <c r="Y49" s="183">
        <f t="shared" si="39"/>
        <v>9.5000000000000001E-2</v>
      </c>
      <c r="Z49" s="183">
        <f t="shared" si="39"/>
        <v>9.5000000000000001E-2</v>
      </c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</row>
    <row r="50" spans="1:37">
      <c r="B50" s="1" t="b">
        <f>B49=ROE</f>
        <v>1</v>
      </c>
      <c r="C50" s="1" t="b">
        <f>C49=ROE</f>
        <v>1</v>
      </c>
      <c r="D50" s="1" t="b">
        <f>D49=ROE</f>
        <v>1</v>
      </c>
      <c r="E50" s="1" t="b">
        <f>E49=ROE</f>
        <v>1</v>
      </c>
      <c r="F50" s="1" t="b">
        <f>F49=ROE</f>
        <v>1</v>
      </c>
      <c r="G50" s="1" t="b">
        <f t="shared" ref="G50:L50" si="40">G49=ROE</f>
        <v>1</v>
      </c>
      <c r="H50" s="1" t="b">
        <f t="shared" si="40"/>
        <v>1</v>
      </c>
      <c r="I50" s="1" t="b">
        <f t="shared" si="40"/>
        <v>1</v>
      </c>
      <c r="J50" s="1" t="b">
        <f t="shared" si="40"/>
        <v>1</v>
      </c>
      <c r="K50" s="1" t="b">
        <f t="shared" si="40"/>
        <v>1</v>
      </c>
      <c r="L50" s="1" t="b">
        <f t="shared" si="40"/>
        <v>1</v>
      </c>
      <c r="M50" s="1" t="b">
        <f t="shared" ref="M50:Z50" si="41">M49=ROE</f>
        <v>1</v>
      </c>
      <c r="N50" s="1" t="b">
        <f t="shared" si="41"/>
        <v>1</v>
      </c>
      <c r="O50" s="1" t="b">
        <f t="shared" si="41"/>
        <v>1</v>
      </c>
      <c r="P50" s="1" t="b">
        <f t="shared" si="41"/>
        <v>1</v>
      </c>
      <c r="Q50" s="1" t="b">
        <f t="shared" si="41"/>
        <v>1</v>
      </c>
      <c r="R50" s="1" t="b">
        <f t="shared" si="41"/>
        <v>1</v>
      </c>
      <c r="S50" s="1" t="b">
        <f t="shared" si="41"/>
        <v>1</v>
      </c>
      <c r="T50" s="1" t="b">
        <f t="shared" si="41"/>
        <v>1</v>
      </c>
      <c r="U50" s="1" t="b">
        <f t="shared" si="41"/>
        <v>1</v>
      </c>
      <c r="V50" s="1" t="b">
        <f t="shared" si="41"/>
        <v>1</v>
      </c>
      <c r="W50" s="1" t="b">
        <f t="shared" si="41"/>
        <v>1</v>
      </c>
      <c r="X50" s="1" t="b">
        <f t="shared" si="41"/>
        <v>1</v>
      </c>
      <c r="Y50" s="1" t="b">
        <f t="shared" si="41"/>
        <v>1</v>
      </c>
      <c r="Z50" s="1" t="b">
        <f t="shared" si="41"/>
        <v>1</v>
      </c>
    </row>
    <row r="51" spans="1:37">
      <c r="A51" s="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</row>
    <row r="52" spans="1:37">
      <c r="A52" s="4" t="s">
        <v>108</v>
      </c>
      <c r="B52" s="38">
        <f t="shared" ref="B52:Z52" si="42">B13</f>
        <v>0</v>
      </c>
      <c r="C52" s="38">
        <f t="shared" si="42"/>
        <v>0</v>
      </c>
      <c r="D52" s="38">
        <f t="shared" si="42"/>
        <v>0</v>
      </c>
      <c r="E52" s="38">
        <f t="shared" si="42"/>
        <v>0</v>
      </c>
      <c r="F52" s="38">
        <f t="shared" si="42"/>
        <v>0</v>
      </c>
      <c r="G52" s="38">
        <f t="shared" si="42"/>
        <v>0</v>
      </c>
      <c r="H52" s="38">
        <f t="shared" si="42"/>
        <v>0</v>
      </c>
      <c r="I52" s="38">
        <f t="shared" si="42"/>
        <v>0</v>
      </c>
      <c r="J52" s="38">
        <f t="shared" si="42"/>
        <v>0</v>
      </c>
      <c r="K52" s="38">
        <f t="shared" si="42"/>
        <v>0</v>
      </c>
      <c r="L52" s="38">
        <f t="shared" si="42"/>
        <v>0</v>
      </c>
      <c r="M52" s="38">
        <f t="shared" si="42"/>
        <v>0</v>
      </c>
      <c r="N52" s="38">
        <f t="shared" si="42"/>
        <v>0</v>
      </c>
      <c r="O52" s="38">
        <f t="shared" si="42"/>
        <v>0</v>
      </c>
      <c r="P52" s="38">
        <f t="shared" si="42"/>
        <v>0</v>
      </c>
      <c r="Q52" s="38">
        <f t="shared" si="42"/>
        <v>0</v>
      </c>
      <c r="R52" s="38">
        <f t="shared" si="42"/>
        <v>0</v>
      </c>
      <c r="S52" s="38">
        <f t="shared" si="42"/>
        <v>0</v>
      </c>
      <c r="T52" s="38">
        <f t="shared" si="42"/>
        <v>0</v>
      </c>
      <c r="U52" s="38">
        <f t="shared" si="42"/>
        <v>0</v>
      </c>
      <c r="V52" s="38">
        <f t="shared" si="42"/>
        <v>0</v>
      </c>
      <c r="W52" s="38">
        <f t="shared" si="42"/>
        <v>0</v>
      </c>
      <c r="X52" s="38">
        <f t="shared" si="42"/>
        <v>0</v>
      </c>
      <c r="Y52" s="38">
        <f t="shared" si="42"/>
        <v>0</v>
      </c>
      <c r="Z52" s="38">
        <f t="shared" si="42"/>
        <v>0</v>
      </c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</row>
    <row r="53" spans="1:37">
      <c r="A53" s="4" t="s">
        <v>109</v>
      </c>
      <c r="B53" s="38">
        <f t="shared" ref="B53:Z53" si="43">B14</f>
        <v>9434750</v>
      </c>
      <c r="C53" s="38">
        <f t="shared" si="43"/>
        <v>11844500</v>
      </c>
      <c r="D53" s="38">
        <f t="shared" si="43"/>
        <v>11844500</v>
      </c>
      <c r="E53" s="38">
        <f t="shared" si="43"/>
        <v>11844500</v>
      </c>
      <c r="F53" s="38">
        <f t="shared" si="43"/>
        <v>11844500</v>
      </c>
      <c r="G53" s="38">
        <f t="shared" si="43"/>
        <v>11844500</v>
      </c>
      <c r="H53" s="38">
        <f t="shared" si="43"/>
        <v>11844500</v>
      </c>
      <c r="I53" s="38">
        <f t="shared" si="43"/>
        <v>11844500</v>
      </c>
      <c r="J53" s="38">
        <f t="shared" si="43"/>
        <v>11844500</v>
      </c>
      <c r="K53" s="38">
        <f t="shared" si="43"/>
        <v>11844500</v>
      </c>
      <c r="L53" s="38">
        <f t="shared" si="43"/>
        <v>11844500</v>
      </c>
      <c r="M53" s="38">
        <f t="shared" si="43"/>
        <v>11844500</v>
      </c>
      <c r="N53" s="38">
        <f t="shared" si="43"/>
        <v>0</v>
      </c>
      <c r="O53" s="38">
        <f t="shared" si="43"/>
        <v>0</v>
      </c>
      <c r="P53" s="38">
        <f t="shared" si="43"/>
        <v>0</v>
      </c>
      <c r="Q53" s="38">
        <f t="shared" si="43"/>
        <v>0</v>
      </c>
      <c r="R53" s="38">
        <f t="shared" si="43"/>
        <v>0</v>
      </c>
      <c r="S53" s="38">
        <f t="shared" si="43"/>
        <v>0</v>
      </c>
      <c r="T53" s="38">
        <f t="shared" si="43"/>
        <v>0</v>
      </c>
      <c r="U53" s="38">
        <f t="shared" si="43"/>
        <v>0</v>
      </c>
      <c r="V53" s="38">
        <f t="shared" si="43"/>
        <v>0</v>
      </c>
      <c r="W53" s="38">
        <f t="shared" si="43"/>
        <v>0</v>
      </c>
      <c r="X53" s="38">
        <f t="shared" si="43"/>
        <v>0</v>
      </c>
      <c r="Y53" s="38">
        <f t="shared" si="43"/>
        <v>0</v>
      </c>
      <c r="Z53" s="38">
        <f t="shared" si="43"/>
        <v>0</v>
      </c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</row>
    <row r="54" spans="1:37">
      <c r="A54" s="4" t="s">
        <v>111</v>
      </c>
      <c r="B54" s="3">
        <f t="shared" ref="B54:Z54" si="44">B28-SUM(B52:B53,B55)</f>
        <v>1570573.4103732072</v>
      </c>
      <c r="C54" s="3">
        <f t="shared" si="44"/>
        <v>1790176.2476188019</v>
      </c>
      <c r="D54" s="3">
        <f t="shared" si="44"/>
        <v>1622719.571711354</v>
      </c>
      <c r="E54" s="3">
        <f t="shared" si="44"/>
        <v>1458627.1536088847</v>
      </c>
      <c r="F54" s="3">
        <f t="shared" si="44"/>
        <v>1297653.8058839887</v>
      </c>
      <c r="G54" s="3">
        <f t="shared" si="44"/>
        <v>1139560.3105960414</v>
      </c>
      <c r="H54" s="3">
        <f t="shared" si="44"/>
        <v>984135.69994607568</v>
      </c>
      <c r="I54" s="3">
        <f t="shared" si="44"/>
        <v>831173.98070747033</v>
      </c>
      <c r="J54" s="3">
        <f t="shared" si="44"/>
        <v>678915.40186363645</v>
      </c>
      <c r="K54" s="3">
        <f t="shared" si="44"/>
        <v>526722.16791619174</v>
      </c>
      <c r="L54" s="3">
        <f t="shared" si="44"/>
        <v>374524.27885488421</v>
      </c>
      <c r="M54" s="3">
        <f t="shared" si="44"/>
        <v>222331.04490743764</v>
      </c>
      <c r="N54" s="3">
        <f t="shared" si="44"/>
        <v>292692.42548538907</v>
      </c>
      <c r="O54" s="3">
        <f t="shared" si="44"/>
        <v>262303.21289355331</v>
      </c>
      <c r="P54" s="3">
        <f t="shared" si="44"/>
        <v>231965.2891282537</v>
      </c>
      <c r="Q54" s="3">
        <f t="shared" si="44"/>
        <v>201683.62927791453</v>
      </c>
      <c r="R54" s="3">
        <f t="shared" si="44"/>
        <v>171445.20728113886</v>
      </c>
      <c r="S54" s="3">
        <f t="shared" si="44"/>
        <v>141255.61753196653</v>
      </c>
      <c r="T54" s="3">
        <f t="shared" si="44"/>
        <v>111102.35005700809</v>
      </c>
      <c r="U54" s="3">
        <f t="shared" si="44"/>
        <v>80991.515338316909</v>
      </c>
      <c r="V54" s="3">
        <f t="shared" si="44"/>
        <v>63487.431759514031</v>
      </c>
      <c r="W54" s="3">
        <f t="shared" si="44"/>
        <v>60807.323858771881</v>
      </c>
      <c r="X54" s="3">
        <f t="shared" si="44"/>
        <v>60346.766917738423</v>
      </c>
      <c r="Y54" s="3">
        <f t="shared" si="44"/>
        <v>59886.313194307091</v>
      </c>
      <c r="Z54" s="3">
        <f t="shared" si="44"/>
        <v>59425.756253273634</v>
      </c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7">
      <c r="A55" s="4" t="s">
        <v>110</v>
      </c>
      <c r="B55" s="48">
        <f t="shared" ref="B55:Z55" si="45">B24</f>
        <v>8158218.7523569213</v>
      </c>
      <c r="C55" s="48">
        <f t="shared" si="45"/>
        <v>9326342.1115814429</v>
      </c>
      <c r="D55" s="48">
        <f t="shared" si="45"/>
        <v>8481788.805636555</v>
      </c>
      <c r="E55" s="48">
        <f t="shared" si="45"/>
        <v>7654202.8438471016</v>
      </c>
      <c r="F55" s="48">
        <f t="shared" si="45"/>
        <v>6842347.6445642682</v>
      </c>
      <c r="G55" s="48">
        <f t="shared" si="45"/>
        <v>6045016.7327312222</v>
      </c>
      <c r="H55" s="48">
        <f t="shared" si="45"/>
        <v>5261146.1104445942</v>
      </c>
      <c r="I55" s="48">
        <f t="shared" si="45"/>
        <v>4489696.8686276674</v>
      </c>
      <c r="J55" s="48">
        <f t="shared" si="45"/>
        <v>3721793.8547633542</v>
      </c>
      <c r="K55" s="48">
        <f t="shared" si="45"/>
        <v>2954220.4022495798</v>
      </c>
      <c r="L55" s="48">
        <f t="shared" si="45"/>
        <v>2186623.4720704444</v>
      </c>
      <c r="M55" s="48">
        <f t="shared" si="45"/>
        <v>1419050.01955667</v>
      </c>
      <c r="N55" s="48">
        <f t="shared" si="45"/>
        <v>1476169.0104569853</v>
      </c>
      <c r="O55" s="48">
        <f t="shared" si="45"/>
        <v>1322903.6370676223</v>
      </c>
      <c r="P55" s="48">
        <f t="shared" si="45"/>
        <v>1169896.9344524972</v>
      </c>
      <c r="Q55" s="48">
        <f t="shared" si="45"/>
        <v>1017173.9940411092</v>
      </c>
      <c r="R55" s="48">
        <f t="shared" si="45"/>
        <v>864669.12001597206</v>
      </c>
      <c r="S55" s="48">
        <f t="shared" si="45"/>
        <v>712410.52722104604</v>
      </c>
      <c r="T55" s="48">
        <f t="shared" si="45"/>
        <v>560335.12268422858</v>
      </c>
      <c r="U55" s="48">
        <f t="shared" si="45"/>
        <v>408473.7240948634</v>
      </c>
      <c r="V55" s="48">
        <f t="shared" si="45"/>
        <v>320193.38785921334</v>
      </c>
      <c r="W55" s="48">
        <f t="shared" si="45"/>
        <v>306676.49475480377</v>
      </c>
      <c r="X55" s="48">
        <f t="shared" si="45"/>
        <v>304353.71553434036</v>
      </c>
      <c r="Y55" s="48">
        <f t="shared" si="45"/>
        <v>302031.45688295376</v>
      </c>
      <c r="Z55" s="48">
        <f t="shared" si="45"/>
        <v>299708.6776624904</v>
      </c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>
      <c r="B56" s="39">
        <f t="shared" ref="B56:Z56" si="46">SUM(B52:B55)-B28</f>
        <v>0</v>
      </c>
      <c r="C56" s="39">
        <f t="shared" si="46"/>
        <v>0</v>
      </c>
      <c r="D56" s="39">
        <f t="shared" si="46"/>
        <v>0</v>
      </c>
      <c r="E56" s="39">
        <f t="shared" si="46"/>
        <v>0</v>
      </c>
      <c r="F56" s="39">
        <f t="shared" si="46"/>
        <v>0</v>
      </c>
      <c r="G56" s="39">
        <f t="shared" si="46"/>
        <v>0</v>
      </c>
      <c r="H56" s="39">
        <f t="shared" si="46"/>
        <v>0</v>
      </c>
      <c r="I56" s="39">
        <f t="shared" si="46"/>
        <v>0</v>
      </c>
      <c r="J56" s="39">
        <f t="shared" si="46"/>
        <v>0</v>
      </c>
      <c r="K56" s="39">
        <f t="shared" si="46"/>
        <v>0</v>
      </c>
      <c r="L56" s="39">
        <f t="shared" si="46"/>
        <v>0</v>
      </c>
      <c r="M56" s="39">
        <f t="shared" si="46"/>
        <v>0</v>
      </c>
      <c r="N56" s="39">
        <f t="shared" si="46"/>
        <v>0</v>
      </c>
      <c r="O56" s="39">
        <f t="shared" si="46"/>
        <v>0</v>
      </c>
      <c r="P56" s="39">
        <f t="shared" si="46"/>
        <v>0</v>
      </c>
      <c r="Q56" s="39">
        <f t="shared" si="46"/>
        <v>0</v>
      </c>
      <c r="R56" s="39">
        <f t="shared" si="46"/>
        <v>0</v>
      </c>
      <c r="S56" s="39">
        <f t="shared" si="46"/>
        <v>0</v>
      </c>
      <c r="T56" s="39">
        <f t="shared" si="46"/>
        <v>0</v>
      </c>
      <c r="U56" s="39">
        <f t="shared" si="46"/>
        <v>0</v>
      </c>
      <c r="V56" s="39">
        <f t="shared" si="46"/>
        <v>0</v>
      </c>
      <c r="W56" s="39">
        <f t="shared" si="46"/>
        <v>0</v>
      </c>
      <c r="X56" s="39">
        <f t="shared" si="46"/>
        <v>0</v>
      </c>
      <c r="Y56" s="39">
        <f t="shared" si="46"/>
        <v>0</v>
      </c>
      <c r="Z56" s="39">
        <f t="shared" si="46"/>
        <v>0</v>
      </c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</row>
    <row r="58" spans="1:37"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</row>
    <row r="61" spans="1:37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2:37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2:37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8" type="noConversion"/>
  <pageMargins left="0.7" right="0.7" top="0.75" bottom="0.75" header="0.3" footer="0.3"/>
  <pageSetup fitToHeight="0" orientation="landscape" r:id="rId2"/>
  <headerFooter>
    <oddHeader>&amp;RCase No. 2026-00001
Confidential Exhibit NMC-R7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AJ43"/>
  <sheetViews>
    <sheetView topLeftCell="A22" workbookViewId="0">
      <selection activeCell="H42" sqref="H42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21" width="13.85546875" style="1" bestFit="1" customWidth="1"/>
    <col min="22" max="22" width="14" style="1" bestFit="1" customWidth="1"/>
    <col min="23" max="25" width="13.85546875" style="1" bestFit="1" customWidth="1"/>
    <col min="26" max="26" width="14" style="1" bestFit="1" customWidth="1"/>
    <col min="27" max="29" width="13.85546875" style="1" bestFit="1" customWidth="1"/>
    <col min="30" max="30" width="14" style="1" bestFit="1" customWidth="1"/>
    <col min="31" max="33" width="13.85546875" style="1" bestFit="1" customWidth="1"/>
    <col min="34" max="34" width="14" style="1" bestFit="1" customWidth="1"/>
    <col min="35" max="36" width="13.85546875" style="1" bestFit="1" customWidth="1"/>
    <col min="37" max="16384" width="9.140625" style="1"/>
  </cols>
  <sheetData>
    <row r="1" spans="1:36" ht="14.25">
      <c r="A1" s="251" t="str">
        <f>Input!B2&amp;" "&amp;Input!B3</f>
        <v>KPCO KY</v>
      </c>
      <c r="B1" s="251"/>
      <c r="C1" s="251"/>
      <c r="D1" s="251"/>
      <c r="E1" s="251"/>
      <c r="F1" s="251"/>
      <c r="G1" s="251"/>
      <c r="H1" s="251"/>
      <c r="I1" s="251"/>
      <c r="J1" s="251"/>
    </row>
    <row r="2" spans="1:36" ht="14.25">
      <c r="A2" s="251" t="s">
        <v>13</v>
      </c>
      <c r="B2" s="251"/>
      <c r="C2" s="251"/>
      <c r="D2" s="251"/>
      <c r="E2" s="251"/>
      <c r="F2" s="251"/>
      <c r="G2" s="251"/>
      <c r="H2" s="251"/>
      <c r="I2" s="251"/>
      <c r="J2" s="251"/>
    </row>
    <row r="3" spans="1:3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297</v>
      </c>
      <c r="X3" s="51" t="s">
        <v>298</v>
      </c>
      <c r="Y3" s="51" t="s">
        <v>299</v>
      </c>
      <c r="Z3" s="51" t="s">
        <v>300</v>
      </c>
      <c r="AA3" s="51" t="s">
        <v>301</v>
      </c>
      <c r="AB3" s="51" t="s">
        <v>302</v>
      </c>
      <c r="AC3" s="51" t="s">
        <v>303</v>
      </c>
      <c r="AD3" s="51" t="s">
        <v>304</v>
      </c>
      <c r="AE3" s="51" t="s">
        <v>305</v>
      </c>
      <c r="AF3" s="51" t="s">
        <v>306</v>
      </c>
      <c r="AG3" s="51" t="s">
        <v>307</v>
      </c>
      <c r="AH3" s="51" t="s">
        <v>308</v>
      </c>
      <c r="AI3" s="51" t="s">
        <v>309</v>
      </c>
      <c r="AJ3" s="51" t="s">
        <v>310</v>
      </c>
    </row>
    <row r="4" spans="1:36">
      <c r="A4" s="7"/>
      <c r="B4" s="115">
        <f>'OPCO Rev Req'!B5</f>
        <v>2028</v>
      </c>
      <c r="C4" s="115">
        <f>'OPCO Rev Req'!C5</f>
        <v>2029</v>
      </c>
      <c r="D4" s="115">
        <f>'OPCO Rev Req'!D5</f>
        <v>2030</v>
      </c>
      <c r="E4" s="115">
        <f>'OPCO Rev Req'!E5</f>
        <v>2031</v>
      </c>
      <c r="F4" s="115">
        <f>'OPCO Rev Req'!F5</f>
        <v>2032</v>
      </c>
      <c r="G4" s="115">
        <f>'OPCO Rev Req'!G5</f>
        <v>2033</v>
      </c>
      <c r="H4" s="115">
        <f>'OPCO Rev Req'!H5</f>
        <v>2034</v>
      </c>
      <c r="I4" s="115">
        <f>'OPCO Rev Req'!I5</f>
        <v>2035</v>
      </c>
      <c r="J4" s="115">
        <f>'OPCO Rev Req'!J5</f>
        <v>2036</v>
      </c>
      <c r="K4" s="115">
        <f>'OPCO Rev Req'!K5</f>
        <v>2037</v>
      </c>
      <c r="L4" s="115">
        <f>'OPCO Rev Req'!L5</f>
        <v>2038</v>
      </c>
      <c r="M4" s="115">
        <f>'OPCO Rev Req'!M5</f>
        <v>2039</v>
      </c>
      <c r="N4" s="115">
        <f>'OPCO Rev Req'!N5</f>
        <v>2040</v>
      </c>
      <c r="O4" s="115">
        <f>'OPCO Rev Req'!O5</f>
        <v>2041</v>
      </c>
      <c r="P4" s="115">
        <f>'OPCO Rev Req'!P5</f>
        <v>2042</v>
      </c>
      <c r="Q4" s="115">
        <f>'OPCO Rev Req'!Q5</f>
        <v>2043</v>
      </c>
      <c r="R4" s="115">
        <f>'OPCO Rev Req'!R5</f>
        <v>2044</v>
      </c>
      <c r="S4" s="115">
        <f>'OPCO Rev Req'!S5</f>
        <v>2045</v>
      </c>
      <c r="T4" s="115">
        <f>'OPCO Rev Req'!T5</f>
        <v>2046</v>
      </c>
      <c r="U4" s="115">
        <f>'OPCO Rev Req'!U5</f>
        <v>2047</v>
      </c>
      <c r="V4" s="115">
        <f>'OPCO Rev Req'!V5</f>
        <v>2048</v>
      </c>
      <c r="W4" s="115">
        <f>'OPCO Rev Req'!W5</f>
        <v>2049</v>
      </c>
      <c r="X4" s="115">
        <f>'OPCO Rev Req'!X5</f>
        <v>2050</v>
      </c>
      <c r="Y4" s="115">
        <f>'OPCO Rev Req'!Y5</f>
        <v>2051</v>
      </c>
      <c r="Z4" s="115">
        <f>'OPCO Rev Req'!Z5</f>
        <v>2052</v>
      </c>
      <c r="AA4" s="115">
        <f>'OPCO Rev Req'!AA5</f>
        <v>0</v>
      </c>
      <c r="AB4" s="115">
        <f>'OPCO Rev Req'!AB5</f>
        <v>0</v>
      </c>
      <c r="AC4" s="115">
        <f>'OPCO Rev Req'!AC5</f>
        <v>0</v>
      </c>
      <c r="AD4" s="115">
        <f>'OPCO Rev Req'!AD5</f>
        <v>0</v>
      </c>
      <c r="AE4" s="115">
        <f>'OPCO Rev Req'!AE5</f>
        <v>0</v>
      </c>
      <c r="AF4" s="115">
        <f>'OPCO Rev Req'!AF5</f>
        <v>0</v>
      </c>
      <c r="AG4" s="115">
        <f>'OPCO Rev Req'!AG5</f>
        <v>0</v>
      </c>
      <c r="AH4" s="115">
        <f>'OPCO Rev Req'!AH5</f>
        <v>0</v>
      </c>
      <c r="AI4" s="115">
        <f>'OPCO Rev Req'!AI5</f>
        <v>0</v>
      </c>
      <c r="AJ4" s="115">
        <f>'OPCO Rev Req'!AJ5</f>
        <v>0</v>
      </c>
    </row>
    <row r="5" spans="1:36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  <c r="O5" s="55" cm="1">
        <f t="array" ref="O5">'OPCO Rev Req'!O6*Allocator</f>
        <v>0</v>
      </c>
      <c r="P5" s="55" cm="1">
        <f t="array" ref="P5">'OPCO Rev Req'!P6*Allocator</f>
        <v>0</v>
      </c>
      <c r="Q5" s="55" cm="1">
        <f t="array" ref="Q5">'OPCO Rev Req'!Q6*Allocator</f>
        <v>0</v>
      </c>
      <c r="R5" s="55" cm="1">
        <f t="array" ref="R5">'OPCO Rev Req'!R6*Allocator</f>
        <v>0</v>
      </c>
      <c r="S5" s="55" cm="1">
        <f t="array" ref="S5">'OPCO Rev Req'!S6*Allocator</f>
        <v>0</v>
      </c>
      <c r="T5" s="55" cm="1">
        <f t="array" ref="T5">'OPCO Rev Req'!T6*Allocator</f>
        <v>0</v>
      </c>
      <c r="U5" s="55" cm="1">
        <f t="array" ref="U5">'OPCO Rev Req'!U6*Allocator</f>
        <v>0</v>
      </c>
      <c r="V5" s="55" cm="1">
        <f t="array" ref="V5">'OPCO Rev Req'!V6*Allocator</f>
        <v>0</v>
      </c>
      <c r="W5" s="55" cm="1">
        <f t="array" ref="W5">'OPCO Rev Req'!W6*Allocator</f>
        <v>0</v>
      </c>
      <c r="X5" s="55" cm="1">
        <f t="array" ref="X5">'OPCO Rev Req'!X6*Allocator</f>
        <v>0</v>
      </c>
      <c r="Y5" s="55" cm="1">
        <f t="array" ref="Y5">'OPCO Rev Req'!Y6*Allocator</f>
        <v>0</v>
      </c>
      <c r="Z5" s="55" cm="1">
        <f t="array" ref="Z5">'OPCO Rev Req'!Z6*Allocator</f>
        <v>0</v>
      </c>
      <c r="AA5" s="55" cm="1">
        <f t="array" ref="AA5">'OPCO Rev Req'!AA6*Allocator</f>
        <v>0</v>
      </c>
      <c r="AB5" s="55" cm="1">
        <f t="array" ref="AB5">'OPCO Rev Req'!AB6*Allocator</f>
        <v>0</v>
      </c>
      <c r="AC5" s="55" cm="1">
        <f t="array" ref="AC5">'OPCO Rev Req'!AC6*Allocator</f>
        <v>0</v>
      </c>
      <c r="AD5" s="55" cm="1">
        <f t="array" ref="AD5">'OPCO Rev Req'!AD6*Allocator</f>
        <v>0</v>
      </c>
      <c r="AE5" s="55" cm="1">
        <f t="array" ref="AE5">'OPCO Rev Req'!AE6*Allocator</f>
        <v>0</v>
      </c>
      <c r="AF5" s="55" cm="1">
        <f t="array" ref="AF5">'OPCO Rev Req'!AF6*Allocator</f>
        <v>0</v>
      </c>
      <c r="AG5" s="55" cm="1">
        <f t="array" ref="AG5">'OPCO Rev Req'!AG6*Allocator</f>
        <v>0</v>
      </c>
      <c r="AH5" s="55" cm="1">
        <f t="array" ref="AH5">'OPCO Rev Req'!AH6*Allocator</f>
        <v>0</v>
      </c>
      <c r="AI5" s="55" cm="1">
        <f t="array" ref="AI5">'OPCO Rev Req'!AI6*Allocator</f>
        <v>0</v>
      </c>
      <c r="AJ5" s="55" cm="1">
        <f t="array" ref="AJ5">'OPCO Rev Req'!AJ6*Allocator</f>
        <v>0</v>
      </c>
    </row>
    <row r="6" spans="1:36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  <c r="O6" s="55" cm="1">
        <f t="array" ref="O6">'OPCO Rev Req'!O7*Allocator</f>
        <v>0</v>
      </c>
      <c r="P6" s="55" cm="1">
        <f t="array" ref="P6">'OPCO Rev Req'!P7*Allocator</f>
        <v>0</v>
      </c>
      <c r="Q6" s="55" cm="1">
        <f t="array" ref="Q6">'OPCO Rev Req'!Q7*Allocator</f>
        <v>0</v>
      </c>
      <c r="R6" s="55" cm="1">
        <f t="array" ref="R6">'OPCO Rev Req'!R7*Allocator</f>
        <v>0</v>
      </c>
      <c r="S6" s="55" cm="1">
        <f t="array" ref="S6">'OPCO Rev Req'!S7*Allocator</f>
        <v>0</v>
      </c>
      <c r="T6" s="55" cm="1">
        <f t="array" ref="T6">'OPCO Rev Req'!T7*Allocator</f>
        <v>0</v>
      </c>
      <c r="U6" s="55" cm="1">
        <f t="array" ref="U6">'OPCO Rev Req'!U7*Allocator</f>
        <v>0</v>
      </c>
      <c r="V6" s="55" cm="1">
        <f t="array" ref="V6">'OPCO Rev Req'!V7*Allocator</f>
        <v>0</v>
      </c>
      <c r="W6" s="55" cm="1">
        <f t="array" ref="W6">'OPCO Rev Req'!W7*Allocator</f>
        <v>0</v>
      </c>
      <c r="X6" s="55" cm="1">
        <f t="array" ref="X6">'OPCO Rev Req'!X7*Allocator</f>
        <v>0</v>
      </c>
      <c r="Y6" s="55" cm="1">
        <f t="array" ref="Y6">'OPCO Rev Req'!Y7*Allocator</f>
        <v>0</v>
      </c>
      <c r="Z6" s="55" cm="1">
        <f t="array" ref="Z6">'OPCO Rev Req'!Z7*Allocator</f>
        <v>0</v>
      </c>
      <c r="AA6" s="55" cm="1">
        <f t="array" ref="AA6">'OPCO Rev Req'!AA7*Allocator</f>
        <v>0</v>
      </c>
      <c r="AB6" s="55" cm="1">
        <f t="array" ref="AB6">'OPCO Rev Req'!AB7*Allocator</f>
        <v>0</v>
      </c>
      <c r="AC6" s="55" cm="1">
        <f t="array" ref="AC6">'OPCO Rev Req'!AC7*Allocator</f>
        <v>0</v>
      </c>
      <c r="AD6" s="55" cm="1">
        <f t="array" ref="AD6">'OPCO Rev Req'!AD7*Allocator</f>
        <v>0</v>
      </c>
      <c r="AE6" s="55" cm="1">
        <f t="array" ref="AE6">'OPCO Rev Req'!AE7*Allocator</f>
        <v>0</v>
      </c>
      <c r="AF6" s="55" cm="1">
        <f t="array" ref="AF6">'OPCO Rev Req'!AF7*Allocator</f>
        <v>0</v>
      </c>
      <c r="AG6" s="55" cm="1">
        <f t="array" ref="AG6">'OPCO Rev Req'!AG7*Allocator</f>
        <v>0</v>
      </c>
      <c r="AH6" s="55" cm="1">
        <f t="array" ref="AH6">'OPCO Rev Req'!AH7*Allocator</f>
        <v>0</v>
      </c>
      <c r="AI6" s="55" cm="1">
        <f t="array" ref="AI6">'OPCO Rev Req'!AI7*Allocator</f>
        <v>0</v>
      </c>
      <c r="AJ6" s="55" cm="1">
        <f t="array" ref="AJ6">'OPCO Rev Req'!AJ7*Allocator</f>
        <v>0</v>
      </c>
    </row>
    <row r="7" spans="1:3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</row>
    <row r="8" spans="1:36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  <c r="O8" s="55" cm="1">
        <f t="array" ref="O8">'OPCO Rev Req'!O9*Allocator</f>
        <v>0</v>
      </c>
      <c r="P8" s="55" cm="1">
        <f t="array" ref="P8">'OPCO Rev Req'!P9*Allocator</f>
        <v>0</v>
      </c>
      <c r="Q8" s="55" cm="1">
        <f t="array" ref="Q8">'OPCO Rev Req'!Q9*Allocator</f>
        <v>0</v>
      </c>
      <c r="R8" s="55" cm="1">
        <f t="array" ref="R8">'OPCO Rev Req'!R9*Allocator</f>
        <v>0</v>
      </c>
      <c r="S8" s="55" cm="1">
        <f t="array" ref="S8">'OPCO Rev Req'!S9*Allocator</f>
        <v>0</v>
      </c>
      <c r="T8" s="55" cm="1">
        <f t="array" ref="T8">'OPCO Rev Req'!T9*Allocator</f>
        <v>0</v>
      </c>
      <c r="U8" s="55" cm="1">
        <f t="array" ref="U8">'OPCO Rev Req'!U9*Allocator</f>
        <v>0</v>
      </c>
      <c r="V8" s="55" cm="1">
        <f t="array" ref="V8">'OPCO Rev Req'!V9*Allocator</f>
        <v>0</v>
      </c>
      <c r="W8" s="55" cm="1">
        <f t="array" ref="W8">'OPCO Rev Req'!W9*Allocator</f>
        <v>0</v>
      </c>
      <c r="X8" s="55" cm="1">
        <f t="array" ref="X8">'OPCO Rev Req'!X9*Allocator</f>
        <v>0</v>
      </c>
      <c r="Y8" s="55" cm="1">
        <f t="array" ref="Y8">'OPCO Rev Req'!Y9*Allocator</f>
        <v>0</v>
      </c>
      <c r="Z8" s="55" cm="1">
        <f t="array" ref="Z8">'OPCO Rev Req'!Z9*Allocator</f>
        <v>0</v>
      </c>
      <c r="AA8" s="55" cm="1">
        <f t="array" ref="AA8">'OPCO Rev Req'!AA9*Allocator</f>
        <v>0</v>
      </c>
      <c r="AB8" s="55" cm="1">
        <f t="array" ref="AB8">'OPCO Rev Req'!AB9*Allocator</f>
        <v>0</v>
      </c>
      <c r="AC8" s="55" cm="1">
        <f t="array" ref="AC8">'OPCO Rev Req'!AC9*Allocator</f>
        <v>0</v>
      </c>
      <c r="AD8" s="55" cm="1">
        <f t="array" ref="AD8">'OPCO Rev Req'!AD9*Allocator</f>
        <v>0</v>
      </c>
      <c r="AE8" s="55" cm="1">
        <f t="array" ref="AE8">'OPCO Rev Req'!AE9*Allocator</f>
        <v>0</v>
      </c>
      <c r="AF8" s="55" cm="1">
        <f t="array" ref="AF8">'OPCO Rev Req'!AF9*Allocator</f>
        <v>0</v>
      </c>
      <c r="AG8" s="55" cm="1">
        <f t="array" ref="AG8">'OPCO Rev Req'!AG9*Allocator</f>
        <v>0</v>
      </c>
      <c r="AH8" s="55" cm="1">
        <f t="array" ref="AH8">'OPCO Rev Req'!AH9*Allocator</f>
        <v>0</v>
      </c>
      <c r="AI8" s="55" cm="1">
        <f t="array" ref="AI8">'OPCO Rev Req'!AI9*Allocator</f>
        <v>0</v>
      </c>
      <c r="AJ8" s="55" cm="1">
        <f t="array" ref="AJ8">'OPCO Rev Req'!AJ9*Allocator</f>
        <v>0</v>
      </c>
    </row>
    <row r="9" spans="1:36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  <c r="O9" s="55" cm="1">
        <f t="array" ref="O9">'OPCO Rev Req'!O10*Allocator</f>
        <v>0</v>
      </c>
      <c r="P9" s="55" cm="1">
        <f t="array" ref="P9">'OPCO Rev Req'!P10*Allocator</f>
        <v>0</v>
      </c>
      <c r="Q9" s="55" cm="1">
        <f t="array" ref="Q9">'OPCO Rev Req'!Q10*Allocator</f>
        <v>0</v>
      </c>
      <c r="R9" s="55" cm="1">
        <f t="array" ref="R9">'OPCO Rev Req'!R10*Allocator</f>
        <v>0</v>
      </c>
      <c r="S9" s="55" cm="1">
        <f t="array" ref="S9">'OPCO Rev Req'!S10*Allocator</f>
        <v>0</v>
      </c>
      <c r="T9" s="55" cm="1">
        <f t="array" ref="T9">'OPCO Rev Req'!T10*Allocator</f>
        <v>0</v>
      </c>
      <c r="U9" s="55" cm="1">
        <f t="array" ref="U9">'OPCO Rev Req'!U10*Allocator</f>
        <v>0</v>
      </c>
      <c r="V9" s="55" cm="1">
        <f t="array" ref="V9">'OPCO Rev Req'!V10*Allocator</f>
        <v>0</v>
      </c>
      <c r="W9" s="55" cm="1">
        <f t="array" ref="W9">'OPCO Rev Req'!W10*Allocator</f>
        <v>0</v>
      </c>
      <c r="X9" s="55" cm="1">
        <f t="array" ref="X9">'OPCO Rev Req'!X10*Allocator</f>
        <v>0</v>
      </c>
      <c r="Y9" s="55" cm="1">
        <f t="array" ref="Y9">'OPCO Rev Req'!Y10*Allocator</f>
        <v>0</v>
      </c>
      <c r="Z9" s="55" cm="1">
        <f t="array" ref="Z9">'OPCO Rev Req'!Z10*Allocator</f>
        <v>0</v>
      </c>
      <c r="AA9" s="55" cm="1">
        <f t="array" ref="AA9">'OPCO Rev Req'!AA10*Allocator</f>
        <v>0</v>
      </c>
      <c r="AB9" s="55" cm="1">
        <f t="array" ref="AB9">'OPCO Rev Req'!AB10*Allocator</f>
        <v>0</v>
      </c>
      <c r="AC9" s="55" cm="1">
        <f t="array" ref="AC9">'OPCO Rev Req'!AC10*Allocator</f>
        <v>0</v>
      </c>
      <c r="AD9" s="55" cm="1">
        <f t="array" ref="AD9">'OPCO Rev Req'!AD10*Allocator</f>
        <v>0</v>
      </c>
      <c r="AE9" s="55" cm="1">
        <f t="array" ref="AE9">'OPCO Rev Req'!AE10*Allocator</f>
        <v>0</v>
      </c>
      <c r="AF9" s="55" cm="1">
        <f t="array" ref="AF9">'OPCO Rev Req'!AF10*Allocator</f>
        <v>0</v>
      </c>
      <c r="AG9" s="55" cm="1">
        <f t="array" ref="AG9">'OPCO Rev Req'!AG10*Allocator</f>
        <v>0</v>
      </c>
      <c r="AH9" s="55" cm="1">
        <f t="array" ref="AH9">'OPCO Rev Req'!AH10*Allocator</f>
        <v>0</v>
      </c>
      <c r="AI9" s="55" cm="1">
        <f t="array" ref="AI9">'OPCO Rev Req'!AI10*Allocator</f>
        <v>0</v>
      </c>
      <c r="AJ9" s="55" cm="1">
        <f t="array" ref="AJ9">'OPCO Rev Req'!AJ10*Allocator</f>
        <v>0</v>
      </c>
    </row>
    <row r="10" spans="1:36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  <c r="O10" s="55" cm="1">
        <f t="array" ref="O10">'OPCO Rev Req'!O11*Allocator</f>
        <v>0</v>
      </c>
      <c r="P10" s="55" cm="1">
        <f t="array" ref="P10">'OPCO Rev Req'!P11*Allocator</f>
        <v>0</v>
      </c>
      <c r="Q10" s="55" cm="1">
        <f t="array" ref="Q10">'OPCO Rev Req'!Q11*Allocator</f>
        <v>0</v>
      </c>
      <c r="R10" s="55" cm="1">
        <f t="array" ref="R10">'OPCO Rev Req'!R11*Allocator</f>
        <v>0</v>
      </c>
      <c r="S10" s="55" cm="1">
        <f t="array" ref="S10">'OPCO Rev Req'!S11*Allocator</f>
        <v>0</v>
      </c>
      <c r="T10" s="55" cm="1">
        <f t="array" ref="T10">'OPCO Rev Req'!T11*Allocator</f>
        <v>0</v>
      </c>
      <c r="U10" s="55" cm="1">
        <f t="array" ref="U10">'OPCO Rev Req'!U11*Allocator</f>
        <v>0</v>
      </c>
      <c r="V10" s="55" cm="1">
        <f t="array" ref="V10">'OPCO Rev Req'!V11*Allocator</f>
        <v>0</v>
      </c>
      <c r="W10" s="55" cm="1">
        <f t="array" ref="W10">'OPCO Rev Req'!W11*Allocator</f>
        <v>0</v>
      </c>
      <c r="X10" s="55" cm="1">
        <f t="array" ref="X10">'OPCO Rev Req'!X11*Allocator</f>
        <v>0</v>
      </c>
      <c r="Y10" s="55" cm="1">
        <f t="array" ref="Y10">'OPCO Rev Req'!Y11*Allocator</f>
        <v>0</v>
      </c>
      <c r="Z10" s="55" cm="1">
        <f t="array" ref="Z10">'OPCO Rev Req'!Z11*Allocator</f>
        <v>0</v>
      </c>
      <c r="AA10" s="55" cm="1">
        <f t="array" ref="AA10">'OPCO Rev Req'!AA11*Allocator</f>
        <v>0</v>
      </c>
      <c r="AB10" s="55" cm="1">
        <f t="array" ref="AB10">'OPCO Rev Req'!AB11*Allocator</f>
        <v>0</v>
      </c>
      <c r="AC10" s="55" cm="1">
        <f t="array" ref="AC10">'OPCO Rev Req'!AC11*Allocator</f>
        <v>0</v>
      </c>
      <c r="AD10" s="55" cm="1">
        <f t="array" ref="AD10">'OPCO Rev Req'!AD11*Allocator</f>
        <v>0</v>
      </c>
      <c r="AE10" s="55" cm="1">
        <f t="array" ref="AE10">'OPCO Rev Req'!AE11*Allocator</f>
        <v>0</v>
      </c>
      <c r="AF10" s="55" cm="1">
        <f t="array" ref="AF10">'OPCO Rev Req'!AF11*Allocator</f>
        <v>0</v>
      </c>
      <c r="AG10" s="55" cm="1">
        <f t="array" ref="AG10">'OPCO Rev Req'!AG11*Allocator</f>
        <v>0</v>
      </c>
      <c r="AH10" s="55" cm="1">
        <f t="array" ref="AH10">'OPCO Rev Req'!AH11*Allocator</f>
        <v>0</v>
      </c>
      <c r="AI10" s="55" cm="1">
        <f t="array" ref="AI10">'OPCO Rev Req'!AI11*Allocator</f>
        <v>0</v>
      </c>
      <c r="AJ10" s="55" cm="1">
        <f t="array" ref="AJ10">'OPCO Rev Req'!AJ11*Allocator</f>
        <v>0</v>
      </c>
    </row>
    <row r="11" spans="1:36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  <c r="O11" s="55" cm="1">
        <f t="array" ref="O11">'OPCO Rev Req'!O12*Allocator</f>
        <v>0</v>
      </c>
      <c r="P11" s="55" cm="1">
        <f t="array" ref="P11">'OPCO Rev Req'!P12*Allocator</f>
        <v>0</v>
      </c>
      <c r="Q11" s="55" cm="1">
        <f t="array" ref="Q11">'OPCO Rev Req'!Q12*Allocator</f>
        <v>0</v>
      </c>
      <c r="R11" s="55" cm="1">
        <f t="array" ref="R11">'OPCO Rev Req'!R12*Allocator</f>
        <v>0</v>
      </c>
      <c r="S11" s="55" cm="1">
        <f t="array" ref="S11">'OPCO Rev Req'!S12*Allocator</f>
        <v>0</v>
      </c>
      <c r="T11" s="55" cm="1">
        <f t="array" ref="T11">'OPCO Rev Req'!T12*Allocator</f>
        <v>0</v>
      </c>
      <c r="U11" s="55" cm="1">
        <f t="array" ref="U11">'OPCO Rev Req'!U12*Allocator</f>
        <v>0</v>
      </c>
      <c r="V11" s="55" cm="1">
        <f t="array" ref="V11">'OPCO Rev Req'!V12*Allocator</f>
        <v>0</v>
      </c>
      <c r="W11" s="55" cm="1">
        <f t="array" ref="W11">'OPCO Rev Req'!W12*Allocator</f>
        <v>0</v>
      </c>
      <c r="X11" s="55" cm="1">
        <f t="array" ref="X11">'OPCO Rev Req'!X12*Allocator</f>
        <v>0</v>
      </c>
      <c r="Y11" s="55" cm="1">
        <f t="array" ref="Y11">'OPCO Rev Req'!Y12*Allocator</f>
        <v>0</v>
      </c>
      <c r="Z11" s="55" cm="1">
        <f t="array" ref="Z11">'OPCO Rev Req'!Z12*Allocator</f>
        <v>0</v>
      </c>
      <c r="AA11" s="55" cm="1">
        <f t="array" ref="AA11">'OPCO Rev Req'!AA12*Allocator</f>
        <v>0</v>
      </c>
      <c r="AB11" s="55" cm="1">
        <f t="array" ref="AB11">'OPCO Rev Req'!AB12*Allocator</f>
        <v>0</v>
      </c>
      <c r="AC11" s="55" cm="1">
        <f t="array" ref="AC11">'OPCO Rev Req'!AC12*Allocator</f>
        <v>0</v>
      </c>
      <c r="AD11" s="55" cm="1">
        <f t="array" ref="AD11">'OPCO Rev Req'!AD12*Allocator</f>
        <v>0</v>
      </c>
      <c r="AE11" s="55" cm="1">
        <f t="array" ref="AE11">'OPCO Rev Req'!AE12*Allocator</f>
        <v>0</v>
      </c>
      <c r="AF11" s="55" cm="1">
        <f t="array" ref="AF11">'OPCO Rev Req'!AF12*Allocator</f>
        <v>0</v>
      </c>
      <c r="AG11" s="55" cm="1">
        <f t="array" ref="AG11">'OPCO Rev Req'!AG12*Allocator</f>
        <v>0</v>
      </c>
      <c r="AH11" s="55" cm="1">
        <f t="array" ref="AH11">'OPCO Rev Req'!AH12*Allocator</f>
        <v>0</v>
      </c>
      <c r="AI11" s="55" cm="1">
        <f t="array" ref="AI11">'OPCO Rev Req'!AI12*Allocator</f>
        <v>0</v>
      </c>
      <c r="AJ11" s="55" cm="1">
        <f t="array" ref="AJ11">'OPCO Rev Req'!AJ12*Allocator</f>
        <v>0</v>
      </c>
    </row>
    <row r="12" spans="1:36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  <c r="O12" s="54" cm="1">
        <f t="array" ref="O12">'OPCO Rev Req'!O13*Allocator</f>
        <v>0</v>
      </c>
      <c r="P12" s="54" cm="1">
        <f t="array" ref="P12">'OPCO Rev Req'!P13*Allocator</f>
        <v>0</v>
      </c>
      <c r="Q12" s="54" cm="1">
        <f t="array" ref="Q12">'OPCO Rev Req'!Q13*Allocator</f>
        <v>0</v>
      </c>
      <c r="R12" s="54" cm="1">
        <f t="array" ref="R12">'OPCO Rev Req'!R13*Allocator</f>
        <v>0</v>
      </c>
      <c r="S12" s="54" cm="1">
        <f t="array" ref="S12">'OPCO Rev Req'!S13*Allocator</f>
        <v>0</v>
      </c>
      <c r="T12" s="54" cm="1">
        <f t="array" ref="T12">'OPCO Rev Req'!T13*Allocator</f>
        <v>0</v>
      </c>
      <c r="U12" s="54" cm="1">
        <f t="array" ref="U12">'OPCO Rev Req'!U13*Allocator</f>
        <v>0</v>
      </c>
      <c r="V12" s="54" cm="1">
        <f t="array" ref="V12">'OPCO Rev Req'!V13*Allocator</f>
        <v>0</v>
      </c>
      <c r="W12" s="54" cm="1">
        <f t="array" ref="W12">'OPCO Rev Req'!W13*Allocator</f>
        <v>0</v>
      </c>
      <c r="X12" s="54" cm="1">
        <f t="array" ref="X12">'OPCO Rev Req'!X13*Allocator</f>
        <v>0</v>
      </c>
      <c r="Y12" s="54" cm="1">
        <f t="array" ref="Y12">'OPCO Rev Req'!Y13*Allocator</f>
        <v>0</v>
      </c>
      <c r="Z12" s="54" cm="1">
        <f t="array" ref="Z12">'OPCO Rev Req'!Z13*Allocator</f>
        <v>0</v>
      </c>
      <c r="AA12" s="54" cm="1">
        <f t="array" ref="AA12">'OPCO Rev Req'!AA13*Allocator</f>
        <v>0</v>
      </c>
      <c r="AB12" s="54" cm="1">
        <f t="array" ref="AB12">'OPCO Rev Req'!AB13*Allocator</f>
        <v>0</v>
      </c>
      <c r="AC12" s="54" cm="1">
        <f t="array" ref="AC12">'OPCO Rev Req'!AC13*Allocator</f>
        <v>0</v>
      </c>
      <c r="AD12" s="54" cm="1">
        <f t="array" ref="AD12">'OPCO Rev Req'!AD13*Allocator</f>
        <v>0</v>
      </c>
      <c r="AE12" s="54" cm="1">
        <f t="array" ref="AE12">'OPCO Rev Req'!AE13*Allocator</f>
        <v>0</v>
      </c>
      <c r="AF12" s="54" cm="1">
        <f t="array" ref="AF12">'OPCO Rev Req'!AF13*Allocator</f>
        <v>0</v>
      </c>
      <c r="AG12" s="54" cm="1">
        <f t="array" ref="AG12">'OPCO Rev Req'!AG13*Allocator</f>
        <v>0</v>
      </c>
      <c r="AH12" s="54" cm="1">
        <f t="array" ref="AH12">'OPCO Rev Req'!AH13*Allocator</f>
        <v>0</v>
      </c>
      <c r="AI12" s="54" cm="1">
        <f t="array" ref="AI12">'OPCO Rev Req'!AI13*Allocator</f>
        <v>0</v>
      </c>
      <c r="AJ12" s="54" cm="1">
        <f t="array" ref="AJ12">'OPCO Rev Req'!AJ13*Allocator</f>
        <v>0</v>
      </c>
    </row>
    <row r="13" spans="1:36">
      <c r="A13" s="7" t="str">
        <f>'OPCO Rev Req'!A14</f>
        <v>Plant Depreciation - Account 403</v>
      </c>
      <c r="B13" s="55">
        <f>'OPCO Rev Req'!B14*Allocator</f>
        <v>9434750</v>
      </c>
      <c r="C13" s="55" cm="1">
        <f t="array" ref="C13">'OPCO Rev Req'!C14*Allocator</f>
        <v>11844500</v>
      </c>
      <c r="D13" s="55" cm="1">
        <f t="array" ref="D13">'OPCO Rev Req'!D14*Allocator</f>
        <v>11844500</v>
      </c>
      <c r="E13" s="55" cm="1">
        <f t="array" ref="E13">'OPCO Rev Req'!E14*Allocator</f>
        <v>11844500</v>
      </c>
      <c r="F13" s="55" cm="1">
        <f t="array" ref="F13">'OPCO Rev Req'!F14*Allocator</f>
        <v>11844500</v>
      </c>
      <c r="G13" s="55" cm="1">
        <f t="array" ref="G13">'OPCO Rev Req'!G14*Allocator</f>
        <v>11844500</v>
      </c>
      <c r="H13" s="55" cm="1">
        <f t="array" ref="H13">'OPCO Rev Req'!H14*Allocator</f>
        <v>11844500</v>
      </c>
      <c r="I13" s="55" cm="1">
        <f t="array" ref="I13">'OPCO Rev Req'!I14*Allocator</f>
        <v>11844500</v>
      </c>
      <c r="J13" s="55" cm="1">
        <f t="array" ref="J13">'OPCO Rev Req'!J14*Allocator</f>
        <v>11844500</v>
      </c>
      <c r="K13" s="55" cm="1">
        <f t="array" ref="K13">'OPCO Rev Req'!K14*Allocator</f>
        <v>11844500</v>
      </c>
      <c r="L13" s="55" cm="1">
        <f t="array" ref="L13">'OPCO Rev Req'!L14*Allocator</f>
        <v>11844500</v>
      </c>
      <c r="M13" s="55" cm="1">
        <f t="array" ref="M13">'OPCO Rev Req'!M14*Allocator</f>
        <v>11844500</v>
      </c>
      <c r="N13" s="55" cm="1">
        <f t="array" ref="N13">'OPCO Rev Req'!N14*Allocator</f>
        <v>0</v>
      </c>
      <c r="O13" s="55" cm="1">
        <f t="array" ref="O13">'OPCO Rev Req'!O14*Allocator</f>
        <v>0</v>
      </c>
      <c r="P13" s="55" cm="1">
        <f t="array" ref="P13">'OPCO Rev Req'!P14*Allocator</f>
        <v>0</v>
      </c>
      <c r="Q13" s="55" cm="1">
        <f t="array" ref="Q13">'OPCO Rev Req'!Q14*Allocator</f>
        <v>0</v>
      </c>
      <c r="R13" s="55" cm="1">
        <f t="array" ref="R13">'OPCO Rev Req'!R14*Allocator</f>
        <v>0</v>
      </c>
      <c r="S13" s="55" cm="1">
        <f t="array" ref="S13">'OPCO Rev Req'!S14*Allocator</f>
        <v>0</v>
      </c>
      <c r="T13" s="55" cm="1">
        <f t="array" ref="T13">'OPCO Rev Req'!T14*Allocator</f>
        <v>0</v>
      </c>
      <c r="U13" s="55" cm="1">
        <f t="array" ref="U13">'OPCO Rev Req'!U14*Allocator</f>
        <v>0</v>
      </c>
      <c r="V13" s="55" cm="1">
        <f t="array" ref="V13">'OPCO Rev Req'!V14*Allocator</f>
        <v>0</v>
      </c>
      <c r="W13" s="55" cm="1">
        <f t="array" ref="W13">'OPCO Rev Req'!W14*Allocator</f>
        <v>0</v>
      </c>
      <c r="X13" s="55" cm="1">
        <f t="array" ref="X13">'OPCO Rev Req'!X14*Allocator</f>
        <v>0</v>
      </c>
      <c r="Y13" s="55" cm="1">
        <f t="array" ref="Y13">'OPCO Rev Req'!Y14*Allocator</f>
        <v>0</v>
      </c>
      <c r="Z13" s="55" cm="1">
        <f t="array" ref="Z13">'OPCO Rev Req'!Z14*Allocator</f>
        <v>0</v>
      </c>
      <c r="AA13" s="55" cm="1">
        <f t="array" ref="AA13">'OPCO Rev Req'!AA14*Allocator</f>
        <v>0</v>
      </c>
      <c r="AB13" s="55" cm="1">
        <f t="array" ref="AB13">'OPCO Rev Req'!AB14*Allocator</f>
        <v>0</v>
      </c>
      <c r="AC13" s="55" cm="1">
        <f t="array" ref="AC13">'OPCO Rev Req'!AC14*Allocator</f>
        <v>0</v>
      </c>
      <c r="AD13" s="55" cm="1">
        <f t="array" ref="AD13">'OPCO Rev Req'!AD14*Allocator</f>
        <v>0</v>
      </c>
      <c r="AE13" s="55" cm="1">
        <f t="array" ref="AE13">'OPCO Rev Req'!AE14*Allocator</f>
        <v>0</v>
      </c>
      <c r="AF13" s="55" cm="1">
        <f t="array" ref="AF13">'OPCO Rev Req'!AF14*Allocator</f>
        <v>0</v>
      </c>
      <c r="AG13" s="55" cm="1">
        <f t="array" ref="AG13">'OPCO Rev Req'!AG14*Allocator</f>
        <v>0</v>
      </c>
      <c r="AH13" s="55" cm="1">
        <f t="array" ref="AH13">'OPCO Rev Req'!AH14*Allocator</f>
        <v>0</v>
      </c>
      <c r="AI13" s="55" cm="1">
        <f t="array" ref="AI13">'OPCO Rev Req'!AI14*Allocator</f>
        <v>0</v>
      </c>
      <c r="AJ13" s="55" cm="1">
        <f t="array" ref="AJ13">'OPCO Rev Req'!AJ14*Allocator</f>
        <v>0</v>
      </c>
    </row>
    <row r="14" spans="1:36">
      <c r="A14" s="7" t="str">
        <f>'OPCO Rev Req'!A15</f>
        <v>Current SIT</v>
      </c>
      <c r="B14" s="55" cm="1">
        <f t="array" ref="B14">'OPCO Rev Req'!B15*Allocator</f>
        <v>2087476.7796181559</v>
      </c>
      <c r="C14" s="55" cm="1">
        <f t="array" ref="C14">'OPCO Rev Req'!C15*Allocator</f>
        <v>-827888.62139272469</v>
      </c>
      <c r="D14" s="55" cm="1">
        <f t="array" ref="D14">'OPCO Rev Req'!D15*Allocator</f>
        <v>-817241.8047415762</v>
      </c>
      <c r="E14" s="55" cm="1">
        <f t="array" ref="E14">'OPCO Rev Req'!E15*Allocator</f>
        <v>-752307.22456816677</v>
      </c>
      <c r="F14" s="55" cm="1">
        <f t="array" ref="F14">'OPCO Rev Req'!F15*Allocator</f>
        <v>-691244.19255237363</v>
      </c>
      <c r="G14" s="55" cm="1">
        <f t="array" ref="G14">'OPCO Rev Req'!G15*Allocator</f>
        <v>-633942.54849644692</v>
      </c>
      <c r="H14" s="55" cm="1">
        <f t="array" ref="H14">'OPCO Rev Req'!H15*Allocator</f>
        <v>-579970.67093525734</v>
      </c>
      <c r="I14" s="55" cm="1">
        <f t="array" ref="I14">'OPCO Rev Req'!I15*Allocator</f>
        <v>-529236.11258119531</v>
      </c>
      <c r="J14" s="55" cm="1">
        <f t="array" ref="J14">'OPCO Rev Req'!J15*Allocator</f>
        <v>-504176.69002918148</v>
      </c>
      <c r="K14" s="55" cm="1">
        <f t="array" ref="K14">'OPCO Rev Req'!K15*Allocator</f>
        <v>-488404.38295295072</v>
      </c>
      <c r="L14" s="55" cm="1">
        <f t="array" ref="L14">'OPCO Rev Req'!L15*Allocator</f>
        <v>-473650.21348395909</v>
      </c>
      <c r="M14" s="55" cm="1">
        <f t="array" ref="M14">'OPCO Rev Req'!M15*Allocator</f>
        <v>-458761.0214667783</v>
      </c>
      <c r="N14" s="55" cm="1">
        <f t="array" ref="N14">'OPCO Rev Req'!N15*Allocator</f>
        <v>-465564.01065660571</v>
      </c>
      <c r="O14" s="55" cm="1">
        <f t="array" ref="O14">'OPCO Rev Req'!O15*Allocator</f>
        <v>-467747.06063418114</v>
      </c>
      <c r="P14" s="55" cm="1">
        <f t="array" ref="P14">'OPCO Rev Req'!P15*Allocator</f>
        <v>-464046.25985321519</v>
      </c>
      <c r="Q14" s="55" cm="1">
        <f t="array" ref="Q14">'OPCO Rev Req'!Q15*Allocator</f>
        <v>-460278.54438648559</v>
      </c>
      <c r="R14" s="55" cm="1">
        <f t="array" ref="R14">'OPCO Rev Req'!R15*Allocator</f>
        <v>-456704.58576107613</v>
      </c>
      <c r="S14" s="55" cm="1">
        <f t="array" ref="S14">'OPCO Rev Req'!S15*Allocator</f>
        <v>-453053.97701131372</v>
      </c>
      <c r="T14" s="55" cm="1">
        <f t="array" ref="T14">'OPCO Rev Req'!T15*Allocator</f>
        <v>-449588.94187390676</v>
      </c>
      <c r="U14" s="55" cm="1">
        <f t="array" ref="U14">'OPCO Rev Req'!U15*Allocator</f>
        <v>-446039.12364280596</v>
      </c>
      <c r="V14" s="55" cm="1">
        <f t="array" ref="V14">'OPCO Rev Req'!V15*Allocator</f>
        <v>-260889.89328633141</v>
      </c>
      <c r="W14" s="55" cm="1">
        <f t="array" ref="W14">'OPCO Rev Req'!W15*Allocator</f>
        <v>-44920.814011897106</v>
      </c>
      <c r="X14" s="55" cm="1">
        <f t="array" ref="X14">'OPCO Rev Req'!X15*Allocator</f>
        <v>-12578.616785660935</v>
      </c>
      <c r="Y14" s="55" cm="1">
        <f t="array" ref="Y14">'OPCO Rev Req'!Y15*Allocator</f>
        <v>-12532.27319889962</v>
      </c>
      <c r="Z14" s="55" cm="1">
        <f t="array" ref="Z14">'OPCO Rev Req'!Z15*Allocator</f>
        <v>-12488.923460213455</v>
      </c>
      <c r="AA14" s="55" cm="1">
        <f t="array" ref="AA14">'OPCO Rev Req'!AA15*Allocator</f>
        <v>0</v>
      </c>
      <c r="AB14" s="55" cm="1">
        <f t="array" ref="AB14">'OPCO Rev Req'!AB15*Allocator</f>
        <v>0</v>
      </c>
      <c r="AC14" s="55" cm="1">
        <f t="array" ref="AC14">'OPCO Rev Req'!AC15*Allocator</f>
        <v>0</v>
      </c>
      <c r="AD14" s="55" cm="1">
        <f t="array" ref="AD14">'OPCO Rev Req'!AD15*Allocator</f>
        <v>0</v>
      </c>
      <c r="AE14" s="55" cm="1">
        <f t="array" ref="AE14">'OPCO Rev Req'!AE15*Allocator</f>
        <v>0</v>
      </c>
      <c r="AF14" s="55" cm="1">
        <f t="array" ref="AF14">'OPCO Rev Req'!AF15*Allocator</f>
        <v>0</v>
      </c>
      <c r="AG14" s="55" cm="1">
        <f t="array" ref="AG14">'OPCO Rev Req'!AG15*Allocator</f>
        <v>0</v>
      </c>
      <c r="AH14" s="55" cm="1">
        <f t="array" ref="AH14">'OPCO Rev Req'!AH15*Allocator</f>
        <v>0</v>
      </c>
      <c r="AI14" s="55" cm="1">
        <f t="array" ref="AI14">'OPCO Rev Req'!AI15*Allocator</f>
        <v>0</v>
      </c>
      <c r="AJ14" s="55" cm="1">
        <f t="array" ref="AJ14">'OPCO Rev Req'!AJ15*Allocator</f>
        <v>0</v>
      </c>
    </row>
    <row r="15" spans="1:36">
      <c r="A15" s="7" t="str">
        <f>'OPCO Rev Req'!A16</f>
        <v>Deferred SIT</v>
      </c>
      <c r="B15" s="55" cm="1">
        <f t="array" ref="B15">'OPCO Rev Req'!B16*Allocator</f>
        <v>-2717358.6048125001</v>
      </c>
      <c r="C15" s="55" cm="1">
        <f t="array" ref="C15">'OPCO Rev Req'!C16*Allocator</f>
        <v>54806.792827450059</v>
      </c>
      <c r="D15" s="55" cm="1">
        <f t="array" ref="D15">'OPCO Rev Req'!D16*Allocator</f>
        <v>60467.872175799981</v>
      </c>
      <c r="E15" s="55" cm="1">
        <f t="array" ref="E15">'OPCO Rev Req'!E16*Allocator</f>
        <v>11513.557191700034</v>
      </c>
      <c r="F15" s="55" cm="1">
        <f t="array" ref="F15">'OPCO Rev Req'!F16*Allocator</f>
        <v>-33872.96268050011</v>
      </c>
      <c r="G15" s="55" cm="1">
        <f t="array" ref="G15">'OPCO Rev Req'!G16*Allocator</f>
        <v>-75778.551217099986</v>
      </c>
      <c r="H15" s="55" cm="1">
        <f t="array" ref="H15">'OPCO Rev Req'!H16*Allocator</f>
        <v>-114614.28462335005</v>
      </c>
      <c r="I15" s="55" cm="1">
        <f t="array" ref="I15">'OPCO Rev Req'!I16*Allocator</f>
        <v>-150452.54937950001</v>
      </c>
      <c r="J15" s="55" cm="1">
        <f t="array" ref="J15">'OPCO Rev Req'!J16*Allocator</f>
        <v>-160684.15419680002</v>
      </c>
      <c r="K15" s="55" cm="1">
        <f t="array" ref="K15">'OPCO Rev Req'!K16*Allocator</f>
        <v>-161635.00720085003</v>
      </c>
      <c r="L15" s="55" cm="1">
        <f t="array" ref="L15">'OPCO Rev Req'!L16*Allocator</f>
        <v>-161567.26925584997</v>
      </c>
      <c r="M15" s="55" cm="1">
        <f t="array" ref="M15">'OPCO Rev Req'!M16*Allocator</f>
        <v>-161635.00720085003</v>
      </c>
      <c r="N15" s="55" cm="1">
        <f t="array" ref="N15">'OPCO Rev Req'!N16*Allocator</f>
        <v>437059.93574415008</v>
      </c>
      <c r="O15" s="55" cm="1">
        <f t="array" ref="O15">'OPCO Rev Req'!O16*Allocator</f>
        <v>442202.46234915004</v>
      </c>
      <c r="P15" s="55" cm="1">
        <f t="array" ref="P15">'OPCO Rev Req'!P16*Allocator</f>
        <v>441456.14339415007</v>
      </c>
      <c r="Q15" s="55" cm="1">
        <f t="array" ref="Q15">'OPCO Rev Req'!Q16*Allocator</f>
        <v>440637.43044915004</v>
      </c>
      <c r="R15" s="55" cm="1">
        <f t="array" ref="R15">'OPCO Rev Req'!R16*Allocator</f>
        <v>440008.26359415002</v>
      </c>
      <c r="S15" s="55" cm="1">
        <f t="array" ref="S15">'OPCO Rev Req'!S16*Allocator</f>
        <v>439297.69104915002</v>
      </c>
      <c r="T15" s="55" cm="1">
        <f t="array" ref="T15">'OPCO Rev Req'!T16*Allocator</f>
        <v>438769.15484415006</v>
      </c>
      <c r="U15" s="55" cm="1">
        <f t="array" ref="U15">'OPCO Rev Req'!U16*Allocator</f>
        <v>438151.70319914998</v>
      </c>
      <c r="V15" s="55" cm="1">
        <f t="array" ref="V15">'OPCO Rev Req'!V16*Allocator</f>
        <v>254707.1213616</v>
      </c>
      <c r="W15" s="55" cm="1">
        <f t="array" ref="W15">'OPCO Rev Req'!W16*Allocator</f>
        <v>38999.046437550009</v>
      </c>
      <c r="X15" s="55" cm="1">
        <f t="array" ref="X15">'OPCO Rev Req'!X16*Allocator</f>
        <v>6701.7009000000016</v>
      </c>
      <c r="Y15" s="55" cm="1">
        <f t="array" ref="Y15">'OPCO Rev Req'!Y16*Allocator</f>
        <v>6700.19895</v>
      </c>
      <c r="Z15" s="55" cm="1">
        <f t="array" ref="Z15">'OPCO Rev Req'!Z16*Allocator</f>
        <v>6701.7009000000016</v>
      </c>
      <c r="AA15" s="55" cm="1">
        <f t="array" ref="AA15">'OPCO Rev Req'!AA16*Allocator</f>
        <v>0</v>
      </c>
      <c r="AB15" s="55" cm="1">
        <f t="array" ref="AB15">'OPCO Rev Req'!AB16*Allocator</f>
        <v>0</v>
      </c>
      <c r="AC15" s="55" cm="1">
        <f t="array" ref="AC15">'OPCO Rev Req'!AC16*Allocator</f>
        <v>0</v>
      </c>
      <c r="AD15" s="55" cm="1">
        <f t="array" ref="AD15">'OPCO Rev Req'!AD16*Allocator</f>
        <v>0</v>
      </c>
      <c r="AE15" s="55" cm="1">
        <f t="array" ref="AE15">'OPCO Rev Req'!AE16*Allocator</f>
        <v>0</v>
      </c>
      <c r="AF15" s="55" cm="1">
        <f t="array" ref="AF15">'OPCO Rev Req'!AF16*Allocator</f>
        <v>0</v>
      </c>
      <c r="AG15" s="55" cm="1">
        <f t="array" ref="AG15">'OPCO Rev Req'!AG16*Allocator</f>
        <v>0</v>
      </c>
      <c r="AH15" s="55" cm="1">
        <f t="array" ref="AH15">'OPCO Rev Req'!AH16*Allocator</f>
        <v>0</v>
      </c>
      <c r="AI15" s="55" cm="1">
        <f t="array" ref="AI15">'OPCO Rev Req'!AI16*Allocator</f>
        <v>0</v>
      </c>
      <c r="AJ15" s="55" cm="1">
        <f t="array" ref="AJ15">'OPCO Rev Req'!AJ16*Allocator</f>
        <v>0</v>
      </c>
    </row>
    <row r="16" spans="1:36">
      <c r="A16" s="7" t="str">
        <f>'OPCO Rev Req'!A17</f>
        <v>Current FIT</v>
      </c>
      <c r="B16" s="55" cm="1">
        <f t="array" ref="B16">'OPCO Rev Req'!B17*Allocator</f>
        <v>8317649.5251329318</v>
      </c>
      <c r="C16" s="55" cm="1">
        <f t="array" ref="C16">'OPCO Rev Req'!C17*Allocator</f>
        <v>-3298761.19620826</v>
      </c>
      <c r="D16" s="55" cm="1">
        <f t="array" ref="D16">'OPCO Rev Req'!D17*Allocator</f>
        <v>-3256338.4539161031</v>
      </c>
      <c r="E16" s="55" cm="1">
        <f t="array" ref="E16">'OPCO Rev Req'!E17*Allocator</f>
        <v>-2997603.5615246962</v>
      </c>
      <c r="F16" s="55" cm="1">
        <f t="array" ref="F16">'OPCO Rev Req'!F17*Allocator</f>
        <v>-2754295.0350738075</v>
      </c>
      <c r="G16" s="55" cm="1">
        <f t="array" ref="G16">'OPCO Rev Req'!G17*Allocator</f>
        <v>-2525973.9360681945</v>
      </c>
      <c r="H16" s="55" cm="1">
        <f t="array" ref="H16">'OPCO Rev Req'!H17*Allocator</f>
        <v>-2310920.448455519</v>
      </c>
      <c r="I16" s="55" cm="1">
        <f t="array" ref="I16">'OPCO Rev Req'!I17*Allocator</f>
        <v>-2108766.2116650692</v>
      </c>
      <c r="J16" s="55" cm="1">
        <f t="array" ref="J16">'OPCO Rev Req'!J17*Allocator</f>
        <v>-2008915.7624888204</v>
      </c>
      <c r="K16" s="55" cm="1">
        <f t="array" ref="K16">'OPCO Rev Req'!K17*Allocator</f>
        <v>-1946070.2622448085</v>
      </c>
      <c r="L16" s="55" cm="1">
        <f t="array" ref="L16">'OPCO Rev Req'!L17*Allocator</f>
        <v>-1887281.5792397037</v>
      </c>
      <c r="M16" s="55" cm="1">
        <f t="array" ref="M16">'OPCO Rev Req'!M17*Allocator</f>
        <v>-1827954.8925332914</v>
      </c>
      <c r="N16" s="55" cm="1">
        <f t="array" ref="N16">'OPCO Rev Req'!N17*Allocator</f>
        <v>-1855061.723304651</v>
      </c>
      <c r="O16" s="55" cm="1">
        <f t="array" ref="O16">'OPCO Rev Req'!O17*Allocator</f>
        <v>-1863760.1887374707</v>
      </c>
      <c r="P16" s="55" cm="1">
        <f t="array" ref="P16">'OPCO Rev Req'!P17*Allocator</f>
        <v>-1849014.1737595007</v>
      </c>
      <c r="Q16" s="55" cm="1">
        <f t="array" ref="Q16">'OPCO Rev Req'!Q17*Allocator</f>
        <v>-1834001.5340651749</v>
      </c>
      <c r="R16" s="55" cm="1">
        <f t="array" ref="R16">'OPCO Rev Req'!R17*Allocator</f>
        <v>-1819760.9276288634</v>
      </c>
      <c r="S16" s="55" cm="1">
        <f t="array" ref="S16">'OPCO Rev Req'!S17*Allocator</f>
        <v>-1805214.905162706</v>
      </c>
      <c r="T16" s="55" cm="1">
        <f t="array" ref="T16">'OPCO Rev Req'!T17*Allocator</f>
        <v>-1791408.3094934148</v>
      </c>
      <c r="U16" s="55" cm="1">
        <f t="array" ref="U16">'OPCO Rev Req'!U17*Allocator</f>
        <v>-1777263.8915949676</v>
      </c>
      <c r="V16" s="55" cm="1">
        <f t="array" ref="V16">'OPCO Rev Req'!V17*Allocator</f>
        <v>-1039528.0647873713</v>
      </c>
      <c r="W16" s="55" cm="1">
        <f t="array" ref="W16">'OPCO Rev Req'!W17*Allocator</f>
        <v>-178989.09869693816</v>
      </c>
      <c r="X16" s="55" cm="1">
        <f t="array" ref="X16">'OPCO Rev Req'!X17*Allocator</f>
        <v>-50120.090894242123</v>
      </c>
      <c r="Y16" s="55" cm="1">
        <f t="array" ref="Y16">'OPCO Rev Req'!Y17*Allocator</f>
        <v>-49935.432690528491</v>
      </c>
      <c r="Z16" s="55" cm="1">
        <f t="array" ref="Z16">'OPCO Rev Req'!Z17*Allocator</f>
        <v>-49762.703615446961</v>
      </c>
      <c r="AA16" s="55" cm="1">
        <f t="array" ref="AA16">'OPCO Rev Req'!AA17*Allocator</f>
        <v>0</v>
      </c>
      <c r="AB16" s="55" cm="1">
        <f t="array" ref="AB16">'OPCO Rev Req'!AB17*Allocator</f>
        <v>0</v>
      </c>
      <c r="AC16" s="55" cm="1">
        <f t="array" ref="AC16">'OPCO Rev Req'!AC17*Allocator</f>
        <v>0</v>
      </c>
      <c r="AD16" s="55" cm="1">
        <f t="array" ref="AD16">'OPCO Rev Req'!AD17*Allocator</f>
        <v>0</v>
      </c>
      <c r="AE16" s="55" cm="1">
        <f t="array" ref="AE16">'OPCO Rev Req'!AE17*Allocator</f>
        <v>0</v>
      </c>
      <c r="AF16" s="55" cm="1">
        <f t="array" ref="AF16">'OPCO Rev Req'!AF17*Allocator</f>
        <v>0</v>
      </c>
      <c r="AG16" s="55" cm="1">
        <f t="array" ref="AG16">'OPCO Rev Req'!AG17*Allocator</f>
        <v>0</v>
      </c>
      <c r="AH16" s="55" cm="1">
        <f t="array" ref="AH16">'OPCO Rev Req'!AH17*Allocator</f>
        <v>0</v>
      </c>
      <c r="AI16" s="55" cm="1">
        <f t="array" ref="AI16">'OPCO Rev Req'!AI17*Allocator</f>
        <v>0</v>
      </c>
      <c r="AJ16" s="55" cm="1">
        <f t="array" ref="AJ16">'OPCO Rev Req'!AJ17*Allocator</f>
        <v>0</v>
      </c>
    </row>
    <row r="17" spans="1:36">
      <c r="A17" s="7" t="str">
        <f>'OPCO Rev Req'!A18</f>
        <v>Deferred FIT</v>
      </c>
      <c r="B17" s="55" cm="1">
        <f t="array" ref="B17">'OPCO Rev Req'!B18*Allocator</f>
        <v>-10827443.317989375</v>
      </c>
      <c r="C17" s="55" cm="1">
        <f t="array" ref="C17">'OPCO Rev Req'!C18*Allocator</f>
        <v>218380.24680623569</v>
      </c>
      <c r="D17" s="55" cm="1">
        <f t="array" ref="D17">'OPCO Rev Req'!D18*Allocator</f>
        <v>240937.08404308188</v>
      </c>
      <c r="E17" s="55" cm="1">
        <f t="array" ref="E17">'OPCO Rev Req'!E18*Allocator</f>
        <v>45876.310789743133</v>
      </c>
      <c r="F17" s="55" cm="1">
        <f t="array" ref="F17">'OPCO Rev Req'!F18*Allocator</f>
        <v>-134968.41483709539</v>
      </c>
      <c r="G17" s="55" cm="1">
        <f t="array" ref="G17">'OPCO Rev Req'!G18*Allocator</f>
        <v>-301943.20564440894</v>
      </c>
      <c r="H17" s="55" cm="1">
        <f t="array" ref="H17">'OPCO Rev Req'!H18*Allocator</f>
        <v>-456686.01412909664</v>
      </c>
      <c r="I17" s="55" cm="1">
        <f t="array" ref="I17">'OPCO Rev Req'!I18*Allocator</f>
        <v>-599485.26763030502</v>
      </c>
      <c r="J17" s="55" cm="1">
        <f t="array" ref="J17">'OPCO Rev Req'!J18*Allocator</f>
        <v>-640253.5788186721</v>
      </c>
      <c r="K17" s="55" cm="1">
        <f t="array" ref="K17">'OPCO Rev Req'!K18*Allocator</f>
        <v>-644042.29738782148</v>
      </c>
      <c r="L17" s="55" cm="1">
        <f t="array" ref="L17">'OPCO Rev Req'!L18*Allocator</f>
        <v>-643772.39235627127</v>
      </c>
      <c r="M17" s="55" cm="1">
        <f t="array" ref="M17">'OPCO Rev Req'!M18*Allocator</f>
        <v>-644042.29738782148</v>
      </c>
      <c r="N17" s="55" cm="1">
        <f t="array" ref="N17">'OPCO Rev Req'!N18*Allocator</f>
        <v>1741485.8945937285</v>
      </c>
      <c r="O17" s="55" cm="1">
        <f t="array" ref="O17">'OPCO Rev Req'!O18*Allocator</f>
        <v>1761976.5340066783</v>
      </c>
      <c r="P17" s="55" cm="1">
        <f t="array" ref="P17">'OPCO Rev Req'!P18*Allocator</f>
        <v>1759002.7909872285</v>
      </c>
      <c r="Q17" s="55" cm="1">
        <f t="array" ref="Q17">'OPCO Rev Req'!Q18*Allocator</f>
        <v>1755740.5907056783</v>
      </c>
      <c r="R17" s="55" cm="1">
        <f t="array" ref="R17">'OPCO Rev Req'!R18*Allocator</f>
        <v>1753233.6457452283</v>
      </c>
      <c r="S17" s="55" cm="1">
        <f t="array" ref="S17">'OPCO Rev Req'!S18*Allocator</f>
        <v>1750402.3359796782</v>
      </c>
      <c r="T17" s="55" cm="1">
        <f t="array" ref="T17">'OPCO Rev Req'!T18*Allocator</f>
        <v>1748296.3585827283</v>
      </c>
      <c r="U17" s="55" cm="1">
        <f t="array" ref="U17">'OPCO Rev Req'!U18*Allocator</f>
        <v>1745836.0934281785</v>
      </c>
      <c r="V17" s="55" cm="1">
        <f t="array" ref="V17">'OPCO Rev Req'!V18*Allocator</f>
        <v>1014892.5189140639</v>
      </c>
      <c r="W17" s="55" cm="1">
        <f t="array" ref="W17">'OPCO Rev Req'!W18*Allocator</f>
        <v>155393.53694811452</v>
      </c>
      <c r="X17" s="55" cm="1">
        <f t="array" ref="X17">'OPCO Rev Req'!X18*Allocator</f>
        <v>26703.242811000004</v>
      </c>
      <c r="Y17" s="55" cm="1">
        <f t="array" ref="Y17">'OPCO Rev Req'!Y18*Allocator</f>
        <v>26697.258220499996</v>
      </c>
      <c r="Z17" s="55" cm="1">
        <f t="array" ref="Z17">'OPCO Rev Req'!Z18*Allocator</f>
        <v>26703.242811000004</v>
      </c>
      <c r="AA17" s="55" cm="1">
        <f t="array" ref="AA17">'OPCO Rev Req'!AA18*Allocator</f>
        <v>0</v>
      </c>
      <c r="AB17" s="55" cm="1">
        <f t="array" ref="AB17">'OPCO Rev Req'!AB18*Allocator</f>
        <v>0</v>
      </c>
      <c r="AC17" s="55" cm="1">
        <f t="array" ref="AC17">'OPCO Rev Req'!AC18*Allocator</f>
        <v>0</v>
      </c>
      <c r="AD17" s="55" cm="1">
        <f t="array" ref="AD17">'OPCO Rev Req'!AD18*Allocator</f>
        <v>0</v>
      </c>
      <c r="AE17" s="55" cm="1">
        <f t="array" ref="AE17">'OPCO Rev Req'!AE18*Allocator</f>
        <v>0</v>
      </c>
      <c r="AF17" s="55" cm="1">
        <f t="array" ref="AF17">'OPCO Rev Req'!AF18*Allocator</f>
        <v>0</v>
      </c>
      <c r="AG17" s="55" cm="1">
        <f t="array" ref="AG17">'OPCO Rev Req'!AG18*Allocator</f>
        <v>0</v>
      </c>
      <c r="AH17" s="55" cm="1">
        <f t="array" ref="AH17">'OPCO Rev Req'!AH18*Allocator</f>
        <v>0</v>
      </c>
      <c r="AI17" s="55" cm="1">
        <f t="array" ref="AI17">'OPCO Rev Req'!AI18*Allocator</f>
        <v>0</v>
      </c>
      <c r="AJ17" s="55" cm="1">
        <f t="array" ref="AJ17">'OPCO Rev Req'!AJ18*Allocator</f>
        <v>0</v>
      </c>
    </row>
    <row r="18" spans="1:36">
      <c r="A18" s="7" t="str">
        <f>'OPCO Rev Req'!A19</f>
        <v>Total Expenses</v>
      </c>
      <c r="B18" s="22" cm="1">
        <f t="array" ref="B18">'OPCO Rev Req'!B19*Allocator</f>
        <v>6295074.3819492124</v>
      </c>
      <c r="C18" s="22" cm="1">
        <f t="array" ref="C18">'OPCO Rev Req'!C19*Allocator</f>
        <v>7991037.2220327007</v>
      </c>
      <c r="D18" s="22" cm="1">
        <f t="array" ref="D18">'OPCO Rev Req'!D19*Allocator</f>
        <v>8072324.6975612026</v>
      </c>
      <c r="E18" s="22" cm="1">
        <f t="array" ref="E18">'OPCO Rev Req'!E19*Allocator</f>
        <v>8151979.0818885807</v>
      </c>
      <c r="F18" s="22" cm="1">
        <f t="array" ref="F18">'OPCO Rev Req'!F19*Allocator</f>
        <v>8230119.3948562248</v>
      </c>
      <c r="G18" s="22" cm="1">
        <f t="array" ref="G18">'OPCO Rev Req'!G19*Allocator</f>
        <v>8306861.7585738497</v>
      </c>
      <c r="H18" s="22" cm="1">
        <f t="array" ref="H18">'OPCO Rev Req'!H19*Allocator</f>
        <v>8382308.5818567742</v>
      </c>
      <c r="I18" s="22" cm="1">
        <f t="array" ref="I18">'OPCO Rev Req'!I19*Allocator</f>
        <v>8456559.8587439302</v>
      </c>
      <c r="J18" s="22" cm="1">
        <f t="array" ref="J18">'OPCO Rev Req'!J19*Allocator</f>
        <v>8530469.8144665267</v>
      </c>
      <c r="K18" s="22" cm="1">
        <f t="array" ref="K18">'OPCO Rev Req'!K19*Allocator</f>
        <v>8604348.0502135698</v>
      </c>
      <c r="L18" s="22" cm="1">
        <f t="array" ref="L18">'OPCO Rev Req'!L19*Allocator</f>
        <v>8678228.5456642155</v>
      </c>
      <c r="M18" s="22" cm="1">
        <f t="array" ref="M18">'OPCO Rev Req'!M19*Allocator</f>
        <v>8752106.7814112585</v>
      </c>
      <c r="N18" s="22" cm="1">
        <f t="array" ref="N18">'OPCO Rev Req'!N19*Allocator</f>
        <v>-142079.90362337814</v>
      </c>
      <c r="O18" s="22" cm="1">
        <f t="array" ref="O18">'OPCO Rev Req'!O19*Allocator</f>
        <v>-127328.25301582343</v>
      </c>
      <c r="P18" s="22" cm="1">
        <f t="array" ref="P18">'OPCO Rev Req'!P19*Allocator</f>
        <v>-112601.49923133734</v>
      </c>
      <c r="Q18" s="22" cm="1">
        <f t="array" ref="Q18">'OPCO Rev Req'!Q19*Allocator</f>
        <v>-97902.057296832092</v>
      </c>
      <c r="R18" s="22" cm="1">
        <f t="array" ref="R18">'OPCO Rev Req'!R19*Allocator</f>
        <v>-83223.604050561087</v>
      </c>
      <c r="S18" s="22" cm="1">
        <f t="array" ref="S18">'OPCO Rev Req'!S19*Allocator</f>
        <v>-68568.855145191541</v>
      </c>
      <c r="T18" s="22" cm="1">
        <f t="array" ref="T18">'OPCO Rev Req'!T19*Allocator</f>
        <v>-53931.737940443214</v>
      </c>
      <c r="U18" s="22" cm="1">
        <f t="array" ref="U18">'OPCO Rev Req'!U19*Allocator</f>
        <v>-39315.218610445037</v>
      </c>
      <c r="V18" s="22" cm="1">
        <f t="array" ref="V18">'OPCO Rev Req'!V19*Allocator</f>
        <v>-30818.317798038828</v>
      </c>
      <c r="W18" s="22" cm="1">
        <f t="array" ref="W18">'OPCO Rev Req'!W19*Allocator</f>
        <v>-29517.329323170736</v>
      </c>
      <c r="X18" s="22" cm="1">
        <f t="array" ref="X18">'OPCO Rev Req'!X19*Allocator</f>
        <v>-29293.763968903055</v>
      </c>
      <c r="Y18" s="22" cm="1">
        <f t="array" ref="Y18">'OPCO Rev Req'!Y19*Allocator</f>
        <v>-29070.248718928113</v>
      </c>
      <c r="Z18" s="22" cm="1">
        <f t="array" ref="Z18">'OPCO Rev Req'!Z19*Allocator</f>
        <v>-28846.683364660406</v>
      </c>
      <c r="AA18" s="22" cm="1">
        <f t="array" ref="AA18">'OPCO Rev Req'!AA19*Allocator</f>
        <v>0</v>
      </c>
      <c r="AB18" s="22" cm="1">
        <f t="array" ref="AB18">'OPCO Rev Req'!AB19*Allocator</f>
        <v>0</v>
      </c>
      <c r="AC18" s="22" cm="1">
        <f t="array" ref="AC18">'OPCO Rev Req'!AC19*Allocator</f>
        <v>0</v>
      </c>
      <c r="AD18" s="22" cm="1">
        <f t="array" ref="AD18">'OPCO Rev Req'!AD19*Allocator</f>
        <v>0</v>
      </c>
      <c r="AE18" s="22" cm="1">
        <f t="array" ref="AE18">'OPCO Rev Req'!AE19*Allocator</f>
        <v>0</v>
      </c>
      <c r="AF18" s="22" cm="1">
        <f t="array" ref="AF18">'OPCO Rev Req'!AF19*Allocator</f>
        <v>0</v>
      </c>
      <c r="AG18" s="22" cm="1">
        <f t="array" ref="AG18">'OPCO Rev Req'!AG19*Allocator</f>
        <v>0</v>
      </c>
      <c r="AH18" s="22" cm="1">
        <f t="array" ref="AH18">'OPCO Rev Req'!AH19*Allocator</f>
        <v>0</v>
      </c>
      <c r="AI18" s="22" cm="1">
        <f t="array" ref="AI18">'OPCO Rev Req'!AI19*Allocator</f>
        <v>0</v>
      </c>
      <c r="AJ18" s="22" cm="1">
        <f t="array" ref="AJ18">'OPCO Rev Req'!AJ19*Allocator</f>
        <v>0</v>
      </c>
    </row>
    <row r="19" spans="1:36">
      <c r="A19" s="7"/>
    </row>
    <row r="20" spans="1:36">
      <c r="A20" s="7" t="str">
        <f>'OPCO Rev Req'!A23</f>
        <v>Rate Base</v>
      </c>
      <c r="B20" s="55" cm="1">
        <f t="array" ref="B20">'OPCO Rev Req'!B23*Allocator</f>
        <v>117327051.92280188</v>
      </c>
      <c r="C20" s="55" cm="1">
        <f t="array" ref="C20">'OPCO Rev Req'!C23*Allocator</f>
        <v>134126364.88316819</v>
      </c>
      <c r="D20" s="55" cm="1">
        <f t="array" ref="D20">'OPCO Rev Req'!D23*Allocator</f>
        <v>121980459.92694931</v>
      </c>
      <c r="E20" s="55" cm="1">
        <f t="array" ref="E20">'OPCO Rev Req'!E23*Allocator</f>
        <v>110078570.05896786</v>
      </c>
      <c r="F20" s="55" cm="1">
        <f t="array" ref="F20">'OPCO Rev Req'!F23*Allocator</f>
        <v>98402911.436485454</v>
      </c>
      <c r="G20" s="55" cm="1">
        <f t="array" ref="G20">'OPCO Rev Req'!G23*Allocator</f>
        <v>86936133.193346977</v>
      </c>
      <c r="H20" s="55" cm="1">
        <f t="array" ref="H20">'OPCO Rev Req'!H23*Allocator</f>
        <v>75662933.492099419</v>
      </c>
      <c r="I20" s="55" cm="1">
        <f t="array" ref="I20">'OPCO Rev Req'!I23*Allocator</f>
        <v>64568371.309109211</v>
      </c>
      <c r="J20" s="55" cm="1">
        <f t="array" ref="J20">'OPCO Rev Req'!J23*Allocator</f>
        <v>53524809.042124696</v>
      </c>
      <c r="K20" s="55" cm="1">
        <f t="array" ref="K20">'OPCO Rev Req'!K23*Allocator</f>
        <v>42485986.346713364</v>
      </c>
      <c r="L20" s="55" cm="1">
        <f t="array" ref="L20">'OPCO Rev Req'!L23*Allocator</f>
        <v>31446826.008325487</v>
      </c>
      <c r="M20" s="55" cm="1">
        <f t="array" ref="M20">'OPCO Rev Req'!M23*Allocator</f>
        <v>20408003.312914155</v>
      </c>
      <c r="N20" s="55" cm="1">
        <f t="array" ref="N20">'OPCO Rev Req'!N23*Allocator</f>
        <v>21229457.482576281</v>
      </c>
      <c r="O20" s="55" cm="1">
        <f t="array" ref="O20">'OPCO Rev Req'!O23*Allocator</f>
        <v>19025278.486220449</v>
      </c>
      <c r="P20" s="55" cm="1">
        <f t="array" ref="P20">'OPCO Rev Req'!P23*Allocator</f>
        <v>16824819.551839072</v>
      </c>
      <c r="Q20" s="55" cm="1">
        <f t="array" ref="Q20">'OPCO Rev Req'!Q23*Allocator</f>
        <v>14628441.530684244</v>
      </c>
      <c r="R20" s="55" cm="1">
        <f t="array" ref="R20">'OPCO Rev Req'!R23*Allocator</f>
        <v>12435199.621344864</v>
      </c>
      <c r="S20" s="55" cm="1">
        <f t="array" ref="S20">'OPCO Rev Req'!S23*Allocator</f>
        <v>10245499.594316037</v>
      </c>
      <c r="T20" s="55" cm="1">
        <f t="array" ref="T20">'OPCO Rev Req'!T23*Allocator</f>
        <v>8058434.080889158</v>
      </c>
      <c r="U20" s="55" cm="1">
        <f t="array" ref="U20">'OPCO Rev Req'!U23*Allocator</f>
        <v>5874446.2842618283</v>
      </c>
      <c r="V20" s="55" cm="1">
        <f t="array" ref="V20">'OPCO Rev Req'!V23*Allocator</f>
        <v>4604846.6439861646</v>
      </c>
      <c r="W20" s="55" cm="1">
        <f t="array" ref="W20">'OPCO Rev Req'!W23*Allocator</f>
        <v>4410454.0606005015</v>
      </c>
      <c r="X20" s="55" cm="1">
        <f t="array" ref="X20">'OPCO Rev Req'!X23*Allocator</f>
        <v>4377049.1168895001</v>
      </c>
      <c r="Y20" s="55" cm="1">
        <f t="array" ref="Y20">'OPCO Rev Req'!Y23*Allocator</f>
        <v>4343651.6597190006</v>
      </c>
      <c r="Z20" s="55" cm="1">
        <f t="array" ref="Z20">'OPCO Rev Req'!Z23*Allocator</f>
        <v>4310246.7160080001</v>
      </c>
      <c r="AA20" s="55" cm="1">
        <f t="array" ref="AA20">'OPCO Rev Req'!AA23*Allocator</f>
        <v>0</v>
      </c>
      <c r="AB20" s="55" cm="1">
        <f t="array" ref="AB20">'OPCO Rev Req'!AB23*Allocator</f>
        <v>0</v>
      </c>
      <c r="AC20" s="55" cm="1">
        <f t="array" ref="AC20">'OPCO Rev Req'!AC23*Allocator</f>
        <v>0</v>
      </c>
      <c r="AD20" s="55" cm="1">
        <f t="array" ref="AD20">'OPCO Rev Req'!AD23*Allocator</f>
        <v>0</v>
      </c>
      <c r="AE20" s="55" cm="1">
        <f t="array" ref="AE20">'OPCO Rev Req'!AE23*Allocator</f>
        <v>0</v>
      </c>
      <c r="AF20" s="55" cm="1">
        <f t="array" ref="AF20">'OPCO Rev Req'!AF23*Allocator</f>
        <v>0</v>
      </c>
      <c r="AG20" s="55" cm="1">
        <f t="array" ref="AG20">'OPCO Rev Req'!AG23*Allocator</f>
        <v>0</v>
      </c>
      <c r="AH20" s="55" cm="1">
        <f t="array" ref="AH20">'OPCO Rev Req'!AH23*Allocator</f>
        <v>0</v>
      </c>
      <c r="AI20" s="55" cm="1">
        <f t="array" ref="AI20">'OPCO Rev Req'!AI23*Allocator</f>
        <v>0</v>
      </c>
      <c r="AJ20" s="55" cm="1">
        <f t="array" ref="AJ20">'OPCO Rev Req'!AJ23*Allocator</f>
        <v>0</v>
      </c>
    </row>
    <row r="21" spans="1:36">
      <c r="A21" s="7" t="str">
        <f>'OPCO Rev Req'!A24</f>
        <v>Return on Rate Base</v>
      </c>
      <c r="B21" s="55" cm="1">
        <f t="array" ref="B21">'OPCO Rev Req'!B24*Allocator</f>
        <v>8158218.7523569213</v>
      </c>
      <c r="C21" s="55" cm="1">
        <f t="array" ref="C21">'OPCO Rev Req'!C24*Allocator</f>
        <v>9326342.1115814429</v>
      </c>
      <c r="D21" s="55" cm="1">
        <f t="array" ref="D21">'OPCO Rev Req'!D24*Allocator</f>
        <v>8481788.805636555</v>
      </c>
      <c r="E21" s="55" cm="1">
        <f t="array" ref="E21">'OPCO Rev Req'!E24*Allocator</f>
        <v>7654202.8438471016</v>
      </c>
      <c r="F21" s="55" cm="1">
        <f t="array" ref="F21">'OPCO Rev Req'!F24*Allocator</f>
        <v>6842347.6445642682</v>
      </c>
      <c r="G21" s="55" cm="1">
        <f t="array" ref="G21">'OPCO Rev Req'!G24*Allocator</f>
        <v>6045016.7327312222</v>
      </c>
      <c r="H21" s="55" cm="1">
        <f t="array" ref="H21">'OPCO Rev Req'!H24*Allocator</f>
        <v>5261146.1104445942</v>
      </c>
      <c r="I21" s="55" cm="1">
        <f t="array" ref="I21">'OPCO Rev Req'!I24*Allocator</f>
        <v>4489696.8686276674</v>
      </c>
      <c r="J21" s="55" cm="1">
        <f t="array" ref="J21">'OPCO Rev Req'!J24*Allocator</f>
        <v>3721793.8547633542</v>
      </c>
      <c r="K21" s="55" cm="1">
        <f t="array" ref="K21">'OPCO Rev Req'!K24*Allocator</f>
        <v>2954220.4022495798</v>
      </c>
      <c r="L21" s="55" cm="1">
        <f t="array" ref="L21">'OPCO Rev Req'!L24*Allocator</f>
        <v>2186623.4720704444</v>
      </c>
      <c r="M21" s="55" cm="1">
        <f t="array" ref="M21">'OPCO Rev Req'!M24*Allocator</f>
        <v>1419050.01955667</v>
      </c>
      <c r="N21" s="55" cm="1">
        <f t="array" ref="N21">'OPCO Rev Req'!N24*Allocator</f>
        <v>1476169.0104569853</v>
      </c>
      <c r="O21" s="55" cm="1">
        <f t="array" ref="O21">'OPCO Rev Req'!O24*Allocator</f>
        <v>1322903.6370676223</v>
      </c>
      <c r="P21" s="55" cm="1">
        <f t="array" ref="P21">'OPCO Rev Req'!P24*Allocator</f>
        <v>1169896.9344524972</v>
      </c>
      <c r="Q21" s="55" cm="1">
        <f t="array" ref="Q21">'OPCO Rev Req'!Q24*Allocator</f>
        <v>1017173.9940411092</v>
      </c>
      <c r="R21" s="55" cm="1">
        <f t="array" ref="R21">'OPCO Rev Req'!R24*Allocator</f>
        <v>864669.12001597206</v>
      </c>
      <c r="S21" s="55" cm="1">
        <f t="array" ref="S21">'OPCO Rev Req'!S24*Allocator</f>
        <v>712410.52722104604</v>
      </c>
      <c r="T21" s="55" cm="1">
        <f t="array" ref="T21">'OPCO Rev Req'!T24*Allocator</f>
        <v>560335.12268422858</v>
      </c>
      <c r="U21" s="55" cm="1">
        <f t="array" ref="U21">'OPCO Rev Req'!U24*Allocator</f>
        <v>408473.7240948634</v>
      </c>
      <c r="V21" s="55" cm="1">
        <f t="array" ref="V21">'OPCO Rev Req'!V24*Allocator</f>
        <v>320193.38785921334</v>
      </c>
      <c r="W21" s="55" cm="1">
        <f t="array" ref="W21">'OPCO Rev Req'!W24*Allocator</f>
        <v>306676.49475480377</v>
      </c>
      <c r="X21" s="55" cm="1">
        <f t="array" ref="X21">'OPCO Rev Req'!X24*Allocator</f>
        <v>304353.71553434036</v>
      </c>
      <c r="Y21" s="55" cm="1">
        <f t="array" ref="Y21">'OPCO Rev Req'!Y24*Allocator</f>
        <v>302031.45688295376</v>
      </c>
      <c r="Z21" s="55" cm="1">
        <f t="array" ref="Z21">'OPCO Rev Req'!Z24*Allocator</f>
        <v>299708.6776624904</v>
      </c>
      <c r="AA21" s="55" cm="1">
        <f t="array" ref="AA21">'OPCO Rev Req'!AA24*Allocator</f>
        <v>0</v>
      </c>
      <c r="AB21" s="55" cm="1">
        <f t="array" ref="AB21">'OPCO Rev Req'!AB24*Allocator</f>
        <v>0</v>
      </c>
      <c r="AC21" s="55" cm="1">
        <f t="array" ref="AC21">'OPCO Rev Req'!AC24*Allocator</f>
        <v>0</v>
      </c>
      <c r="AD21" s="55" cm="1">
        <f t="array" ref="AD21">'OPCO Rev Req'!AD24*Allocator</f>
        <v>0</v>
      </c>
      <c r="AE21" s="55" cm="1">
        <f t="array" ref="AE21">'OPCO Rev Req'!AE24*Allocator</f>
        <v>0</v>
      </c>
      <c r="AF21" s="55" cm="1">
        <f t="array" ref="AF21">'OPCO Rev Req'!AF24*Allocator</f>
        <v>0</v>
      </c>
      <c r="AG21" s="55" cm="1">
        <f t="array" ref="AG21">'OPCO Rev Req'!AG24*Allocator</f>
        <v>0</v>
      </c>
      <c r="AH21" s="55" cm="1">
        <f t="array" ref="AH21">'OPCO Rev Req'!AH24*Allocator</f>
        <v>0</v>
      </c>
      <c r="AI21" s="55" cm="1">
        <f t="array" ref="AI21">'OPCO Rev Req'!AI24*Allocator</f>
        <v>0</v>
      </c>
      <c r="AJ21" s="55" cm="1">
        <f t="array" ref="AJ21">'OPCO Rev Req'!AJ24*Allocator</f>
        <v>0</v>
      </c>
    </row>
    <row r="22" spans="1:36">
      <c r="A22" s="7"/>
    </row>
    <row r="23" spans="1:36">
      <c r="A23" s="7" t="str">
        <f>'OPCO Rev Req'!A26</f>
        <v>Operating Income Deficiency</v>
      </c>
      <c r="B23" s="55">
        <f t="shared" ref="B23:U23" si="0">B21+B18</f>
        <v>14453293.134306133</v>
      </c>
      <c r="C23" s="55">
        <f t="shared" si="0"/>
        <v>17317379.333614144</v>
      </c>
      <c r="D23" s="55">
        <f t="shared" si="0"/>
        <v>16554113.503197758</v>
      </c>
      <c r="E23" s="55">
        <f t="shared" si="0"/>
        <v>15806181.925735682</v>
      </c>
      <c r="F23" s="55">
        <f t="shared" si="0"/>
        <v>15072467.039420493</v>
      </c>
      <c r="G23" s="55">
        <f t="shared" si="0"/>
        <v>14351878.491305072</v>
      </c>
      <c r="H23" s="55">
        <f t="shared" si="0"/>
        <v>13643454.692301368</v>
      </c>
      <c r="I23" s="55">
        <f t="shared" si="0"/>
        <v>12946256.727371598</v>
      </c>
      <c r="J23" s="55">
        <f t="shared" si="0"/>
        <v>12252263.66922988</v>
      </c>
      <c r="K23" s="55">
        <f t="shared" si="0"/>
        <v>11558568.45246315</v>
      </c>
      <c r="L23" s="55">
        <f t="shared" si="0"/>
        <v>10864852.01773466</v>
      </c>
      <c r="M23" s="55">
        <f t="shared" si="0"/>
        <v>10171156.800967928</v>
      </c>
      <c r="N23" s="55">
        <f t="shared" si="0"/>
        <v>1334089.1068336072</v>
      </c>
      <c r="O23" s="55">
        <f t="shared" si="0"/>
        <v>1195575.3840517988</v>
      </c>
      <c r="P23" s="55">
        <f t="shared" si="0"/>
        <v>1057295.4352211598</v>
      </c>
      <c r="Q23" s="55">
        <f t="shared" si="0"/>
        <v>919271.93674427713</v>
      </c>
      <c r="R23" s="55">
        <f t="shared" si="0"/>
        <v>781445.51596541097</v>
      </c>
      <c r="S23" s="55">
        <f t="shared" si="0"/>
        <v>643841.6720758545</v>
      </c>
      <c r="T23" s="55">
        <f t="shared" si="0"/>
        <v>506403.38474378537</v>
      </c>
      <c r="U23" s="55">
        <f t="shared" si="0"/>
        <v>369158.50548441836</v>
      </c>
      <c r="V23" s="55">
        <f t="shared" ref="V23:AJ23" si="1">V21+V18</f>
        <v>289375.07006117451</v>
      </c>
      <c r="W23" s="55">
        <f t="shared" si="1"/>
        <v>277159.16543163301</v>
      </c>
      <c r="X23" s="55">
        <f t="shared" si="1"/>
        <v>275059.95156543731</v>
      </c>
      <c r="Y23" s="55">
        <f t="shared" si="1"/>
        <v>272961.20816402562</v>
      </c>
      <c r="Z23" s="55">
        <f t="shared" si="1"/>
        <v>270861.99429782998</v>
      </c>
      <c r="AA23" s="55">
        <f t="shared" si="1"/>
        <v>0</v>
      </c>
      <c r="AB23" s="55">
        <f t="shared" si="1"/>
        <v>0</v>
      </c>
      <c r="AC23" s="55">
        <f t="shared" si="1"/>
        <v>0</v>
      </c>
      <c r="AD23" s="55">
        <f t="shared" si="1"/>
        <v>0</v>
      </c>
      <c r="AE23" s="55">
        <f t="shared" si="1"/>
        <v>0</v>
      </c>
      <c r="AF23" s="55">
        <f t="shared" si="1"/>
        <v>0</v>
      </c>
      <c r="AG23" s="55">
        <f t="shared" si="1"/>
        <v>0</v>
      </c>
      <c r="AH23" s="55">
        <f t="shared" si="1"/>
        <v>0</v>
      </c>
      <c r="AI23" s="55">
        <f t="shared" si="1"/>
        <v>0</v>
      </c>
      <c r="AJ23" s="55">
        <f t="shared" si="1"/>
        <v>0</v>
      </c>
    </row>
    <row r="24" spans="1:36">
      <c r="A24" s="7" t="str">
        <f>'OPCO Rev Req'!A27</f>
        <v>Gross Up Factor</v>
      </c>
      <c r="B24" s="106">
        <f t="shared" ref="B24:AJ24" si="2">GRCF</f>
        <v>1.3258945200000001</v>
      </c>
      <c r="C24" s="106">
        <f t="shared" si="2"/>
        <v>1.3258945200000001</v>
      </c>
      <c r="D24" s="106">
        <f t="shared" si="2"/>
        <v>1.3258945200000001</v>
      </c>
      <c r="E24" s="106">
        <f t="shared" si="2"/>
        <v>1.3258945200000001</v>
      </c>
      <c r="F24" s="106">
        <f t="shared" si="2"/>
        <v>1.3258945200000001</v>
      </c>
      <c r="G24" s="106">
        <f t="shared" si="2"/>
        <v>1.3258945200000001</v>
      </c>
      <c r="H24" s="106">
        <f t="shared" si="2"/>
        <v>1.3258945200000001</v>
      </c>
      <c r="I24" s="106">
        <f t="shared" si="2"/>
        <v>1.3258945200000001</v>
      </c>
      <c r="J24" s="106">
        <f t="shared" si="2"/>
        <v>1.3258945200000001</v>
      </c>
      <c r="K24" s="106">
        <f t="shared" si="2"/>
        <v>1.3258945200000001</v>
      </c>
      <c r="L24" s="106">
        <f t="shared" si="2"/>
        <v>1.3258945200000001</v>
      </c>
      <c r="M24" s="106">
        <f t="shared" si="2"/>
        <v>1.3258945200000001</v>
      </c>
      <c r="N24" s="106">
        <f t="shared" si="2"/>
        <v>1.3258945200000001</v>
      </c>
      <c r="O24" s="106">
        <f t="shared" si="2"/>
        <v>1.3258945200000001</v>
      </c>
      <c r="P24" s="106">
        <f t="shared" si="2"/>
        <v>1.3258945200000001</v>
      </c>
      <c r="Q24" s="106">
        <f t="shared" si="2"/>
        <v>1.3258945200000001</v>
      </c>
      <c r="R24" s="106">
        <f t="shared" si="2"/>
        <v>1.3258945200000001</v>
      </c>
      <c r="S24" s="106">
        <f t="shared" si="2"/>
        <v>1.3258945200000001</v>
      </c>
      <c r="T24" s="106">
        <f t="shared" si="2"/>
        <v>1.3258945200000001</v>
      </c>
      <c r="U24" s="106">
        <f t="shared" si="2"/>
        <v>1.3258945200000001</v>
      </c>
      <c r="V24" s="106">
        <f t="shared" si="2"/>
        <v>1.3258945200000001</v>
      </c>
      <c r="W24" s="106">
        <f t="shared" si="2"/>
        <v>1.3258945200000001</v>
      </c>
      <c r="X24" s="106">
        <f t="shared" si="2"/>
        <v>1.3258945200000001</v>
      </c>
      <c r="Y24" s="106">
        <f t="shared" si="2"/>
        <v>1.3258945200000001</v>
      </c>
      <c r="Z24" s="106">
        <f t="shared" si="2"/>
        <v>1.3258945200000001</v>
      </c>
      <c r="AA24" s="106">
        <f t="shared" si="2"/>
        <v>1.3258945200000001</v>
      </c>
      <c r="AB24" s="106">
        <f t="shared" si="2"/>
        <v>1.3258945200000001</v>
      </c>
      <c r="AC24" s="106">
        <f t="shared" si="2"/>
        <v>1.3258945200000001</v>
      </c>
      <c r="AD24" s="106">
        <f t="shared" si="2"/>
        <v>1.3258945200000001</v>
      </c>
      <c r="AE24" s="106">
        <f t="shared" si="2"/>
        <v>1.3258945200000001</v>
      </c>
      <c r="AF24" s="106">
        <f t="shared" si="2"/>
        <v>1.3258945200000001</v>
      </c>
      <c r="AG24" s="106">
        <f t="shared" si="2"/>
        <v>1.3258945200000001</v>
      </c>
      <c r="AH24" s="106">
        <f t="shared" si="2"/>
        <v>1.3258945200000001</v>
      </c>
      <c r="AI24" s="106">
        <f t="shared" si="2"/>
        <v>1.3258945200000001</v>
      </c>
      <c r="AJ24" s="106">
        <f t="shared" si="2"/>
        <v>1.3258945200000001</v>
      </c>
    </row>
    <row r="25" spans="1:36" s="84" customFormat="1">
      <c r="A25" s="111" t="str">
        <f>'OPCO Rev Req'!A28</f>
        <v>Revenue Requirement</v>
      </c>
      <c r="B25" s="112">
        <f t="shared" ref="B25:U25" si="3">B23*B24</f>
        <v>19163542.162730128</v>
      </c>
      <c r="C25" s="112">
        <f t="shared" si="3"/>
        <v>22961018.359200247</v>
      </c>
      <c r="D25" s="112">
        <f t="shared" si="3"/>
        <v>21949008.377347909</v>
      </c>
      <c r="E25" s="112">
        <f t="shared" si="3"/>
        <v>20957329.997455988</v>
      </c>
      <c r="F25" s="112">
        <f t="shared" si="3"/>
        <v>19984501.450448256</v>
      </c>
      <c r="G25" s="112">
        <f>G23*G24</f>
        <v>19029077.043327264</v>
      </c>
      <c r="H25" s="112">
        <f t="shared" si="3"/>
        <v>18089781.81039067</v>
      </c>
      <c r="I25" s="112">
        <f t="shared" si="3"/>
        <v>17165370.849335138</v>
      </c>
      <c r="J25" s="112">
        <f t="shared" si="3"/>
        <v>16245209.256626992</v>
      </c>
      <c r="K25" s="112">
        <f t="shared" si="3"/>
        <v>15325442.570165772</v>
      </c>
      <c r="L25" s="112">
        <f t="shared" si="3"/>
        <v>14405647.750925329</v>
      </c>
      <c r="M25" s="112">
        <f t="shared" si="3"/>
        <v>13485881.064464107</v>
      </c>
      <c r="N25" s="112">
        <f t="shared" si="3"/>
        <v>1768861.4359423744</v>
      </c>
      <c r="O25" s="112">
        <f t="shared" si="3"/>
        <v>1585206.8499611756</v>
      </c>
      <c r="P25" s="112">
        <f t="shared" si="3"/>
        <v>1401862.2235807509</v>
      </c>
      <c r="Q25" s="112">
        <f t="shared" si="3"/>
        <v>1218857.6233190238</v>
      </c>
      <c r="R25" s="112">
        <f t="shared" si="3"/>
        <v>1036114.3272971109</v>
      </c>
      <c r="S25" s="112">
        <f t="shared" si="3"/>
        <v>853666.14475301257</v>
      </c>
      <c r="T25" s="112">
        <f t="shared" si="3"/>
        <v>671437.47274123668</v>
      </c>
      <c r="U25" s="112">
        <f t="shared" si="3"/>
        <v>489465.23943318031</v>
      </c>
      <c r="V25" s="112">
        <f t="shared" ref="V25:AJ25" si="4">V23*V24</f>
        <v>383680.81961872737</v>
      </c>
      <c r="W25" s="112">
        <f t="shared" si="4"/>
        <v>367483.81861357566</v>
      </c>
      <c r="X25" s="112">
        <f t="shared" si="4"/>
        <v>364700.48245207878</v>
      </c>
      <c r="Y25" s="112">
        <f t="shared" si="4"/>
        <v>361917.77007726085</v>
      </c>
      <c r="Z25" s="112">
        <f t="shared" si="4"/>
        <v>359134.43391576404</v>
      </c>
      <c r="AA25" s="112">
        <f t="shared" si="4"/>
        <v>0</v>
      </c>
      <c r="AB25" s="112">
        <f t="shared" si="4"/>
        <v>0</v>
      </c>
      <c r="AC25" s="112">
        <f t="shared" si="4"/>
        <v>0</v>
      </c>
      <c r="AD25" s="112">
        <f t="shared" si="4"/>
        <v>0</v>
      </c>
      <c r="AE25" s="112">
        <f t="shared" si="4"/>
        <v>0</v>
      </c>
      <c r="AF25" s="112">
        <f t="shared" si="4"/>
        <v>0</v>
      </c>
      <c r="AG25" s="112">
        <f t="shared" si="4"/>
        <v>0</v>
      </c>
      <c r="AH25" s="112">
        <f t="shared" si="4"/>
        <v>0</v>
      </c>
      <c r="AI25" s="112">
        <f t="shared" si="4"/>
        <v>0</v>
      </c>
      <c r="AJ25" s="112">
        <f t="shared" si="4"/>
        <v>0</v>
      </c>
    </row>
    <row r="26" spans="1:36" s="39" customFormat="1">
      <c r="A26" s="7"/>
    </row>
    <row r="27" spans="1:36">
      <c r="A27" s="84" t="s">
        <v>112</v>
      </c>
    </row>
    <row r="28" spans="1:36">
      <c r="A28" s="107" t="s">
        <v>66</v>
      </c>
      <c r="B28" s="100">
        <f>B25</f>
        <v>19163542.162730128</v>
      </c>
      <c r="C28" s="100">
        <f t="shared" ref="C28:U28" si="5">C25</f>
        <v>22961018.359200247</v>
      </c>
      <c r="D28" s="100">
        <f t="shared" si="5"/>
        <v>21949008.377347909</v>
      </c>
      <c r="E28" s="100">
        <f t="shared" si="5"/>
        <v>20957329.997455988</v>
      </c>
      <c r="F28" s="100">
        <f t="shared" si="5"/>
        <v>19984501.450448256</v>
      </c>
      <c r="G28" s="100">
        <f t="shared" si="5"/>
        <v>19029077.043327264</v>
      </c>
      <c r="H28" s="100">
        <f t="shared" si="5"/>
        <v>18089781.81039067</v>
      </c>
      <c r="I28" s="100">
        <f t="shared" si="5"/>
        <v>17165370.849335138</v>
      </c>
      <c r="J28" s="100">
        <f t="shared" si="5"/>
        <v>16245209.256626992</v>
      </c>
      <c r="K28" s="100">
        <f t="shared" si="5"/>
        <v>15325442.570165772</v>
      </c>
      <c r="L28" s="100">
        <f t="shared" si="5"/>
        <v>14405647.750925329</v>
      </c>
      <c r="M28" s="100">
        <f t="shared" si="5"/>
        <v>13485881.064464107</v>
      </c>
      <c r="N28" s="100">
        <f t="shared" si="5"/>
        <v>1768861.4359423744</v>
      </c>
      <c r="O28" s="100">
        <f t="shared" si="5"/>
        <v>1585206.8499611756</v>
      </c>
      <c r="P28" s="100">
        <f t="shared" si="5"/>
        <v>1401862.2235807509</v>
      </c>
      <c r="Q28" s="100">
        <f t="shared" si="5"/>
        <v>1218857.6233190238</v>
      </c>
      <c r="R28" s="100">
        <f t="shared" si="5"/>
        <v>1036114.3272971109</v>
      </c>
      <c r="S28" s="100">
        <f t="shared" si="5"/>
        <v>853666.14475301257</v>
      </c>
      <c r="T28" s="100">
        <f t="shared" si="5"/>
        <v>671437.47274123668</v>
      </c>
      <c r="U28" s="100">
        <f t="shared" si="5"/>
        <v>489465.23943318031</v>
      </c>
      <c r="V28" s="100">
        <f t="shared" ref="V28:AJ28" si="6">V25</f>
        <v>383680.81961872737</v>
      </c>
      <c r="W28" s="100">
        <f t="shared" si="6"/>
        <v>367483.81861357566</v>
      </c>
      <c r="X28" s="100">
        <f t="shared" si="6"/>
        <v>364700.48245207878</v>
      </c>
      <c r="Y28" s="100">
        <f t="shared" si="6"/>
        <v>361917.77007726085</v>
      </c>
      <c r="Z28" s="100">
        <f t="shared" si="6"/>
        <v>359134.43391576404</v>
      </c>
      <c r="AA28" s="100">
        <f t="shared" si="6"/>
        <v>0</v>
      </c>
      <c r="AB28" s="100">
        <f t="shared" si="6"/>
        <v>0</v>
      </c>
      <c r="AC28" s="100">
        <f t="shared" si="6"/>
        <v>0</v>
      </c>
      <c r="AD28" s="100">
        <f t="shared" si="6"/>
        <v>0</v>
      </c>
      <c r="AE28" s="100">
        <f t="shared" si="6"/>
        <v>0</v>
      </c>
      <c r="AF28" s="100">
        <f t="shared" si="6"/>
        <v>0</v>
      </c>
      <c r="AG28" s="100">
        <f t="shared" si="6"/>
        <v>0</v>
      </c>
      <c r="AH28" s="100">
        <f t="shared" si="6"/>
        <v>0</v>
      </c>
      <c r="AI28" s="100">
        <f t="shared" si="6"/>
        <v>0</v>
      </c>
      <c r="AJ28" s="100">
        <f t="shared" si="6"/>
        <v>0</v>
      </c>
    </row>
    <row r="29" spans="1:36">
      <c r="A29" s="1" t="s">
        <v>104</v>
      </c>
      <c r="B29" s="3">
        <f t="shared" ref="B29:U29" si="7">B12+B13</f>
        <v>9434750</v>
      </c>
      <c r="C29" s="3">
        <f t="shared" si="7"/>
        <v>11844500</v>
      </c>
      <c r="D29" s="3">
        <f t="shared" si="7"/>
        <v>11844500</v>
      </c>
      <c r="E29" s="3">
        <f t="shared" si="7"/>
        <v>11844500</v>
      </c>
      <c r="F29" s="3">
        <f t="shared" si="7"/>
        <v>11844500</v>
      </c>
      <c r="G29" s="3">
        <f t="shared" si="7"/>
        <v>11844500</v>
      </c>
      <c r="H29" s="3">
        <f t="shared" si="7"/>
        <v>11844500</v>
      </c>
      <c r="I29" s="3">
        <f t="shared" si="7"/>
        <v>11844500</v>
      </c>
      <c r="J29" s="3">
        <f t="shared" si="7"/>
        <v>11844500</v>
      </c>
      <c r="K29" s="3">
        <f t="shared" si="7"/>
        <v>11844500</v>
      </c>
      <c r="L29" s="3">
        <f t="shared" si="7"/>
        <v>11844500</v>
      </c>
      <c r="M29" s="3">
        <f t="shared" si="7"/>
        <v>11844500</v>
      </c>
      <c r="N29" s="3">
        <f t="shared" si="7"/>
        <v>0</v>
      </c>
      <c r="O29" s="3">
        <f t="shared" si="7"/>
        <v>0</v>
      </c>
      <c r="P29" s="3">
        <f t="shared" si="7"/>
        <v>0</v>
      </c>
      <c r="Q29" s="3">
        <f t="shared" si="7"/>
        <v>0</v>
      </c>
      <c r="R29" s="3">
        <f t="shared" si="7"/>
        <v>0</v>
      </c>
      <c r="S29" s="3">
        <f t="shared" si="7"/>
        <v>0</v>
      </c>
      <c r="T29" s="3">
        <f t="shared" si="7"/>
        <v>0</v>
      </c>
      <c r="U29" s="3">
        <f t="shared" si="7"/>
        <v>0</v>
      </c>
      <c r="V29" s="3">
        <f t="shared" ref="V29:AJ29" si="8">V12+V13</f>
        <v>0</v>
      </c>
      <c r="W29" s="3">
        <f t="shared" si="8"/>
        <v>0</v>
      </c>
      <c r="X29" s="3">
        <f t="shared" si="8"/>
        <v>0</v>
      </c>
      <c r="Y29" s="3">
        <f t="shared" si="8"/>
        <v>0</v>
      </c>
      <c r="Z29" s="3">
        <f t="shared" si="8"/>
        <v>0</v>
      </c>
      <c r="AA29" s="3">
        <f t="shared" si="8"/>
        <v>0</v>
      </c>
      <c r="AB29" s="3">
        <f t="shared" si="8"/>
        <v>0</v>
      </c>
      <c r="AC29" s="3">
        <f t="shared" si="8"/>
        <v>0</v>
      </c>
      <c r="AD29" s="3">
        <f t="shared" si="8"/>
        <v>0</v>
      </c>
      <c r="AE29" s="3">
        <f t="shared" si="8"/>
        <v>0</v>
      </c>
      <c r="AF29" s="3">
        <f t="shared" si="8"/>
        <v>0</v>
      </c>
      <c r="AG29" s="3">
        <f t="shared" si="8"/>
        <v>0</v>
      </c>
      <c r="AH29" s="3">
        <f t="shared" si="8"/>
        <v>0</v>
      </c>
      <c r="AI29" s="3">
        <f t="shared" si="8"/>
        <v>0</v>
      </c>
      <c r="AJ29" s="3">
        <f t="shared" si="8"/>
        <v>0</v>
      </c>
    </row>
    <row r="30" spans="1:36">
      <c r="A30" s="1" t="s">
        <v>67</v>
      </c>
      <c r="B30" s="38">
        <f t="shared" ref="B30:U30" si="9">(B25-B23)+B14+B16+B15+B17</f>
        <v>1570573.4103732072</v>
      </c>
      <c r="C30" s="38">
        <f t="shared" si="9"/>
        <v>1790176.2476188028</v>
      </c>
      <c r="D30" s="38">
        <f t="shared" si="9"/>
        <v>1622719.5717113537</v>
      </c>
      <c r="E30" s="38">
        <f t="shared" si="9"/>
        <v>1458627.1536088861</v>
      </c>
      <c r="F30" s="38">
        <f t="shared" si="9"/>
        <v>1297653.8058839864</v>
      </c>
      <c r="G30" s="38">
        <f t="shared" si="9"/>
        <v>1139560.3105960423</v>
      </c>
      <c r="H30" s="38">
        <f t="shared" si="9"/>
        <v>984135.69994607847</v>
      </c>
      <c r="I30" s="38">
        <f t="shared" si="9"/>
        <v>831173.98070747044</v>
      </c>
      <c r="J30" s="38">
        <f t="shared" si="9"/>
        <v>678915.40186363761</v>
      </c>
      <c r="K30" s="38">
        <f t="shared" si="9"/>
        <v>526722.16791619116</v>
      </c>
      <c r="L30" s="38">
        <f t="shared" si="9"/>
        <v>374524.27885488479</v>
      </c>
      <c r="M30" s="38">
        <f t="shared" si="9"/>
        <v>222331.0449074381</v>
      </c>
      <c r="N30" s="38">
        <f t="shared" si="9"/>
        <v>292692.42548538907</v>
      </c>
      <c r="O30" s="38">
        <f t="shared" si="9"/>
        <v>262303.21289355331</v>
      </c>
      <c r="P30" s="38">
        <f t="shared" si="9"/>
        <v>231965.2891282537</v>
      </c>
      <c r="Q30" s="38">
        <f t="shared" si="9"/>
        <v>201683.62927791453</v>
      </c>
      <c r="R30" s="38">
        <f t="shared" si="9"/>
        <v>171445.20728113875</v>
      </c>
      <c r="S30" s="38">
        <f t="shared" si="9"/>
        <v>141255.61753196642</v>
      </c>
      <c r="T30" s="38">
        <f t="shared" si="9"/>
        <v>111102.35005700798</v>
      </c>
      <c r="U30" s="38">
        <f t="shared" si="9"/>
        <v>80991.515338316793</v>
      </c>
      <c r="V30" s="38">
        <f t="shared" ref="V30:AJ30" si="10">(V25-V23)+V14+V16+V15+V17</f>
        <v>63487.431759514147</v>
      </c>
      <c r="W30" s="38">
        <f t="shared" si="10"/>
        <v>60807.32385877191</v>
      </c>
      <c r="X30" s="38">
        <f t="shared" si="10"/>
        <v>60346.766917738416</v>
      </c>
      <c r="Y30" s="38">
        <f t="shared" si="10"/>
        <v>59886.313194307106</v>
      </c>
      <c r="Z30" s="38">
        <f t="shared" si="10"/>
        <v>59425.756253273648</v>
      </c>
      <c r="AA30" s="38">
        <f t="shared" si="10"/>
        <v>0</v>
      </c>
      <c r="AB30" s="38">
        <f t="shared" si="10"/>
        <v>0</v>
      </c>
      <c r="AC30" s="38">
        <f t="shared" si="10"/>
        <v>0</v>
      </c>
      <c r="AD30" s="38">
        <f t="shared" si="10"/>
        <v>0</v>
      </c>
      <c r="AE30" s="38">
        <f t="shared" si="10"/>
        <v>0</v>
      </c>
      <c r="AF30" s="38">
        <f t="shared" si="10"/>
        <v>0</v>
      </c>
      <c r="AG30" s="38">
        <f t="shared" si="10"/>
        <v>0</v>
      </c>
      <c r="AH30" s="38">
        <f t="shared" si="10"/>
        <v>0</v>
      </c>
      <c r="AI30" s="38">
        <f t="shared" si="10"/>
        <v>0</v>
      </c>
      <c r="AJ30" s="38">
        <f t="shared" si="10"/>
        <v>0</v>
      </c>
    </row>
    <row r="31" spans="1:36">
      <c r="A31" s="45" t="s">
        <v>7</v>
      </c>
      <c r="B31" s="46">
        <f>B29+B30</f>
        <v>11005323.410373207</v>
      </c>
      <c r="C31" s="46">
        <f t="shared" ref="C31:U31" si="11">C29+C30</f>
        <v>13634676.247618802</v>
      </c>
      <c r="D31" s="46">
        <f t="shared" si="11"/>
        <v>13467219.571711354</v>
      </c>
      <c r="E31" s="46">
        <f t="shared" si="11"/>
        <v>13303127.153608887</v>
      </c>
      <c r="F31" s="46">
        <f t="shared" si="11"/>
        <v>13142153.805883987</v>
      </c>
      <c r="G31" s="46">
        <f t="shared" si="11"/>
        <v>12984060.310596041</v>
      </c>
      <c r="H31" s="46">
        <f t="shared" si="11"/>
        <v>12828635.699946079</v>
      </c>
      <c r="I31" s="46">
        <f t="shared" si="11"/>
        <v>12675673.98070747</v>
      </c>
      <c r="J31" s="46">
        <f t="shared" si="11"/>
        <v>12523415.401863638</v>
      </c>
      <c r="K31" s="46">
        <f t="shared" si="11"/>
        <v>12371222.167916192</v>
      </c>
      <c r="L31" s="46">
        <f t="shared" si="11"/>
        <v>12219024.278854884</v>
      </c>
      <c r="M31" s="46">
        <f t="shared" si="11"/>
        <v>12066831.044907438</v>
      </c>
      <c r="N31" s="46">
        <f t="shared" si="11"/>
        <v>292692.42548538907</v>
      </c>
      <c r="O31" s="46">
        <f t="shared" si="11"/>
        <v>262303.21289355331</v>
      </c>
      <c r="P31" s="46">
        <f t="shared" si="11"/>
        <v>231965.2891282537</v>
      </c>
      <c r="Q31" s="46">
        <f t="shared" si="11"/>
        <v>201683.62927791453</v>
      </c>
      <c r="R31" s="46">
        <f t="shared" si="11"/>
        <v>171445.20728113875</v>
      </c>
      <c r="S31" s="46">
        <f t="shared" si="11"/>
        <v>141255.61753196642</v>
      </c>
      <c r="T31" s="46">
        <f t="shared" si="11"/>
        <v>111102.35005700798</v>
      </c>
      <c r="U31" s="46">
        <f t="shared" si="11"/>
        <v>80991.515338316793</v>
      </c>
      <c r="V31" s="46">
        <f t="shared" ref="V31:AJ31" si="12">V29+V30</f>
        <v>63487.431759514147</v>
      </c>
      <c r="W31" s="46">
        <f t="shared" si="12"/>
        <v>60807.32385877191</v>
      </c>
      <c r="X31" s="46">
        <f t="shared" si="12"/>
        <v>60346.766917738416</v>
      </c>
      <c r="Y31" s="46">
        <f t="shared" si="12"/>
        <v>59886.313194307106</v>
      </c>
      <c r="Z31" s="46">
        <f t="shared" si="12"/>
        <v>59425.756253273648</v>
      </c>
      <c r="AA31" s="46">
        <f t="shared" si="12"/>
        <v>0</v>
      </c>
      <c r="AB31" s="46">
        <f t="shared" si="12"/>
        <v>0</v>
      </c>
      <c r="AC31" s="46">
        <f t="shared" si="12"/>
        <v>0</v>
      </c>
      <c r="AD31" s="46">
        <f t="shared" si="12"/>
        <v>0</v>
      </c>
      <c r="AE31" s="46">
        <f t="shared" si="12"/>
        <v>0</v>
      </c>
      <c r="AF31" s="46">
        <f t="shared" si="12"/>
        <v>0</v>
      </c>
      <c r="AG31" s="46">
        <f t="shared" si="12"/>
        <v>0</v>
      </c>
      <c r="AH31" s="46">
        <f t="shared" si="12"/>
        <v>0</v>
      </c>
      <c r="AI31" s="46">
        <f t="shared" si="12"/>
        <v>0</v>
      </c>
      <c r="AJ31" s="46">
        <f t="shared" si="12"/>
        <v>0</v>
      </c>
    </row>
    <row r="32" spans="1:36">
      <c r="A32" s="4" t="s">
        <v>103</v>
      </c>
      <c r="B32" s="39">
        <f t="shared" ref="B32:U32" si="13">B21</f>
        <v>8158218.7523569213</v>
      </c>
      <c r="C32" s="39">
        <f t="shared" si="13"/>
        <v>9326342.1115814429</v>
      </c>
      <c r="D32" s="39">
        <f t="shared" si="13"/>
        <v>8481788.805636555</v>
      </c>
      <c r="E32" s="39">
        <f t="shared" si="13"/>
        <v>7654202.8438471016</v>
      </c>
      <c r="F32" s="39">
        <f t="shared" si="13"/>
        <v>6842347.6445642682</v>
      </c>
      <c r="G32" s="39">
        <f t="shared" si="13"/>
        <v>6045016.7327312222</v>
      </c>
      <c r="H32" s="39">
        <f t="shared" si="13"/>
        <v>5261146.1104445942</v>
      </c>
      <c r="I32" s="39">
        <f t="shared" si="13"/>
        <v>4489696.8686276674</v>
      </c>
      <c r="J32" s="39">
        <f t="shared" si="13"/>
        <v>3721793.8547633542</v>
      </c>
      <c r="K32" s="39">
        <f t="shared" si="13"/>
        <v>2954220.4022495798</v>
      </c>
      <c r="L32" s="39">
        <f t="shared" si="13"/>
        <v>2186623.4720704444</v>
      </c>
      <c r="M32" s="39">
        <f t="shared" si="13"/>
        <v>1419050.01955667</v>
      </c>
      <c r="N32" s="39">
        <f t="shared" si="13"/>
        <v>1476169.0104569853</v>
      </c>
      <c r="O32" s="39">
        <f t="shared" si="13"/>
        <v>1322903.6370676223</v>
      </c>
      <c r="P32" s="39">
        <f t="shared" si="13"/>
        <v>1169896.9344524972</v>
      </c>
      <c r="Q32" s="39">
        <f t="shared" si="13"/>
        <v>1017173.9940411092</v>
      </c>
      <c r="R32" s="39">
        <f t="shared" si="13"/>
        <v>864669.12001597206</v>
      </c>
      <c r="S32" s="39">
        <f t="shared" si="13"/>
        <v>712410.52722104604</v>
      </c>
      <c r="T32" s="39">
        <f t="shared" si="13"/>
        <v>560335.12268422858</v>
      </c>
      <c r="U32" s="39">
        <f t="shared" si="13"/>
        <v>408473.7240948634</v>
      </c>
      <c r="V32" s="39">
        <f t="shared" ref="V32:AJ32" si="14">V21</f>
        <v>320193.38785921334</v>
      </c>
      <c r="W32" s="39">
        <f t="shared" si="14"/>
        <v>306676.49475480377</v>
      </c>
      <c r="X32" s="39">
        <f t="shared" si="14"/>
        <v>304353.71553434036</v>
      </c>
      <c r="Y32" s="39">
        <f t="shared" si="14"/>
        <v>302031.45688295376</v>
      </c>
      <c r="Z32" s="39">
        <f t="shared" si="14"/>
        <v>299708.6776624904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</row>
    <row r="33" spans="1:36">
      <c r="A33" s="42" t="s">
        <v>47</v>
      </c>
      <c r="B33" s="44">
        <f t="shared" ref="B33:U33" si="15">B20*WACD</f>
        <v>3146530.8387964563</v>
      </c>
      <c r="C33" s="44">
        <f t="shared" si="15"/>
        <v>3597062.5400034874</v>
      </c>
      <c r="D33" s="44">
        <f t="shared" si="15"/>
        <v>3271328.0748182586</v>
      </c>
      <c r="E33" s="44">
        <f t="shared" si="15"/>
        <v>2952137.7184952889</v>
      </c>
      <c r="F33" s="44">
        <f t="shared" si="15"/>
        <v>2639014.5357609848</v>
      </c>
      <c r="G33" s="44">
        <f t="shared" si="15"/>
        <v>2331493.2031068965</v>
      </c>
      <c r="H33" s="44">
        <f t="shared" si="15"/>
        <v>2029163.3488186821</v>
      </c>
      <c r="I33" s="44">
        <f t="shared" si="15"/>
        <v>1731624.2776529542</v>
      </c>
      <c r="J33" s="44">
        <f t="shared" si="15"/>
        <v>1435452.9456902321</v>
      </c>
      <c r="K33" s="44">
        <f t="shared" si="15"/>
        <v>1139408.7217377541</v>
      </c>
      <c r="L33" s="44">
        <f t="shared" si="15"/>
        <v>843355.44272064441</v>
      </c>
      <c r="M33" s="44">
        <f t="shared" si="15"/>
        <v>547311.21876816638</v>
      </c>
      <c r="N33" s="44">
        <f t="shared" si="15"/>
        <v>569341.35448827723</v>
      </c>
      <c r="O33" s="44">
        <f t="shared" si="15"/>
        <v>510228.66843165969</v>
      </c>
      <c r="P33" s="44">
        <f t="shared" si="15"/>
        <v>451215.74870798102</v>
      </c>
      <c r="Q33" s="44">
        <f t="shared" si="15"/>
        <v>392312.27279208024</v>
      </c>
      <c r="R33" s="44">
        <f t="shared" si="15"/>
        <v>333492.90256518725</v>
      </c>
      <c r="S33" s="44">
        <f t="shared" si="15"/>
        <v>274768.52016705921</v>
      </c>
      <c r="T33" s="44">
        <f t="shared" si="15"/>
        <v>216114.79136635741</v>
      </c>
      <c r="U33" s="44">
        <f t="shared" si="15"/>
        <v>157543.60219027038</v>
      </c>
      <c r="V33" s="44">
        <f t="shared" ref="V33:AJ33" si="16">V20*WACD</f>
        <v>123494.89513095758</v>
      </c>
      <c r="W33" s="44">
        <f t="shared" si="16"/>
        <v>118281.58542588838</v>
      </c>
      <c r="X33" s="44">
        <f t="shared" si="16"/>
        <v>117385.71628205202</v>
      </c>
      <c r="Y33" s="44">
        <f t="shared" si="16"/>
        <v>116490.04791570199</v>
      </c>
      <c r="Z33" s="44">
        <f t="shared" si="16"/>
        <v>115594.17877186564</v>
      </c>
      <c r="AA33" s="44">
        <f t="shared" si="16"/>
        <v>0</v>
      </c>
      <c r="AB33" s="44">
        <f t="shared" si="16"/>
        <v>0</v>
      </c>
      <c r="AC33" s="44">
        <f t="shared" si="16"/>
        <v>0</v>
      </c>
      <c r="AD33" s="44">
        <f t="shared" si="16"/>
        <v>0</v>
      </c>
      <c r="AE33" s="44">
        <f t="shared" si="16"/>
        <v>0</v>
      </c>
      <c r="AF33" s="44">
        <f t="shared" si="16"/>
        <v>0</v>
      </c>
      <c r="AG33" s="44">
        <f t="shared" si="16"/>
        <v>0</v>
      </c>
      <c r="AH33" s="44">
        <f t="shared" si="16"/>
        <v>0</v>
      </c>
      <c r="AI33" s="44">
        <f t="shared" si="16"/>
        <v>0</v>
      </c>
      <c r="AJ33" s="44">
        <f t="shared" si="16"/>
        <v>0</v>
      </c>
    </row>
    <row r="34" spans="1:36">
      <c r="A34" s="4" t="s">
        <v>69</v>
      </c>
      <c r="B34" s="39">
        <f>B32-B33</f>
        <v>5011687.913560465</v>
      </c>
      <c r="C34" s="39">
        <f>C32-C33</f>
        <v>5729279.571577955</v>
      </c>
      <c r="D34" s="39">
        <f t="shared" ref="D34:U34" si="17">D32-D33</f>
        <v>5210460.7308182959</v>
      </c>
      <c r="E34" s="39">
        <f t="shared" si="17"/>
        <v>4702065.1253518127</v>
      </c>
      <c r="F34" s="39">
        <f t="shared" si="17"/>
        <v>4203333.1088032834</v>
      </c>
      <c r="G34" s="39">
        <f t="shared" si="17"/>
        <v>3713523.5296243257</v>
      </c>
      <c r="H34" s="39">
        <f t="shared" si="17"/>
        <v>3231982.761625912</v>
      </c>
      <c r="I34" s="39">
        <f t="shared" si="17"/>
        <v>2758072.5909747132</v>
      </c>
      <c r="J34" s="39">
        <f t="shared" si="17"/>
        <v>2286340.9090731218</v>
      </c>
      <c r="K34" s="39">
        <f t="shared" si="17"/>
        <v>1814811.6805118257</v>
      </c>
      <c r="L34" s="39">
        <f t="shared" si="17"/>
        <v>1343268.0293498</v>
      </c>
      <c r="M34" s="39">
        <f t="shared" si="17"/>
        <v>871738.80078850361</v>
      </c>
      <c r="N34" s="39">
        <f t="shared" si="17"/>
        <v>906827.6559687081</v>
      </c>
      <c r="O34" s="39">
        <f t="shared" si="17"/>
        <v>812674.96863596258</v>
      </c>
      <c r="P34" s="39">
        <f t="shared" si="17"/>
        <v>718681.18574451609</v>
      </c>
      <c r="Q34" s="39">
        <f t="shared" si="17"/>
        <v>624861.72124902904</v>
      </c>
      <c r="R34" s="39">
        <f t="shared" si="17"/>
        <v>531176.21745078475</v>
      </c>
      <c r="S34" s="39">
        <f t="shared" si="17"/>
        <v>437642.00705398683</v>
      </c>
      <c r="T34" s="39">
        <f t="shared" si="17"/>
        <v>344220.33131787117</v>
      </c>
      <c r="U34" s="39">
        <f t="shared" si="17"/>
        <v>250930.12190459302</v>
      </c>
      <c r="V34" s="39">
        <f t="shared" ref="V34:AJ34" si="18">V32-V33</f>
        <v>196698.49272825575</v>
      </c>
      <c r="W34" s="39">
        <f t="shared" si="18"/>
        <v>188394.90932891541</v>
      </c>
      <c r="X34" s="39">
        <f t="shared" si="18"/>
        <v>186967.99925228834</v>
      </c>
      <c r="Y34" s="39">
        <f t="shared" si="18"/>
        <v>185541.40896725177</v>
      </c>
      <c r="Z34" s="39">
        <f t="shared" si="18"/>
        <v>184114.49889062476</v>
      </c>
      <c r="AA34" s="39">
        <f t="shared" si="18"/>
        <v>0</v>
      </c>
      <c r="AB34" s="39">
        <f t="shared" si="18"/>
        <v>0</v>
      </c>
      <c r="AC34" s="39">
        <f t="shared" si="18"/>
        <v>0</v>
      </c>
      <c r="AD34" s="39">
        <f t="shared" si="18"/>
        <v>0</v>
      </c>
      <c r="AE34" s="39">
        <f t="shared" si="18"/>
        <v>0</v>
      </c>
      <c r="AF34" s="39">
        <f t="shared" si="18"/>
        <v>0</v>
      </c>
      <c r="AG34" s="39">
        <f t="shared" si="18"/>
        <v>0</v>
      </c>
      <c r="AH34" s="39">
        <f t="shared" si="18"/>
        <v>0</v>
      </c>
      <c r="AI34" s="39">
        <f t="shared" si="18"/>
        <v>0</v>
      </c>
      <c r="AJ34" s="39">
        <f t="shared" si="18"/>
        <v>0</v>
      </c>
    </row>
    <row r="35" spans="1:36">
      <c r="A35" s="42" t="s">
        <v>68</v>
      </c>
      <c r="B35" s="43">
        <f t="shared" ref="B35:U35" si="19">B20*EquityWeighting</f>
        <v>52872530.347530439</v>
      </c>
      <c r="C35" s="43">
        <f t="shared" si="19"/>
        <v>60443011.065814026</v>
      </c>
      <c r="D35" s="43">
        <f t="shared" si="19"/>
        <v>54969552.746768869</v>
      </c>
      <c r="E35" s="43">
        <f t="shared" si="19"/>
        <v>49606057.943781182</v>
      </c>
      <c r="F35" s="43">
        <f t="shared" si="19"/>
        <v>44344512.505387425</v>
      </c>
      <c r="G35" s="43">
        <f t="shared" si="19"/>
        <v>39177097.397679307</v>
      </c>
      <c r="H35" s="43">
        <f t="shared" si="19"/>
        <v>34096916.965717517</v>
      </c>
      <c r="I35" s="43">
        <f t="shared" si="19"/>
        <v>29097238.152525496</v>
      </c>
      <c r="J35" s="43">
        <f t="shared" si="19"/>
        <v>24120542.05783309</v>
      </c>
      <c r="K35" s="43">
        <f t="shared" si="19"/>
        <v>19145981.814487252</v>
      </c>
      <c r="L35" s="43">
        <f t="shared" si="19"/>
        <v>14171269.414940163</v>
      </c>
      <c r="M35" s="43">
        <f t="shared" si="19"/>
        <v>9196709.1715943236</v>
      </c>
      <c r="N35" s="43">
        <f t="shared" si="19"/>
        <v>9566891.1526701245</v>
      </c>
      <c r="O35" s="43">
        <f t="shared" si="19"/>
        <v>8573594.9011552259</v>
      </c>
      <c r="P35" s="43">
        <f t="shared" si="19"/>
        <v>7581975.0668554176</v>
      </c>
      <c r="Q35" s="43">
        <f t="shared" si="19"/>
        <v>6592194.2646021852</v>
      </c>
      <c r="R35" s="43">
        <f t="shared" si="19"/>
        <v>5603826.726932168</v>
      </c>
      <c r="S35" s="43">
        <f t="shared" si="19"/>
        <v>4617055.3111870009</v>
      </c>
      <c r="T35" s="43">
        <f t="shared" si="19"/>
        <v>3631471.1186617757</v>
      </c>
      <c r="U35" s="43">
        <f t="shared" si="19"/>
        <v>2647273.8754565786</v>
      </c>
      <c r="V35" s="43">
        <f t="shared" ref="V35:AJ35" si="20">V20*EquityWeighting</f>
        <v>2075138.5971078433</v>
      </c>
      <c r="W35" s="43">
        <f t="shared" si="20"/>
        <v>1987537.0798451749</v>
      </c>
      <c r="X35" s="43">
        <f t="shared" si="20"/>
        <v>1972483.3998014661</v>
      </c>
      <c r="Y35" s="43">
        <f t="shared" si="20"/>
        <v>1957433.0935094489</v>
      </c>
      <c r="Z35" s="43">
        <f t="shared" si="20"/>
        <v>1942379.4134657406</v>
      </c>
      <c r="AA35" s="43">
        <f t="shared" si="20"/>
        <v>0</v>
      </c>
      <c r="AB35" s="43">
        <f t="shared" si="20"/>
        <v>0</v>
      </c>
      <c r="AC35" s="43">
        <f t="shared" si="20"/>
        <v>0</v>
      </c>
      <c r="AD35" s="43">
        <f t="shared" si="20"/>
        <v>0</v>
      </c>
      <c r="AE35" s="43">
        <f t="shared" si="20"/>
        <v>0</v>
      </c>
      <c r="AF35" s="43">
        <f t="shared" si="20"/>
        <v>0</v>
      </c>
      <c r="AG35" s="43">
        <f t="shared" si="20"/>
        <v>0</v>
      </c>
      <c r="AH35" s="43">
        <f t="shared" si="20"/>
        <v>0</v>
      </c>
      <c r="AI35" s="43">
        <f t="shared" si="20"/>
        <v>0</v>
      </c>
      <c r="AJ35" s="43">
        <f t="shared" si="20"/>
        <v>0</v>
      </c>
    </row>
    <row r="36" spans="1:36">
      <c r="A36" s="4" t="s">
        <v>102</v>
      </c>
      <c r="B36" s="40">
        <f>B34/B35</f>
        <v>9.4788123069176125E-2</v>
      </c>
      <c r="C36" s="40">
        <f>C34/C35</f>
        <v>9.4788123069176139E-2</v>
      </c>
      <c r="D36" s="40">
        <f t="shared" ref="D36:U36" si="21">D34/D35</f>
        <v>9.4788123069176125E-2</v>
      </c>
      <c r="E36" s="40">
        <f t="shared" si="21"/>
        <v>9.4788123069176125E-2</v>
      </c>
      <c r="F36" s="40">
        <f t="shared" si="21"/>
        <v>9.4788123069176139E-2</v>
      </c>
      <c r="G36" s="40">
        <f t="shared" si="21"/>
        <v>9.4788123069176125E-2</v>
      </c>
      <c r="H36" s="40">
        <f t="shared" si="21"/>
        <v>9.4788123069176139E-2</v>
      </c>
      <c r="I36" s="40">
        <f t="shared" si="21"/>
        <v>9.4788123069176111E-2</v>
      </c>
      <c r="J36" s="40">
        <f t="shared" si="21"/>
        <v>9.4788123069176125E-2</v>
      </c>
      <c r="K36" s="40">
        <f t="shared" si="21"/>
        <v>9.4788123069176125E-2</v>
      </c>
      <c r="L36" s="40">
        <f t="shared" si="21"/>
        <v>9.4788123069176139E-2</v>
      </c>
      <c r="M36" s="40">
        <f t="shared" si="21"/>
        <v>9.4788123069176125E-2</v>
      </c>
      <c r="N36" s="40">
        <f t="shared" si="21"/>
        <v>9.4788123069176139E-2</v>
      </c>
      <c r="O36" s="40">
        <f t="shared" si="21"/>
        <v>9.4788123069176139E-2</v>
      </c>
      <c r="P36" s="40">
        <f t="shared" si="21"/>
        <v>9.4788123069176111E-2</v>
      </c>
      <c r="Q36" s="40">
        <f t="shared" si="21"/>
        <v>9.4788123069176139E-2</v>
      </c>
      <c r="R36" s="40">
        <f t="shared" si="21"/>
        <v>9.4788123069176125E-2</v>
      </c>
      <c r="S36" s="40">
        <f t="shared" si="21"/>
        <v>9.4788123069176153E-2</v>
      </c>
      <c r="T36" s="40">
        <f t="shared" si="21"/>
        <v>9.4788123069176153E-2</v>
      </c>
      <c r="U36" s="40">
        <f t="shared" si="21"/>
        <v>9.4788123069176139E-2</v>
      </c>
      <c r="V36" s="40">
        <f t="shared" ref="V36:AJ36" si="22">V34/V35</f>
        <v>9.4788123069176125E-2</v>
      </c>
      <c r="W36" s="40">
        <f t="shared" si="22"/>
        <v>9.4788123069176139E-2</v>
      </c>
      <c r="X36" s="40">
        <f t="shared" si="22"/>
        <v>9.4788123069176139E-2</v>
      </c>
      <c r="Y36" s="40">
        <f t="shared" si="22"/>
        <v>9.4788123069176125E-2</v>
      </c>
      <c r="Z36" s="40">
        <f t="shared" si="22"/>
        <v>9.4788123069176125E-2</v>
      </c>
      <c r="AA36" s="40" t="e">
        <f t="shared" si="22"/>
        <v>#DIV/0!</v>
      </c>
      <c r="AB36" s="40" t="e">
        <f t="shared" si="22"/>
        <v>#DIV/0!</v>
      </c>
      <c r="AC36" s="40" t="e">
        <f t="shared" si="22"/>
        <v>#DIV/0!</v>
      </c>
      <c r="AD36" s="40" t="e">
        <f t="shared" si="22"/>
        <v>#DIV/0!</v>
      </c>
      <c r="AE36" s="40" t="e">
        <f t="shared" si="22"/>
        <v>#DIV/0!</v>
      </c>
      <c r="AF36" s="40" t="e">
        <f t="shared" si="22"/>
        <v>#DIV/0!</v>
      </c>
      <c r="AG36" s="40" t="e">
        <f t="shared" si="22"/>
        <v>#DIV/0!</v>
      </c>
      <c r="AH36" s="40" t="e">
        <f t="shared" si="22"/>
        <v>#DIV/0!</v>
      </c>
      <c r="AI36" s="40" t="e">
        <f t="shared" si="22"/>
        <v>#DIV/0!</v>
      </c>
      <c r="AJ36" s="40" t="e">
        <f t="shared" si="22"/>
        <v>#DIV/0!</v>
      </c>
    </row>
    <row r="37" spans="1:36">
      <c r="B37" s="1" t="b">
        <f t="shared" ref="B37:U37" si="23">B36=ROE</f>
        <v>0</v>
      </c>
      <c r="C37" s="1" t="b">
        <f t="shared" si="23"/>
        <v>0</v>
      </c>
      <c r="D37" s="1" t="b">
        <f t="shared" si="23"/>
        <v>0</v>
      </c>
      <c r="E37" s="1" t="b">
        <f t="shared" si="23"/>
        <v>0</v>
      </c>
      <c r="F37" s="1" t="b">
        <f t="shared" si="23"/>
        <v>0</v>
      </c>
      <c r="G37" s="1" t="b">
        <f t="shared" si="23"/>
        <v>0</v>
      </c>
      <c r="H37" s="1" t="b">
        <f t="shared" si="23"/>
        <v>0</v>
      </c>
      <c r="I37" s="1" t="b">
        <f t="shared" si="23"/>
        <v>0</v>
      </c>
      <c r="J37" s="1" t="b">
        <f t="shared" si="23"/>
        <v>0</v>
      </c>
      <c r="K37" s="1" t="b">
        <f t="shared" si="23"/>
        <v>0</v>
      </c>
      <c r="L37" s="1" t="b">
        <f t="shared" si="23"/>
        <v>0</v>
      </c>
      <c r="M37" s="1" t="b">
        <f t="shared" si="23"/>
        <v>0</v>
      </c>
      <c r="N37" s="1" t="b">
        <f t="shared" si="23"/>
        <v>0</v>
      </c>
      <c r="O37" s="1" t="b">
        <f t="shared" si="23"/>
        <v>0</v>
      </c>
      <c r="P37" s="1" t="b">
        <f t="shared" si="23"/>
        <v>0</v>
      </c>
      <c r="Q37" s="1" t="b">
        <f t="shared" si="23"/>
        <v>0</v>
      </c>
      <c r="R37" s="1" t="b">
        <f t="shared" si="23"/>
        <v>0</v>
      </c>
      <c r="S37" s="1" t="b">
        <f t="shared" si="23"/>
        <v>0</v>
      </c>
      <c r="T37" s="1" t="b">
        <f t="shared" si="23"/>
        <v>0</v>
      </c>
      <c r="U37" s="1" t="b">
        <f t="shared" si="23"/>
        <v>0</v>
      </c>
      <c r="V37" s="1" t="b">
        <f t="shared" ref="V37:AJ37" si="24">V36=ROE</f>
        <v>0</v>
      </c>
      <c r="W37" s="1" t="b">
        <f t="shared" si="24"/>
        <v>0</v>
      </c>
      <c r="X37" s="1" t="b">
        <f t="shared" si="24"/>
        <v>0</v>
      </c>
      <c r="Y37" s="1" t="b">
        <f t="shared" si="24"/>
        <v>0</v>
      </c>
      <c r="Z37" s="1" t="b">
        <f t="shared" si="24"/>
        <v>0</v>
      </c>
      <c r="AA37" s="1" t="e">
        <f t="shared" si="24"/>
        <v>#DIV/0!</v>
      </c>
      <c r="AB37" s="1" t="e">
        <f t="shared" si="24"/>
        <v>#DIV/0!</v>
      </c>
      <c r="AC37" s="1" t="e">
        <f t="shared" si="24"/>
        <v>#DIV/0!</v>
      </c>
      <c r="AD37" s="1" t="e">
        <f t="shared" si="24"/>
        <v>#DIV/0!</v>
      </c>
      <c r="AE37" s="1" t="e">
        <f t="shared" si="24"/>
        <v>#DIV/0!</v>
      </c>
      <c r="AF37" s="1" t="e">
        <f t="shared" si="24"/>
        <v>#DIV/0!</v>
      </c>
      <c r="AG37" s="1" t="e">
        <f t="shared" si="24"/>
        <v>#DIV/0!</v>
      </c>
      <c r="AH37" s="1" t="e">
        <f t="shared" si="24"/>
        <v>#DIV/0!</v>
      </c>
      <c r="AI37" s="1" t="e">
        <f t="shared" si="24"/>
        <v>#DIV/0!</v>
      </c>
      <c r="AJ37" s="1" t="e">
        <f t="shared" si="24"/>
        <v>#DIV/0!</v>
      </c>
    </row>
    <row r="38" spans="1:36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</row>
    <row r="39" spans="1:36">
      <c r="A39" s="4" t="s">
        <v>108</v>
      </c>
      <c r="B39" s="38">
        <f>B12</f>
        <v>0</v>
      </c>
      <c r="C39" s="38">
        <f t="shared" ref="C39:U39" si="25">C12</f>
        <v>0</v>
      </c>
      <c r="D39" s="38">
        <f t="shared" si="25"/>
        <v>0</v>
      </c>
      <c r="E39" s="38">
        <f t="shared" si="25"/>
        <v>0</v>
      </c>
      <c r="F39" s="38">
        <f t="shared" si="25"/>
        <v>0</v>
      </c>
      <c r="G39" s="38">
        <f t="shared" si="25"/>
        <v>0</v>
      </c>
      <c r="H39" s="38">
        <f t="shared" si="25"/>
        <v>0</v>
      </c>
      <c r="I39" s="38">
        <f t="shared" si="25"/>
        <v>0</v>
      </c>
      <c r="J39" s="38">
        <f t="shared" si="25"/>
        <v>0</v>
      </c>
      <c r="K39" s="38">
        <f t="shared" si="25"/>
        <v>0</v>
      </c>
      <c r="L39" s="38">
        <f t="shared" si="25"/>
        <v>0</v>
      </c>
      <c r="M39" s="38">
        <f t="shared" si="25"/>
        <v>0</v>
      </c>
      <c r="N39" s="38">
        <f t="shared" si="25"/>
        <v>0</v>
      </c>
      <c r="O39" s="38">
        <f t="shared" si="25"/>
        <v>0</v>
      </c>
      <c r="P39" s="38">
        <f t="shared" si="25"/>
        <v>0</v>
      </c>
      <c r="Q39" s="38">
        <f t="shared" si="25"/>
        <v>0</v>
      </c>
      <c r="R39" s="38">
        <f t="shared" si="25"/>
        <v>0</v>
      </c>
      <c r="S39" s="38">
        <f t="shared" si="25"/>
        <v>0</v>
      </c>
      <c r="T39" s="38">
        <f t="shared" si="25"/>
        <v>0</v>
      </c>
      <c r="U39" s="38">
        <f t="shared" si="25"/>
        <v>0</v>
      </c>
      <c r="V39" s="38">
        <f t="shared" ref="V39:AJ39" si="26">V12</f>
        <v>0</v>
      </c>
      <c r="W39" s="38">
        <f t="shared" si="26"/>
        <v>0</v>
      </c>
      <c r="X39" s="38">
        <f t="shared" si="26"/>
        <v>0</v>
      </c>
      <c r="Y39" s="38">
        <f t="shared" si="26"/>
        <v>0</v>
      </c>
      <c r="Z39" s="38">
        <f t="shared" si="26"/>
        <v>0</v>
      </c>
      <c r="AA39" s="38">
        <f t="shared" si="26"/>
        <v>0</v>
      </c>
      <c r="AB39" s="38">
        <f t="shared" si="26"/>
        <v>0</v>
      </c>
      <c r="AC39" s="38">
        <f t="shared" si="26"/>
        <v>0</v>
      </c>
      <c r="AD39" s="38">
        <f t="shared" si="26"/>
        <v>0</v>
      </c>
      <c r="AE39" s="38">
        <f t="shared" si="26"/>
        <v>0</v>
      </c>
      <c r="AF39" s="38">
        <f t="shared" si="26"/>
        <v>0</v>
      </c>
      <c r="AG39" s="38">
        <f t="shared" si="26"/>
        <v>0</v>
      </c>
      <c r="AH39" s="38">
        <f t="shared" si="26"/>
        <v>0</v>
      </c>
      <c r="AI39" s="38">
        <f t="shared" si="26"/>
        <v>0</v>
      </c>
      <c r="AJ39" s="38">
        <f t="shared" si="26"/>
        <v>0</v>
      </c>
    </row>
    <row r="40" spans="1:36">
      <c r="A40" s="4" t="s">
        <v>109</v>
      </c>
      <c r="B40" s="38">
        <f>B13</f>
        <v>9434750</v>
      </c>
      <c r="C40" s="38">
        <f t="shared" ref="C40:U40" si="27">C13</f>
        <v>11844500</v>
      </c>
      <c r="D40" s="38">
        <f t="shared" si="27"/>
        <v>11844500</v>
      </c>
      <c r="E40" s="38">
        <f t="shared" si="27"/>
        <v>11844500</v>
      </c>
      <c r="F40" s="38">
        <f t="shared" si="27"/>
        <v>11844500</v>
      </c>
      <c r="G40" s="38">
        <f t="shared" si="27"/>
        <v>11844500</v>
      </c>
      <c r="H40" s="38">
        <f t="shared" si="27"/>
        <v>11844500</v>
      </c>
      <c r="I40" s="38">
        <f t="shared" si="27"/>
        <v>11844500</v>
      </c>
      <c r="J40" s="38">
        <f t="shared" si="27"/>
        <v>11844500</v>
      </c>
      <c r="K40" s="38">
        <f t="shared" si="27"/>
        <v>11844500</v>
      </c>
      <c r="L40" s="38">
        <f t="shared" si="27"/>
        <v>11844500</v>
      </c>
      <c r="M40" s="38">
        <f t="shared" si="27"/>
        <v>11844500</v>
      </c>
      <c r="N40" s="38">
        <f t="shared" si="27"/>
        <v>0</v>
      </c>
      <c r="O40" s="38">
        <f t="shared" si="27"/>
        <v>0</v>
      </c>
      <c r="P40" s="38">
        <f t="shared" si="27"/>
        <v>0</v>
      </c>
      <c r="Q40" s="38">
        <f t="shared" si="27"/>
        <v>0</v>
      </c>
      <c r="R40" s="38">
        <f t="shared" si="27"/>
        <v>0</v>
      </c>
      <c r="S40" s="38">
        <f t="shared" si="27"/>
        <v>0</v>
      </c>
      <c r="T40" s="38">
        <f t="shared" si="27"/>
        <v>0</v>
      </c>
      <c r="U40" s="38">
        <f t="shared" si="27"/>
        <v>0</v>
      </c>
      <c r="V40" s="38">
        <f t="shared" ref="V40:AJ40" si="28">V13</f>
        <v>0</v>
      </c>
      <c r="W40" s="38">
        <f t="shared" si="28"/>
        <v>0</v>
      </c>
      <c r="X40" s="38">
        <f t="shared" si="28"/>
        <v>0</v>
      </c>
      <c r="Y40" s="38">
        <f t="shared" si="28"/>
        <v>0</v>
      </c>
      <c r="Z40" s="38">
        <f t="shared" si="28"/>
        <v>0</v>
      </c>
      <c r="AA40" s="38">
        <f t="shared" si="28"/>
        <v>0</v>
      </c>
      <c r="AB40" s="38">
        <f t="shared" si="28"/>
        <v>0</v>
      </c>
      <c r="AC40" s="38">
        <f t="shared" si="28"/>
        <v>0</v>
      </c>
      <c r="AD40" s="38">
        <f t="shared" si="28"/>
        <v>0</v>
      </c>
      <c r="AE40" s="38">
        <f t="shared" si="28"/>
        <v>0</v>
      </c>
      <c r="AF40" s="38">
        <f t="shared" si="28"/>
        <v>0</v>
      </c>
      <c r="AG40" s="38">
        <f t="shared" si="28"/>
        <v>0</v>
      </c>
      <c r="AH40" s="38">
        <f t="shared" si="28"/>
        <v>0</v>
      </c>
      <c r="AI40" s="38">
        <f t="shared" si="28"/>
        <v>0</v>
      </c>
      <c r="AJ40" s="38">
        <f t="shared" si="28"/>
        <v>0</v>
      </c>
    </row>
    <row r="41" spans="1:36">
      <c r="A41" s="4" t="s">
        <v>111</v>
      </c>
      <c r="B41" s="3">
        <f>B25-SUM(B39:B40,B42)</f>
        <v>1570573.4103732072</v>
      </c>
      <c r="C41" s="3">
        <f t="shared" ref="C41:U41" si="29">C25-SUM(C39:C40,C42)</f>
        <v>1790176.2476188019</v>
      </c>
      <c r="D41" s="3">
        <f t="shared" si="29"/>
        <v>1622719.571711354</v>
      </c>
      <c r="E41" s="3">
        <f t="shared" si="29"/>
        <v>1458627.1536088847</v>
      </c>
      <c r="F41" s="3">
        <f t="shared" si="29"/>
        <v>1297653.8058839887</v>
      </c>
      <c r="G41" s="3">
        <f t="shared" si="29"/>
        <v>1139560.3105960414</v>
      </c>
      <c r="H41" s="3">
        <f t="shared" si="29"/>
        <v>984135.69994607568</v>
      </c>
      <c r="I41" s="3">
        <f t="shared" si="29"/>
        <v>831173.98070747033</v>
      </c>
      <c r="J41" s="3">
        <f t="shared" si="29"/>
        <v>678915.40186363645</v>
      </c>
      <c r="K41" s="3">
        <f t="shared" si="29"/>
        <v>526722.16791619174</v>
      </c>
      <c r="L41" s="3">
        <f t="shared" si="29"/>
        <v>374524.27885488421</v>
      </c>
      <c r="M41" s="3">
        <f t="shared" si="29"/>
        <v>222331.04490743764</v>
      </c>
      <c r="N41" s="3">
        <f t="shared" si="29"/>
        <v>292692.42548538907</v>
      </c>
      <c r="O41" s="3">
        <f t="shared" si="29"/>
        <v>262303.21289355331</v>
      </c>
      <c r="P41" s="3">
        <f t="shared" si="29"/>
        <v>231965.2891282537</v>
      </c>
      <c r="Q41" s="3">
        <f t="shared" si="29"/>
        <v>201683.62927791453</v>
      </c>
      <c r="R41" s="3">
        <f t="shared" si="29"/>
        <v>171445.20728113886</v>
      </c>
      <c r="S41" s="3">
        <f t="shared" si="29"/>
        <v>141255.61753196653</v>
      </c>
      <c r="T41" s="3">
        <f t="shared" si="29"/>
        <v>111102.35005700809</v>
      </c>
      <c r="U41" s="3">
        <f t="shared" si="29"/>
        <v>80991.515338316909</v>
      </c>
      <c r="V41" s="3">
        <f t="shared" ref="V41:AJ41" si="30">V25-SUM(V39:V40,V42)</f>
        <v>63487.431759514031</v>
      </c>
      <c r="W41" s="3">
        <f t="shared" si="30"/>
        <v>60807.323858771881</v>
      </c>
      <c r="X41" s="3">
        <f t="shared" si="30"/>
        <v>60346.766917738423</v>
      </c>
      <c r="Y41" s="3">
        <f t="shared" si="30"/>
        <v>59886.313194307091</v>
      </c>
      <c r="Z41" s="3">
        <f t="shared" si="30"/>
        <v>59425.756253273634</v>
      </c>
      <c r="AA41" s="3">
        <f t="shared" si="30"/>
        <v>0</v>
      </c>
      <c r="AB41" s="3">
        <f t="shared" si="30"/>
        <v>0</v>
      </c>
      <c r="AC41" s="3">
        <f t="shared" si="30"/>
        <v>0</v>
      </c>
      <c r="AD41" s="3">
        <f t="shared" si="30"/>
        <v>0</v>
      </c>
      <c r="AE41" s="3">
        <f t="shared" si="30"/>
        <v>0</v>
      </c>
      <c r="AF41" s="3">
        <f t="shared" si="30"/>
        <v>0</v>
      </c>
      <c r="AG41" s="3">
        <f t="shared" si="30"/>
        <v>0</v>
      </c>
      <c r="AH41" s="3">
        <f t="shared" si="30"/>
        <v>0</v>
      </c>
      <c r="AI41" s="3">
        <f t="shared" si="30"/>
        <v>0</v>
      </c>
      <c r="AJ41" s="3">
        <f t="shared" si="30"/>
        <v>0</v>
      </c>
    </row>
    <row r="42" spans="1:36">
      <c r="A42" s="4" t="s">
        <v>110</v>
      </c>
      <c r="B42" s="48">
        <f>B21</f>
        <v>8158218.7523569213</v>
      </c>
      <c r="C42" s="48">
        <f t="shared" ref="C42:U42" si="31">C21</f>
        <v>9326342.1115814429</v>
      </c>
      <c r="D42" s="48">
        <f t="shared" si="31"/>
        <v>8481788.805636555</v>
      </c>
      <c r="E42" s="48">
        <f t="shared" si="31"/>
        <v>7654202.8438471016</v>
      </c>
      <c r="F42" s="48">
        <f t="shared" si="31"/>
        <v>6842347.6445642682</v>
      </c>
      <c r="G42" s="48">
        <f t="shared" si="31"/>
        <v>6045016.7327312222</v>
      </c>
      <c r="H42" s="48">
        <f t="shared" si="31"/>
        <v>5261146.1104445942</v>
      </c>
      <c r="I42" s="48">
        <f t="shared" si="31"/>
        <v>4489696.8686276674</v>
      </c>
      <c r="J42" s="48">
        <f t="shared" si="31"/>
        <v>3721793.8547633542</v>
      </c>
      <c r="K42" s="48">
        <f t="shared" si="31"/>
        <v>2954220.4022495798</v>
      </c>
      <c r="L42" s="48">
        <f t="shared" si="31"/>
        <v>2186623.4720704444</v>
      </c>
      <c r="M42" s="48">
        <f t="shared" si="31"/>
        <v>1419050.01955667</v>
      </c>
      <c r="N42" s="48">
        <f t="shared" si="31"/>
        <v>1476169.0104569853</v>
      </c>
      <c r="O42" s="48">
        <f t="shared" si="31"/>
        <v>1322903.6370676223</v>
      </c>
      <c r="P42" s="48">
        <f t="shared" si="31"/>
        <v>1169896.9344524972</v>
      </c>
      <c r="Q42" s="48">
        <f t="shared" si="31"/>
        <v>1017173.9940411092</v>
      </c>
      <c r="R42" s="48">
        <f t="shared" si="31"/>
        <v>864669.12001597206</v>
      </c>
      <c r="S42" s="48">
        <f t="shared" si="31"/>
        <v>712410.52722104604</v>
      </c>
      <c r="T42" s="48">
        <f t="shared" si="31"/>
        <v>560335.12268422858</v>
      </c>
      <c r="U42" s="48">
        <f t="shared" si="31"/>
        <v>408473.7240948634</v>
      </c>
      <c r="V42" s="48">
        <f t="shared" ref="V42:AJ42" si="32">V21</f>
        <v>320193.38785921334</v>
      </c>
      <c r="W42" s="48">
        <f t="shared" si="32"/>
        <v>306676.49475480377</v>
      </c>
      <c r="X42" s="48">
        <f t="shared" si="32"/>
        <v>304353.71553434036</v>
      </c>
      <c r="Y42" s="48">
        <f t="shared" si="32"/>
        <v>302031.45688295376</v>
      </c>
      <c r="Z42" s="48">
        <f t="shared" si="32"/>
        <v>299708.6776624904</v>
      </c>
      <c r="AA42" s="48">
        <f t="shared" si="32"/>
        <v>0</v>
      </c>
      <c r="AB42" s="48">
        <f t="shared" si="32"/>
        <v>0</v>
      </c>
      <c r="AC42" s="48">
        <f t="shared" si="32"/>
        <v>0</v>
      </c>
      <c r="AD42" s="48">
        <f t="shared" si="32"/>
        <v>0</v>
      </c>
      <c r="AE42" s="48">
        <f t="shared" si="32"/>
        <v>0</v>
      </c>
      <c r="AF42" s="48">
        <f t="shared" si="32"/>
        <v>0</v>
      </c>
      <c r="AG42" s="48">
        <f t="shared" si="32"/>
        <v>0</v>
      </c>
      <c r="AH42" s="48">
        <f t="shared" si="32"/>
        <v>0</v>
      </c>
      <c r="AI42" s="48">
        <f t="shared" si="32"/>
        <v>0</v>
      </c>
      <c r="AJ42" s="48">
        <f t="shared" si="32"/>
        <v>0</v>
      </c>
    </row>
    <row r="43" spans="1:36">
      <c r="B43" s="39">
        <f>SUM(B39:B42)-B25</f>
        <v>0</v>
      </c>
      <c r="C43" s="39">
        <f t="shared" ref="C43:U43" si="33">SUM(C39:C42)-C25</f>
        <v>0</v>
      </c>
      <c r="D43" s="39">
        <f t="shared" si="33"/>
        <v>0</v>
      </c>
      <c r="E43" s="39">
        <f t="shared" si="33"/>
        <v>0</v>
      </c>
      <c r="F43" s="39">
        <f t="shared" si="33"/>
        <v>0</v>
      </c>
      <c r="G43" s="39">
        <f t="shared" si="33"/>
        <v>0</v>
      </c>
      <c r="H43" s="39">
        <f t="shared" si="33"/>
        <v>0</v>
      </c>
      <c r="I43" s="39">
        <f t="shared" si="33"/>
        <v>0</v>
      </c>
      <c r="J43" s="39">
        <f t="shared" si="33"/>
        <v>0</v>
      </c>
      <c r="K43" s="39">
        <f t="shared" si="33"/>
        <v>0</v>
      </c>
      <c r="L43" s="39">
        <f t="shared" si="33"/>
        <v>0</v>
      </c>
      <c r="M43" s="39">
        <f t="shared" si="33"/>
        <v>0</v>
      </c>
      <c r="N43" s="39">
        <f t="shared" si="33"/>
        <v>0</v>
      </c>
      <c r="O43" s="39">
        <f t="shared" si="33"/>
        <v>0</v>
      </c>
      <c r="P43" s="39">
        <f t="shared" si="33"/>
        <v>0</v>
      </c>
      <c r="Q43" s="39">
        <f t="shared" si="33"/>
        <v>0</v>
      </c>
      <c r="R43" s="39">
        <f t="shared" si="33"/>
        <v>0</v>
      </c>
      <c r="S43" s="39">
        <f t="shared" si="33"/>
        <v>0</v>
      </c>
      <c r="T43" s="39">
        <f t="shared" si="33"/>
        <v>0</v>
      </c>
      <c r="U43" s="39">
        <f t="shared" si="33"/>
        <v>0</v>
      </c>
      <c r="V43" s="39">
        <f t="shared" ref="V43:AJ43" si="34">SUM(V39:V42)-V25</f>
        <v>0</v>
      </c>
      <c r="W43" s="39">
        <f t="shared" si="34"/>
        <v>0</v>
      </c>
      <c r="X43" s="39">
        <f t="shared" si="34"/>
        <v>0</v>
      </c>
      <c r="Y43" s="39">
        <f t="shared" si="34"/>
        <v>0</v>
      </c>
      <c r="Z43" s="39">
        <f t="shared" si="34"/>
        <v>0</v>
      </c>
      <c r="AA43" s="39">
        <f t="shared" si="34"/>
        <v>0</v>
      </c>
      <c r="AB43" s="39">
        <f t="shared" si="34"/>
        <v>0</v>
      </c>
      <c r="AC43" s="39">
        <f t="shared" si="34"/>
        <v>0</v>
      </c>
      <c r="AD43" s="39">
        <f t="shared" si="34"/>
        <v>0</v>
      </c>
      <c r="AE43" s="39">
        <f t="shared" si="34"/>
        <v>0</v>
      </c>
      <c r="AF43" s="39">
        <f t="shared" si="34"/>
        <v>0</v>
      </c>
      <c r="AG43" s="39">
        <f t="shared" si="34"/>
        <v>0</v>
      </c>
      <c r="AH43" s="39">
        <f t="shared" si="34"/>
        <v>0</v>
      </c>
      <c r="AI43" s="39">
        <f t="shared" si="34"/>
        <v>0</v>
      </c>
      <c r="AJ43" s="39">
        <f t="shared" si="34"/>
        <v>0</v>
      </c>
    </row>
  </sheetData>
  <mergeCells count="2">
    <mergeCell ref="A1:J1"/>
    <mergeCell ref="A2:J2"/>
  </mergeCells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7FC3DE6E-4BF3-42AE-961F-BFF9A40568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1489E9-A7F9-4BF4-9220-767D1652D9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4.xml><?xml version="1.0" encoding="utf-8"?>
<ds:datastoreItem xmlns:ds="http://schemas.openxmlformats.org/officeDocument/2006/customXml" ds:itemID="{8D18A584-9B07-45FC-8197-60FEEDB55130}">
  <ds:schemaRefs>
    <ds:schemaRef ds:uri="b6888f76-1100-40b0-929b-1efe9044426d"/>
    <ds:schemaRef ds:uri="http://purl.org/dc/terms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f88ffb1c-9230-4705-a789-27bae69f5829"/>
    <ds:schemaRef ds:uri="http://purl.org/dc/elements/1.1/"/>
  </ds:schemaRefs>
</ds:datastoreItem>
</file>

<file path=customXml/itemProps5.xml><?xml version="1.0" encoding="utf-8"?>
<ds:datastoreItem xmlns:ds="http://schemas.openxmlformats.org/officeDocument/2006/customXml" ds:itemID="{6E17969F-3FE0-4B4D-AC0B-92C33C60E570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2026-06-10T12:38:23Z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24117e2d-a4e7-4519-893a-e1d25114b31b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  <property fmtid="{D5CDD505-2E9C-101B-9397-08002B2CF9AE}" pid="16" name="MediaServiceImageTags">
    <vt:lpwstr/>
  </property>
</Properties>
</file>