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xl/customProperty34.bin" ContentType="application/vnd.openxmlformats-officedocument.spreadsheetml.customProperty"/>
  <Override PartName="/xl/comments1.xml" ContentType="application/vnd.openxmlformats-officedocument.spreadsheetml.comments+xml"/>
  <Override PartName="/xl/customProperty35.bin" ContentType="application/vnd.openxmlformats-officedocument.spreadsheetml.customProperty"/>
  <Override PartName="/xl/customProperty36.bin" ContentType="application/vnd.openxmlformats-officedocument.spreadsheetml.customProperty"/>
  <Override PartName="/xl/customProperty37.bin" ContentType="application/vnd.openxmlformats-officedocument.spreadsheetml.customProperty"/>
  <Override PartName="/xl/customProperty38.bin" ContentType="application/vnd.openxmlformats-officedocument.spreadsheetml.customProperty"/>
  <Override PartName="/xl/customProperty39.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fileSharing readOnlyRecommended="1"/>
  <workbookPr codeName="ThisWorkbook"/>
  <mc:AlternateContent xmlns:mc="http://schemas.openxmlformats.org/markup-compatibility/2006">
    <mc:Choice Requires="x15">
      <x15ac:absPath xmlns:x15ac="http://schemas.microsoft.com/office/spreadsheetml/2010/11/ac" url="Z:\CN2025\CN-00400 - Gas Supply Clause (eff Feb 2026)\0 - efile\"/>
    </mc:Choice>
  </mc:AlternateContent>
  <xr:revisionPtr revIDLastSave="0" documentId="13_ncr:1_{0A3804E3-3DB5-42B5-9C5C-193D9516615F}" xr6:coauthVersionLast="47" xr6:coauthVersionMax="47" xr10:uidLastSave="{00000000-0000-0000-0000-000000000000}"/>
  <bookViews>
    <workbookView xWindow="1620" yWindow="1185" windowWidth="27450" windowHeight="13110" tabRatio="936" firstSheet="11" activeTab="11" xr2:uid="{00000000-000D-0000-FFFF-FFFF00000000}"/>
  </bookViews>
  <sheets>
    <sheet name="A216810396964DCDB399904ED81BA8E" sheetId="61" state="veryHidden" r:id="rId1"/>
    <sheet name="Rate Change Analysis" sheetId="63" state="hidden" r:id="rId2"/>
    <sheet name="Typical Bill" sheetId="44" state="hidden" r:id="rId3"/>
    <sheet name="Databases &gt;" sheetId="49" state="hidden" r:id="rId4"/>
    <sheet name="Input Data" sheetId="5" state="hidden" r:id="rId5"/>
    <sheet name="Case Database" sheetId="16" state="hidden" r:id="rId6"/>
    <sheet name="Forecast" sheetId="33" state="hidden" r:id="rId7"/>
    <sheet name="Sales Volumes" sheetId="41" state="hidden" r:id="rId8"/>
    <sheet name="FT Data" sheetId="48" state="hidden" r:id="rId9"/>
    <sheet name="TS-2 Data" sheetId="47" state="hidden" r:id="rId10"/>
    <sheet name="FILING &gt;" sheetId="50" state="hidden" r:id="rId11"/>
    <sheet name="Cover Sheet" sheetId="40" r:id="rId12"/>
    <sheet name="Summary Sheet" sheetId="1" r:id="rId13"/>
    <sheet name="Exhibit A-1 Write-Up" sheetId="54" state="hidden" r:id="rId14"/>
    <sheet name="Ex A 1 of 2" sheetId="2" r:id="rId15"/>
    <sheet name="Ex A 2 of 2" sheetId="3" r:id="rId16"/>
    <sheet name="Exhibit B Write-Up" sheetId="59" r:id="rId17"/>
    <sheet name="Ex B-1 1 of 7" sheetId="4" r:id="rId18"/>
    <sheet name="Ex B-1 2 of 7" sheetId="6" r:id="rId19"/>
    <sheet name="Ex B-1 3 of 7" sheetId="45" r:id="rId20"/>
    <sheet name="Ex B-1 4 of 7" sheetId="7" r:id="rId21"/>
    <sheet name="Ex B-1 5 of 7" sheetId="8" r:id="rId22"/>
    <sheet name="Ex B-1 6 of 7" sheetId="52" r:id="rId23"/>
    <sheet name="Ex B-1 7 of 7" sheetId="51" r:id="rId24"/>
    <sheet name="Ex B-2 1 of 1" sheetId="62" r:id="rId25"/>
    <sheet name="Exhibit C Write-Up" sheetId="58" r:id="rId26"/>
    <sheet name="Ex C-1 1 of 3" sheetId="9" r:id="rId27"/>
    <sheet name="Ex C-1 2 of 3" sheetId="10" r:id="rId28"/>
    <sheet name="Ex C-1 3 of 3" sheetId="37" r:id="rId29"/>
    <sheet name="Exhibit D Write-Up" sheetId="57" r:id="rId30"/>
    <sheet name="Ex D-1 1 of 2" sheetId="11" r:id="rId31"/>
    <sheet name="Ex D-1 2 of 2" sheetId="34" r:id="rId32"/>
    <sheet name="Exhibit E Write-Up" sheetId="56" r:id="rId33"/>
    <sheet name="Ex E-1 1 of 1" sheetId="12" r:id="rId34"/>
    <sheet name="Ex E-1 2 of 2" sheetId="36" state="hidden" r:id="rId35"/>
    <sheet name="Exhibit F Write-Up" sheetId="55" r:id="rId36"/>
    <sheet name="Ex F-1 1 of 1" sheetId="39" r:id="rId37"/>
    <sheet name="Effective Rates" sheetId="14" r:id="rId38"/>
    <sheet name="FT Rate Summary" sheetId="15" r:id="rId39"/>
    <sheet name="Rate LGDS" sheetId="53" r:id="rId40"/>
  </sheets>
  <definedNames>
    <definedName name="_xlnm._FilterDatabase" localSheetId="0" hidden="1">A216810396964DCDB399904ED81BA8E!$A$1:$C$1</definedName>
    <definedName name="_ftn1" localSheetId="13">'Exhibit A-1 Write-Up'!#REF!</definedName>
    <definedName name="_ftnref1" localSheetId="13">'Exhibit A-1 Write-Up'!#REF!</definedName>
    <definedName name="_xlnm.Print_Area" localSheetId="5">'Case Database'!$A$1:$F$71</definedName>
    <definedName name="_xlnm.Print_Area" localSheetId="37">'Effective Rates'!$A$1:$S$142</definedName>
    <definedName name="_xlnm.Print_Area" localSheetId="14">'Ex A 1 of 2'!$A$1:$G$83</definedName>
    <definedName name="_xlnm.Print_Area" localSheetId="15">'Ex A 2 of 2'!$A$1:$F$56</definedName>
    <definedName name="_xlnm.Print_Area" localSheetId="17">'Ex B-1 1 of 7'!$A$1:$F$33</definedName>
    <definedName name="_xlnm.Print_Area" localSheetId="18">'Ex B-1 2 of 7'!$A$1:$N$32</definedName>
    <definedName name="_xlnm.Print_Area" localSheetId="19">'Ex B-1 3 of 7'!$A$1:$N$28</definedName>
    <definedName name="_xlnm.Print_Area" localSheetId="20">'Ex B-1 4 of 7'!$A$1:$M$29</definedName>
    <definedName name="_xlnm.Print_Area" localSheetId="21">'Ex B-1 5 of 7'!$A$1:$I$35</definedName>
    <definedName name="_xlnm.Print_Area" localSheetId="26">'Ex C-1 1 of 3'!$A$1:$D$29</definedName>
    <definedName name="_xlnm.Print_Area" localSheetId="27">'Ex C-1 2 of 3'!$A$1:$H$29</definedName>
    <definedName name="_xlnm.Print_Area" localSheetId="28">'Ex C-1 3 of 3'!$A$6:$H$27</definedName>
    <definedName name="_xlnm.Print_Area" localSheetId="30">'Ex D-1 1 of 2'!$A$1:$J$21</definedName>
    <definedName name="_xlnm.Print_Area" localSheetId="31">'Ex D-1 2 of 2'!$A$1:$H$35</definedName>
    <definedName name="_xlnm.Print_Area" localSheetId="33">'Ex E-1 1 of 1'!$A$1:$E$24</definedName>
    <definedName name="_xlnm.Print_Area" localSheetId="34">'Ex E-1 2 of 2'!$A$1:$K$33</definedName>
    <definedName name="_xlnm.Print_Area" localSheetId="36">'Ex F-1 1 of 1'!$A$1:$F$22</definedName>
    <definedName name="_xlnm.Print_Area" localSheetId="13">'Exhibit A-1 Write-Up'!$A$1:$K$153</definedName>
    <definedName name="_xlnm.Print_Area" localSheetId="16">'Exhibit B Write-Up'!$B$1:$I$33</definedName>
    <definedName name="_xlnm.Print_Area" localSheetId="8">'FT Data'!$A$1:$BJ$10</definedName>
    <definedName name="_xlnm.Print_Area" localSheetId="38">'FT Rate Summary'!$A$1:$I$57</definedName>
    <definedName name="_xlnm.Print_Area" localSheetId="4">'Input Data'!$B$1:$D$16</definedName>
    <definedName name="_xlnm.Print_Area" localSheetId="39">'Rate LGDS'!$A$1:$I$56</definedName>
    <definedName name="_xlnm.Print_Area" localSheetId="7">'Sales Volumes'!$A$1:$H$14</definedName>
    <definedName name="_xlnm.Print_Area" localSheetId="12">'Summary Sheet'!$A$1:$K$59</definedName>
    <definedName name="_xlnm.Print_Titles" localSheetId="5">'Case Database'!$3:$3</definedName>
    <definedName name="_xlnm.Print_Titles" localSheetId="7">'Sales Volumes'!$2:$3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8" i="1" l="1"/>
  <c r="G4" i="63"/>
  <c r="E4" i="63"/>
  <c r="D21" i="12" l="1"/>
  <c r="C21" i="12"/>
  <c r="C18" i="5" l="1"/>
  <c r="F105" i="16" l="1"/>
  <c r="F106" i="16"/>
  <c r="B106" i="16"/>
  <c r="F104" i="16"/>
  <c r="B105" i="16"/>
  <c r="D17" i="3" l="1"/>
  <c r="C17" i="3"/>
  <c r="D75" i="2"/>
  <c r="E75" i="2"/>
  <c r="C75" i="2"/>
  <c r="C51" i="2" s="1"/>
  <c r="D12" i="2"/>
  <c r="E12" i="2"/>
  <c r="C12" i="2"/>
  <c r="A75" i="2"/>
  <c r="A76" i="2" s="1"/>
  <c r="F12" i="2"/>
  <c r="B104" i="16"/>
  <c r="F17" i="3" l="1"/>
  <c r="D51" i="2"/>
  <c r="E51" i="2"/>
  <c r="F103" i="16"/>
  <c r="B103" i="16" l="1"/>
  <c r="B24" i="63" l="1"/>
  <c r="B25" i="63"/>
  <c r="B26" i="63"/>
  <c r="B23" i="63"/>
  <c r="G11" i="63"/>
  <c r="B11" i="63"/>
  <c r="B7" i="63"/>
  <c r="B8" i="63"/>
  <c r="B9" i="63"/>
  <c r="B10" i="63"/>
  <c r="B6" i="63"/>
  <c r="B16" i="63" s="1"/>
  <c r="B19" i="59"/>
  <c r="F102" i="16"/>
  <c r="B102" i="16"/>
  <c r="B18" i="58"/>
  <c r="F101" i="16"/>
  <c r="A152" i="33"/>
  <c r="A153" i="33" s="1"/>
  <c r="A154" i="33" s="1"/>
  <c r="A155" i="33" s="1"/>
  <c r="A156" i="33" s="1"/>
  <c r="A157" i="33" s="1"/>
  <c r="A158" i="33" s="1"/>
  <c r="A159" i="33" s="1"/>
  <c r="A160" i="33" s="1"/>
  <c r="A161" i="33" s="1"/>
  <c r="A162" i="33" s="1"/>
  <c r="A163" i="33" s="1"/>
  <c r="E11" i="63" l="1"/>
  <c r="B101" i="16"/>
  <c r="F100" i="16"/>
  <c r="B100" i="16"/>
  <c r="AK25" i="44"/>
  <c r="AK23" i="44"/>
  <c r="AI15" i="44"/>
  <c r="AI13" i="44"/>
  <c r="AI11" i="44"/>
  <c r="AI9" i="44"/>
  <c r="AK7" i="44"/>
  <c r="AD25" i="44"/>
  <c r="AD23" i="44"/>
  <c r="AB15" i="44"/>
  <c r="AB13" i="44"/>
  <c r="AB9" i="44"/>
  <c r="AD9" i="44" s="1"/>
  <c r="AD7" i="44"/>
  <c r="AG15" i="44"/>
  <c r="AG13" i="44"/>
  <c r="AG11" i="44"/>
  <c r="AG9" i="44"/>
  <c r="Z15" i="44"/>
  <c r="Z13" i="44"/>
  <c r="Z11" i="44"/>
  <c r="AK17" i="44"/>
  <c r="AD17" i="44"/>
  <c r="AK15" i="44" l="1"/>
  <c r="AD15" i="44"/>
  <c r="AK13" i="44"/>
  <c r="AK11" i="44"/>
  <c r="AK9" i="44"/>
  <c r="AD13" i="44"/>
  <c r="F99" i="16"/>
  <c r="B99" i="16"/>
  <c r="J15" i="44"/>
  <c r="Q15" i="44"/>
  <c r="B98" i="16"/>
  <c r="AK21" i="44" l="1"/>
  <c r="AK27" i="44" s="1"/>
  <c r="C45" i="44" s="1"/>
  <c r="B97" i="16"/>
  <c r="A150" i="33" l="1"/>
  <c r="A151" i="33" s="1"/>
  <c r="A141" i="33"/>
  <c r="A142" i="33" s="1"/>
  <c r="A143" i="33" s="1"/>
  <c r="A144" i="33" s="1"/>
  <c r="A145" i="33" s="1"/>
  <c r="A146" i="33" s="1"/>
  <c r="A147" i="33" s="1"/>
  <c r="A148" i="33" s="1"/>
  <c r="A149" i="33" s="1"/>
  <c r="A140" i="33"/>
  <c r="J9" i="44" l="1"/>
  <c r="J11" i="44"/>
  <c r="J13" i="44"/>
  <c r="Q9" i="44"/>
  <c r="Q11" i="44"/>
  <c r="Q13" i="44"/>
  <c r="F98" i="16" l="1"/>
  <c r="B96" i="16" l="1"/>
  <c r="F96" i="16" l="1"/>
  <c r="F97" i="16"/>
  <c r="F95" i="16" l="1"/>
  <c r="B95" i="16"/>
  <c r="C15" i="44"/>
  <c r="F94" i="16" l="1"/>
  <c r="B94" i="16"/>
  <c r="D73" i="2" l="1"/>
  <c r="E73" i="2"/>
  <c r="C73" i="2"/>
  <c r="D10" i="2"/>
  <c r="E10" i="2"/>
  <c r="C10" i="2"/>
  <c r="C49" i="2" s="1"/>
  <c r="F10" i="2" l="1"/>
  <c r="D49" i="2"/>
  <c r="E49" i="2"/>
  <c r="C15" i="3"/>
  <c r="D15" i="3"/>
  <c r="F15" i="3" l="1"/>
  <c r="F93" i="16"/>
  <c r="B93" i="16" l="1"/>
  <c r="F91" i="16" l="1"/>
  <c r="C5" i="5" l="1"/>
  <c r="F92" i="16"/>
  <c r="B92" i="16"/>
  <c r="B91" i="16" l="1"/>
  <c r="B17" i="59"/>
  <c r="F195" i="5" l="1"/>
  <c r="F90" i="16" l="1"/>
  <c r="E184" i="5" l="1"/>
  <c r="E185" i="5"/>
  <c r="E186" i="5"/>
  <c r="E187" i="5"/>
  <c r="E188" i="5"/>
  <c r="E189" i="5"/>
  <c r="E190" i="5"/>
  <c r="E191" i="5"/>
  <c r="E192" i="5"/>
  <c r="E193" i="5"/>
  <c r="E194" i="5"/>
  <c r="E183" i="5"/>
  <c r="E195" i="5" l="1"/>
  <c r="B90" i="16"/>
  <c r="F89" i="16" l="1"/>
  <c r="B89" i="16"/>
  <c r="I16" i="7" l="1"/>
  <c r="C111" i="5" l="1"/>
  <c r="F88" i="16" l="1"/>
  <c r="B88" i="16"/>
  <c r="F87" i="16" l="1"/>
  <c r="B87" i="16"/>
  <c r="E111" i="5" l="1"/>
  <c r="U7" i="44" l="1"/>
  <c r="K43" i="14" l="1"/>
  <c r="K23" i="14"/>
  <c r="K32" i="14" l="1"/>
  <c r="B183" i="5"/>
  <c r="B184" i="5" s="1"/>
  <c r="B185" i="5" s="1"/>
  <c r="B186" i="5" s="1"/>
  <c r="B187" i="5" s="1"/>
  <c r="B188" i="5" s="1"/>
  <c r="B189" i="5" s="1"/>
  <c r="B190" i="5" s="1"/>
  <c r="B191" i="5" s="1"/>
  <c r="B192" i="5" s="1"/>
  <c r="B193" i="5" s="1"/>
  <c r="B194" i="5" s="1"/>
  <c r="D111" i="5" l="1"/>
  <c r="D104" i="5"/>
  <c r="E104" i="5"/>
  <c r="C104" i="5"/>
  <c r="B84" i="41" l="1"/>
  <c r="B85" i="41"/>
  <c r="B86" i="41"/>
  <c r="F86" i="16" l="1"/>
  <c r="B86" i="16"/>
  <c r="B21" i="40" l="1"/>
  <c r="B17" i="39" l="1"/>
  <c r="B15" i="39"/>
  <c r="F85" i="16"/>
  <c r="B81" i="41" l="1"/>
  <c r="B82" i="41"/>
  <c r="B83" i="41"/>
  <c r="B85" i="16" l="1"/>
  <c r="N15" i="44" l="1"/>
  <c r="B10" i="58" l="1"/>
  <c r="B9" i="55"/>
  <c r="H16" i="36"/>
  <c r="E16" i="36"/>
  <c r="K14" i="36"/>
  <c r="D13" i="12"/>
  <c r="C13" i="12"/>
  <c r="H13" i="34"/>
  <c r="E12" i="11"/>
  <c r="D12" i="11"/>
  <c r="H18" i="37"/>
  <c r="H11" i="10"/>
  <c r="H33" i="8"/>
  <c r="H32" i="8"/>
  <c r="H31" i="8"/>
  <c r="G33" i="8"/>
  <c r="G32" i="8"/>
  <c r="G31" i="8"/>
  <c r="F33" i="8"/>
  <c r="F32" i="8"/>
  <c r="F31" i="8"/>
  <c r="E33" i="8"/>
  <c r="E32" i="8"/>
  <c r="E31" i="8"/>
  <c r="D33" i="8"/>
  <c r="D32" i="8"/>
  <c r="D31" i="8"/>
  <c r="C33" i="8"/>
  <c r="C32" i="8"/>
  <c r="C31" i="8"/>
  <c r="B33" i="8"/>
  <c r="B32" i="8"/>
  <c r="B31" i="8"/>
  <c r="H19" i="8"/>
  <c r="H18" i="8"/>
  <c r="H17" i="8"/>
  <c r="G19" i="8"/>
  <c r="G18" i="8"/>
  <c r="G17" i="8"/>
  <c r="F19" i="8"/>
  <c r="F18" i="8"/>
  <c r="F17" i="8"/>
  <c r="E19" i="8"/>
  <c r="E18" i="8"/>
  <c r="E17" i="8"/>
  <c r="D19" i="8"/>
  <c r="D18" i="8"/>
  <c r="D17" i="8"/>
  <c r="C19" i="8"/>
  <c r="C18" i="8"/>
  <c r="C17" i="8"/>
  <c r="L15" i="45"/>
  <c r="L14" i="45"/>
  <c r="L13" i="45"/>
  <c r="H23" i="6"/>
  <c r="H22" i="6"/>
  <c r="H21" i="6"/>
  <c r="K54" i="3"/>
  <c r="K53" i="3"/>
  <c r="K52" i="3"/>
  <c r="K51" i="3"/>
  <c r="F18" i="3"/>
  <c r="D16" i="3"/>
  <c r="C16" i="3"/>
  <c r="D14" i="3"/>
  <c r="C14" i="3"/>
  <c r="D13" i="3"/>
  <c r="C13" i="3"/>
  <c r="F13" i="3" s="1"/>
  <c r="E74" i="2"/>
  <c r="D74" i="2"/>
  <c r="C74" i="2"/>
  <c r="E72" i="2"/>
  <c r="D72" i="2"/>
  <c r="C72" i="2"/>
  <c r="E71" i="2"/>
  <c r="D71" i="2"/>
  <c r="C71" i="2"/>
  <c r="E16" i="2"/>
  <c r="E15" i="2"/>
  <c r="D16" i="2"/>
  <c r="D15" i="2"/>
  <c r="C16" i="2"/>
  <c r="C15" i="2"/>
  <c r="C53" i="2" s="1"/>
  <c r="E11" i="2"/>
  <c r="D11" i="2"/>
  <c r="C11" i="2"/>
  <c r="E9" i="2"/>
  <c r="D9" i="2"/>
  <c r="C9" i="2"/>
  <c r="C48" i="2" s="1"/>
  <c r="E8" i="2"/>
  <c r="D8" i="2"/>
  <c r="C8" i="2"/>
  <c r="C54" i="2" l="1"/>
  <c r="C50" i="2"/>
  <c r="C47" i="2"/>
  <c r="H25" i="6"/>
  <c r="D13" i="2"/>
  <c r="E13" i="2"/>
  <c r="F15" i="2"/>
  <c r="F16" i="2"/>
  <c r="C13" i="2"/>
  <c r="I18" i="8"/>
  <c r="I17" i="8"/>
  <c r="I31" i="8"/>
  <c r="F16" i="3"/>
  <c r="F19" i="3" s="1"/>
  <c r="D50" i="2"/>
  <c r="C99" i="5"/>
  <c r="D99" i="5" s="1"/>
  <c r="E99" i="5" s="1"/>
  <c r="F54" i="3" l="1"/>
  <c r="F56" i="3" s="1"/>
  <c r="F27" i="3"/>
  <c r="F13" i="2"/>
  <c r="C21" i="2"/>
  <c r="L10" i="11"/>
  <c r="C2" i="16" l="1"/>
  <c r="D2" i="16" s="1"/>
  <c r="E2" i="16" s="1"/>
  <c r="F2" i="16" s="1"/>
  <c r="G2" i="16" s="1"/>
  <c r="H2" i="16" s="1"/>
  <c r="I2" i="16" s="1"/>
  <c r="J2" i="16" s="1"/>
  <c r="K2" i="16" s="1"/>
  <c r="L2" i="16" s="1"/>
  <c r="M2" i="16" s="1"/>
  <c r="N2" i="16" s="1"/>
  <c r="O2" i="16" s="1"/>
  <c r="P2" i="16" s="1"/>
  <c r="Q2" i="16" s="1"/>
  <c r="B2" i="16"/>
  <c r="C87" i="5"/>
  <c r="C116" i="5" l="1"/>
  <c r="C81" i="5"/>
  <c r="D87" i="5"/>
  <c r="D81" i="5" s="1"/>
  <c r="C23" i="5"/>
  <c r="D23" i="5" s="1"/>
  <c r="E23" i="5" s="1"/>
  <c r="B3" i="55"/>
  <c r="B17" i="55"/>
  <c r="B15" i="55"/>
  <c r="B3" i="58" l="1"/>
  <c r="B3" i="59"/>
  <c r="D116" i="5"/>
  <c r="E87" i="5"/>
  <c r="B3" i="57"/>
  <c r="B3" i="56"/>
  <c r="B5" i="54"/>
  <c r="B3" i="54"/>
  <c r="E116" i="5" l="1"/>
  <c r="E81" i="5"/>
  <c r="B78" i="41" l="1"/>
  <c r="B79" i="41"/>
  <c r="B80" i="41"/>
  <c r="B84" i="16"/>
  <c r="F84" i="16"/>
  <c r="B75" i="41" l="1"/>
  <c r="B76" i="41"/>
  <c r="B77" i="41"/>
  <c r="F83" i="16"/>
  <c r="B83" i="16"/>
  <c r="B72" i="41" l="1"/>
  <c r="B73" i="41"/>
  <c r="B74" i="41"/>
  <c r="B82" i="16" l="1"/>
  <c r="F82" i="16"/>
  <c r="B69" i="41" l="1"/>
  <c r="B70" i="41"/>
  <c r="B71" i="41"/>
  <c r="F81" i="16"/>
  <c r="B81" i="16"/>
  <c r="N7" i="44" l="1"/>
  <c r="G7" i="44"/>
  <c r="F9" i="2" l="1"/>
  <c r="B66" i="41" l="1"/>
  <c r="B67" i="41"/>
  <c r="B68" i="41"/>
  <c r="B80" i="16"/>
  <c r="F79" i="16"/>
  <c r="F80" i="16"/>
  <c r="B79" i="16" l="1"/>
  <c r="U17" i="44" l="1"/>
  <c r="B63" i="41" l="1"/>
  <c r="B64" i="41"/>
  <c r="B65" i="41"/>
  <c r="B60" i="41" l="1"/>
  <c r="B61" i="41"/>
  <c r="B62" i="41"/>
  <c r="A11" i="33" l="1"/>
  <c r="F78" i="16"/>
  <c r="B78" i="16"/>
  <c r="A12" i="33" l="1"/>
  <c r="A13" i="33" s="1"/>
  <c r="A14" i="33" s="1"/>
  <c r="A15" i="33" s="1"/>
  <c r="A16" i="33" s="1"/>
  <c r="A17" i="33" s="1"/>
  <c r="A18" i="33" s="1"/>
  <c r="A19" i="33" s="1"/>
  <c r="A20" i="33" s="1"/>
  <c r="A21" i="33" s="1"/>
  <c r="A22" i="33" s="1"/>
  <c r="A23" i="33" s="1"/>
  <c r="A24" i="33" s="1"/>
  <c r="A25" i="33" s="1"/>
  <c r="A26" i="33" s="1"/>
  <c r="A27" i="33" s="1"/>
  <c r="A28" i="33" s="1"/>
  <c r="A29" i="33" s="1"/>
  <c r="A30" i="33" s="1"/>
  <c r="A31" i="33" s="1"/>
  <c r="Q74" i="14"/>
  <c r="D23" i="2" l="1"/>
  <c r="E23" i="2"/>
  <c r="C23" i="2"/>
  <c r="D22" i="2"/>
  <c r="E22" i="2"/>
  <c r="C22" i="2"/>
  <c r="C24" i="2" l="1"/>
  <c r="B57" i="41"/>
  <c r="B58" i="41"/>
  <c r="B59" i="41"/>
  <c r="F77" i="16" l="1"/>
  <c r="B77" i="16"/>
  <c r="C43" i="44" l="1"/>
  <c r="C33" i="44"/>
  <c r="Q93" i="14" l="1"/>
  <c r="G91" i="14"/>
  <c r="G79" i="14"/>
  <c r="G72" i="14"/>
  <c r="N17" i="44" l="1"/>
  <c r="G17" i="44"/>
  <c r="U15" i="44" l="1"/>
  <c r="B54" i="41" l="1"/>
  <c r="B55" i="41"/>
  <c r="B56" i="41"/>
  <c r="F76" i="16"/>
  <c r="B76" i="16"/>
  <c r="B51" i="41" l="1"/>
  <c r="B52" i="41"/>
  <c r="B53" i="41"/>
  <c r="F75" i="16"/>
  <c r="B75" i="16"/>
  <c r="B48" i="41" l="1"/>
  <c r="B49" i="41"/>
  <c r="B50" i="41"/>
  <c r="B74" i="16" l="1"/>
  <c r="F74" i="16"/>
  <c r="G15" i="44" l="1"/>
  <c r="B45" i="41" l="1"/>
  <c r="B46" i="41"/>
  <c r="B47" i="41"/>
  <c r="F73" i="16" l="1"/>
  <c r="B73" i="16"/>
  <c r="I99" i="14" l="1"/>
  <c r="Q81" i="14" l="1"/>
  <c r="G52" i="53" l="1"/>
  <c r="G51" i="53"/>
  <c r="G50" i="53"/>
  <c r="G49" i="53"/>
  <c r="G48" i="53"/>
  <c r="G45" i="53"/>
  <c r="G44" i="53"/>
  <c r="G43" i="53"/>
  <c r="G42" i="53"/>
  <c r="A6" i="53"/>
  <c r="K55" i="3" l="1"/>
  <c r="F55" i="3" s="1"/>
  <c r="Q100" i="14" l="1"/>
  <c r="Q52" i="14"/>
  <c r="Q50" i="14"/>
  <c r="Q49" i="14"/>
  <c r="Q67" i="14" s="1"/>
  <c r="Q43" i="14"/>
  <c r="Q41" i="14"/>
  <c r="Q34" i="14"/>
  <c r="Q32" i="14"/>
  <c r="Q31" i="14"/>
  <c r="Q25" i="14"/>
  <c r="Q23" i="14"/>
  <c r="G98" i="14" l="1"/>
  <c r="B42" i="41" l="1"/>
  <c r="B43" i="41"/>
  <c r="B44" i="41"/>
  <c r="F72" i="16" l="1"/>
  <c r="B72" i="16"/>
  <c r="B39" i="41" l="1"/>
  <c r="B40" i="41"/>
  <c r="B41" i="41"/>
  <c r="F71" i="16" l="1"/>
  <c r="B71" i="16"/>
  <c r="F70" i="16" l="1"/>
  <c r="B70" i="16"/>
  <c r="B36" i="41" l="1"/>
  <c r="B37" i="41"/>
  <c r="B38" i="41"/>
  <c r="A9" i="2" l="1"/>
  <c r="A10" i="2" l="1"/>
  <c r="A11" i="2" s="1"/>
  <c r="A12" i="2" s="1"/>
  <c r="A13" i="2" s="1"/>
  <c r="I32" i="8"/>
  <c r="B33" i="41" l="1"/>
  <c r="B34" i="41"/>
  <c r="B35" i="41"/>
  <c r="F69" i="16" l="1"/>
  <c r="B69" i="16"/>
  <c r="B4" i="12" l="1"/>
  <c r="M11" i="6" l="1"/>
  <c r="M12" i="6"/>
  <c r="M10" i="6"/>
  <c r="M14" i="6" l="1"/>
  <c r="M14" i="45"/>
  <c r="M15" i="45"/>
  <c r="M13" i="45"/>
  <c r="B30" i="41" l="1"/>
  <c r="B31" i="41"/>
  <c r="B32" i="41"/>
  <c r="F68" i="16"/>
  <c r="B68" i="16"/>
  <c r="I19" i="8" l="1"/>
  <c r="C11" i="5" l="1"/>
  <c r="B27" i="41" l="1"/>
  <c r="B28" i="41"/>
  <c r="B29" i="41"/>
  <c r="L16" i="7" l="1"/>
  <c r="L17" i="7"/>
  <c r="L15" i="7"/>
  <c r="K16" i="7"/>
  <c r="K17" i="7"/>
  <c r="K15" i="7"/>
  <c r="I17" i="7"/>
  <c r="I15" i="7"/>
  <c r="H16" i="7"/>
  <c r="H17" i="7"/>
  <c r="H15" i="7"/>
  <c r="G16" i="7"/>
  <c r="G17" i="7"/>
  <c r="G15" i="7"/>
  <c r="F16" i="7"/>
  <c r="F17" i="7"/>
  <c r="F15" i="7"/>
  <c r="E16" i="7"/>
  <c r="E17" i="7"/>
  <c r="E15" i="7"/>
  <c r="K14" i="45"/>
  <c r="K15" i="45"/>
  <c r="K13" i="45"/>
  <c r="J14" i="45"/>
  <c r="J15" i="45"/>
  <c r="J13" i="45"/>
  <c r="I14" i="45"/>
  <c r="I15" i="45"/>
  <c r="I13" i="45"/>
  <c r="H14" i="45"/>
  <c r="H15" i="45"/>
  <c r="H13" i="45"/>
  <c r="G14" i="45"/>
  <c r="G15" i="45"/>
  <c r="G13" i="45"/>
  <c r="D14" i="45"/>
  <c r="D15" i="45"/>
  <c r="D13" i="45"/>
  <c r="A15" i="2" l="1"/>
  <c r="A16" i="2" s="1"/>
  <c r="A17" i="2" s="1"/>
  <c r="A21" i="2" s="1"/>
  <c r="A22" i="2" s="1"/>
  <c r="A23" i="2" s="1"/>
  <c r="A24" i="2" s="1"/>
  <c r="A27" i="2" s="1"/>
  <c r="A28" i="2" s="1"/>
  <c r="A30" i="2" s="1"/>
  <c r="A31" i="2" s="1"/>
  <c r="A32" i="2" s="1"/>
  <c r="A34" i="2" s="1"/>
  <c r="A35" i="2" s="1"/>
  <c r="A36" i="2" s="1"/>
  <c r="A37" i="2" s="1"/>
  <c r="A38" i="2" s="1"/>
  <c r="A39" i="2" s="1"/>
  <c r="A41" i="2" s="1"/>
  <c r="A44" i="2" s="1"/>
  <c r="A45" i="2" s="1"/>
  <c r="A46" i="2" s="1"/>
  <c r="A47" i="2" s="1"/>
  <c r="A48" i="2" l="1"/>
  <c r="F67" i="16"/>
  <c r="B67" i="16"/>
  <c r="A49" i="2" l="1"/>
  <c r="A50" i="2" s="1"/>
  <c r="A4" i="6"/>
  <c r="A51" i="2" l="1"/>
  <c r="A52" i="2" s="1"/>
  <c r="A53" i="2" s="1"/>
  <c r="A54" i="2" s="1"/>
  <c r="A55" i="2" s="1"/>
  <c r="A56" i="2" s="1"/>
  <c r="A57" i="2" s="1"/>
  <c r="A58" i="2" s="1"/>
  <c r="A60" i="2" s="1"/>
  <c r="A61" i="2" s="1"/>
  <c r="A62" i="2" s="1"/>
  <c r="A63" i="2" s="1"/>
  <c r="A64" i="2" s="1"/>
  <c r="A65" i="2" s="1"/>
  <c r="A67" i="2" s="1"/>
  <c r="A70" i="2" s="1"/>
  <c r="A71" i="2" s="1"/>
  <c r="A72" i="2" s="1"/>
  <c r="A73" i="2" s="1"/>
  <c r="A74" i="2" s="1"/>
  <c r="A77" i="2" s="1"/>
  <c r="A80" i="2" s="1"/>
  <c r="A83" i="2" s="1"/>
  <c r="B19" i="12"/>
  <c r="F66" i="16" l="1"/>
  <c r="B66" i="16"/>
  <c r="A4" i="45" l="1"/>
  <c r="F14" i="3" l="1"/>
  <c r="B23" i="41" l="1"/>
  <c r="B24" i="41"/>
  <c r="B25" i="41"/>
  <c r="B26" i="41"/>
  <c r="F65" i="16" l="1"/>
  <c r="B65" i="16"/>
  <c r="G47" i="14"/>
  <c r="G29" i="14"/>
  <c r="K25" i="14" l="1"/>
  <c r="U13" i="44" l="1"/>
  <c r="N13" i="44"/>
  <c r="C13" i="44"/>
  <c r="G13" i="44" s="1"/>
  <c r="U11" i="44"/>
  <c r="C11" i="44"/>
  <c r="G11" i="44" s="1"/>
  <c r="U9" i="44"/>
  <c r="N9" i="44"/>
  <c r="G9" i="44"/>
  <c r="J5" i="44"/>
  <c r="C4" i="63" s="1"/>
  <c r="C5" i="44" l="1"/>
  <c r="Z5" i="44"/>
  <c r="AG5" i="44" s="1"/>
  <c r="U21" i="44"/>
  <c r="U27" i="44" s="1"/>
  <c r="G21" i="44"/>
  <c r="G27" i="44" s="1"/>
  <c r="Q5" i="44"/>
  <c r="B32" i="44"/>
  <c r="B38" i="44" s="1"/>
  <c r="B33" i="44" l="1"/>
  <c r="B37" i="44" s="1"/>
  <c r="C37" i="44"/>
  <c r="B18" i="41"/>
  <c r="B19" i="41"/>
  <c r="B20" i="41"/>
  <c r="B21" i="41"/>
  <c r="B22" i="41"/>
  <c r="F64" i="16" l="1"/>
  <c r="B64" i="16"/>
  <c r="B17" i="41" l="1"/>
  <c r="B16" i="41" l="1"/>
  <c r="B15" i="41"/>
  <c r="F63" i="16" l="1"/>
  <c r="B63" i="16"/>
  <c r="B14" i="41" l="1"/>
  <c r="E13" i="12" l="1"/>
  <c r="B13" i="41" l="1"/>
  <c r="F62" i="16"/>
  <c r="B62" i="16"/>
  <c r="D11" i="41" l="1"/>
  <c r="C11" i="41"/>
  <c r="B12" i="41"/>
  <c r="B11" i="41" l="1"/>
  <c r="D10" i="41"/>
  <c r="B10" i="41" s="1"/>
  <c r="D9" i="41"/>
  <c r="C9" i="41"/>
  <c r="B9" i="41" l="1"/>
  <c r="F61" i="16"/>
  <c r="B61" i="16"/>
  <c r="D8" i="41" l="1"/>
  <c r="C8" i="41"/>
  <c r="D7" i="41"/>
  <c r="C7" i="41"/>
  <c r="D6" i="41"/>
  <c r="C6" i="41"/>
  <c r="F60" i="16"/>
  <c r="B60" i="16"/>
  <c r="B6" i="41" l="1"/>
  <c r="B7" i="41"/>
  <c r="B8" i="41"/>
  <c r="B6" i="39" l="1"/>
  <c r="B3" i="36"/>
  <c r="B4" i="34"/>
  <c r="B4" i="11"/>
  <c r="B8" i="37"/>
  <c r="B3" i="10"/>
  <c r="B3" i="9"/>
  <c r="B3" i="8"/>
  <c r="B4" i="7"/>
  <c r="A5" i="4"/>
  <c r="F59" i="16" l="1"/>
  <c r="B59" i="16"/>
  <c r="C34" i="2" l="1"/>
  <c r="C60" i="2" s="1"/>
  <c r="I33" i="8" l="1"/>
  <c r="D17" i="2" l="1"/>
  <c r="E17" i="2"/>
  <c r="I35" i="8"/>
  <c r="E21" i="2" l="1"/>
  <c r="D21" i="2"/>
  <c r="C17" i="2"/>
  <c r="I21" i="8"/>
  <c r="F58" i="16" l="1"/>
  <c r="B58" i="16"/>
  <c r="F11" i="2" l="1"/>
  <c r="F8" i="2"/>
  <c r="E16" i="4" l="1"/>
  <c r="F57" i="16" l="1"/>
  <c r="B57" i="16"/>
  <c r="F56" i="16"/>
  <c r="B56" i="16"/>
  <c r="E48" i="2" l="1"/>
  <c r="E50" i="2"/>
  <c r="D48" i="2"/>
  <c r="B28" i="40"/>
  <c r="B3" i="39" l="1"/>
  <c r="B81" i="2" l="1"/>
  <c r="A6" i="15" l="1"/>
  <c r="A5" i="14"/>
  <c r="O23" i="14"/>
  <c r="A108" i="14" l="1"/>
  <c r="A58" i="14"/>
  <c r="H18" i="36"/>
  <c r="H19" i="36"/>
  <c r="H20" i="36"/>
  <c r="H21" i="36"/>
  <c r="H22" i="36"/>
  <c r="H23" i="36"/>
  <c r="H24" i="36"/>
  <c r="H25" i="36"/>
  <c r="H26" i="36"/>
  <c r="H27" i="36"/>
  <c r="H28" i="36"/>
  <c r="H17" i="36"/>
  <c r="E19" i="36"/>
  <c r="E23" i="36"/>
  <c r="E27" i="36"/>
  <c r="E18" i="36"/>
  <c r="E17" i="36" l="1"/>
  <c r="E25" i="36"/>
  <c r="E21" i="36"/>
  <c r="E28" i="36"/>
  <c r="E24" i="36"/>
  <c r="E20" i="36"/>
  <c r="E26" i="36"/>
  <c r="E22" i="36"/>
  <c r="B16" i="36" l="1"/>
  <c r="B12" i="11"/>
  <c r="G16" i="36" l="1"/>
  <c r="I16" i="36" s="1"/>
  <c r="B6" i="36"/>
  <c r="D16" i="36"/>
  <c r="B17" i="36"/>
  <c r="C6" i="5"/>
  <c r="C8" i="5" s="1"/>
  <c r="B15" i="34" s="1"/>
  <c r="D15" i="34" l="1"/>
  <c r="E15" i="34"/>
  <c r="G17" i="36"/>
  <c r="I17" i="36" s="1"/>
  <c r="D17" i="36"/>
  <c r="F17" i="36" s="1"/>
  <c r="B18" i="36"/>
  <c r="F16" i="36"/>
  <c r="G18" i="36" l="1"/>
  <c r="I18" i="36" s="1"/>
  <c r="D18" i="36"/>
  <c r="B19" i="36"/>
  <c r="D19" i="36" l="1"/>
  <c r="F19" i="36" s="1"/>
  <c r="G19" i="36"/>
  <c r="I19" i="36" s="1"/>
  <c r="F18" i="36"/>
  <c r="B20" i="36"/>
  <c r="G20" i="36" l="1"/>
  <c r="I20" i="36" s="1"/>
  <c r="D20" i="36"/>
  <c r="F20" i="36" s="1"/>
  <c r="B21" i="36"/>
  <c r="G21" i="36" l="1"/>
  <c r="I21" i="36" s="1"/>
  <c r="D21" i="36"/>
  <c r="B22" i="36"/>
  <c r="G22" i="36" l="1"/>
  <c r="I22" i="36" s="1"/>
  <c r="D22" i="36"/>
  <c r="F22" i="36" s="1"/>
  <c r="F21" i="36"/>
  <c r="B23" i="36"/>
  <c r="G23" i="36" l="1"/>
  <c r="I23" i="36" s="1"/>
  <c r="D23" i="36"/>
  <c r="F23" i="36" s="1"/>
  <c r="B24" i="36"/>
  <c r="G24" i="36" l="1"/>
  <c r="I24" i="36" s="1"/>
  <c r="D24" i="36"/>
  <c r="F24" i="36" s="1"/>
  <c r="B25" i="36"/>
  <c r="G25" i="36" l="1"/>
  <c r="I25" i="36" s="1"/>
  <c r="D25" i="36"/>
  <c r="F25" i="36" s="1"/>
  <c r="B26" i="36"/>
  <c r="G26" i="36" l="1"/>
  <c r="I26" i="36" s="1"/>
  <c r="D26" i="36"/>
  <c r="F26" i="36" s="1"/>
  <c r="B27" i="36"/>
  <c r="G27" i="36" l="1"/>
  <c r="I27" i="36" s="1"/>
  <c r="D27" i="36"/>
  <c r="F27" i="36" s="1"/>
  <c r="B28" i="36"/>
  <c r="D28" i="36" s="1"/>
  <c r="I28" i="36" l="1"/>
  <c r="D29" i="36"/>
  <c r="B15" i="1"/>
  <c r="C7" i="5"/>
  <c r="F55" i="16"/>
  <c r="B55" i="16"/>
  <c r="B54" i="16"/>
  <c r="B53" i="16"/>
  <c r="B52" i="16"/>
  <c r="F54" i="16"/>
  <c r="F53" i="16"/>
  <c r="F52" i="16"/>
  <c r="F51" i="16"/>
  <c r="F50" i="16"/>
  <c r="F49" i="16"/>
  <c r="F48" i="16"/>
  <c r="F47" i="16"/>
  <c r="F46" i="16"/>
  <c r="F45" i="16"/>
  <c r="F44" i="16"/>
  <c r="F43" i="16"/>
  <c r="F42" i="16"/>
  <c r="F41" i="16"/>
  <c r="F40" i="16"/>
  <c r="F39" i="16"/>
  <c r="F38" i="16"/>
  <c r="F37" i="16"/>
  <c r="F36" i="16"/>
  <c r="F35" i="16"/>
  <c r="F34" i="16"/>
  <c r="F33" i="16"/>
  <c r="F32" i="16"/>
  <c r="F31" i="16"/>
  <c r="F30" i="16"/>
  <c r="F29" i="16"/>
  <c r="F28" i="16"/>
  <c r="F27" i="16"/>
  <c r="F26" i="16"/>
  <c r="F25" i="16"/>
  <c r="F24" i="16"/>
  <c r="F23" i="16"/>
  <c r="F22" i="16"/>
  <c r="F21" i="16"/>
  <c r="F20" i="16"/>
  <c r="F19" i="16"/>
  <c r="F18" i="16"/>
  <c r="F17" i="16"/>
  <c r="F16" i="16"/>
  <c r="F15" i="16"/>
  <c r="F14" i="16"/>
  <c r="A6" i="16"/>
  <c r="B5" i="16"/>
  <c r="F28" i="36" l="1"/>
  <c r="F29" i="36" s="1"/>
  <c r="G29" i="36"/>
  <c r="A5" i="48"/>
  <c r="A6" i="48" s="1"/>
  <c r="A7" i="48" s="1"/>
  <c r="A5" i="47"/>
  <c r="A6" i="47" s="1"/>
  <c r="A7" i="47" s="1"/>
  <c r="B20" i="37"/>
  <c r="B13" i="45"/>
  <c r="B14" i="45" s="1"/>
  <c r="B15" i="45" s="1"/>
  <c r="B6" i="16"/>
  <c r="A7" i="16"/>
  <c r="E20" i="37" l="1"/>
  <c r="D20" i="37"/>
  <c r="B7" i="16"/>
  <c r="A8" i="16"/>
  <c r="A9" i="16" l="1"/>
  <c r="B8" i="16"/>
  <c r="B9" i="16" l="1"/>
  <c r="A10" i="16"/>
  <c r="B10" i="16" l="1"/>
  <c r="A11" i="16"/>
  <c r="B11" i="16" l="1"/>
  <c r="A12" i="16"/>
  <c r="A13" i="16" l="1"/>
  <c r="B12" i="16"/>
  <c r="B13" i="16" l="1"/>
  <c r="A14" i="16"/>
  <c r="A15" i="16" l="1"/>
  <c r="B14" i="16"/>
  <c r="B15" i="16" l="1"/>
  <c r="A16" i="16"/>
  <c r="B16" i="16" l="1"/>
  <c r="A17" i="16"/>
  <c r="A18" i="16" l="1"/>
  <c r="B17" i="16"/>
  <c r="A19" i="16" l="1"/>
  <c r="B18" i="16"/>
  <c r="A20" i="16" l="1"/>
  <c r="B19" i="16"/>
  <c r="B20" i="16" l="1"/>
  <c r="A21" i="16"/>
  <c r="B21" i="16" l="1"/>
  <c r="A22" i="16"/>
  <c r="A23" i="16" l="1"/>
  <c r="B22" i="16"/>
  <c r="B23" i="16" l="1"/>
  <c r="A24" i="16"/>
  <c r="B24" i="16" l="1"/>
  <c r="A25" i="16"/>
  <c r="A26" i="16" l="1"/>
  <c r="B25" i="16"/>
  <c r="A27" i="16" l="1"/>
  <c r="B26" i="16"/>
  <c r="A28" i="16" l="1"/>
  <c r="B27" i="16"/>
  <c r="B28" i="16" l="1"/>
  <c r="A29" i="16"/>
  <c r="A30" i="16" l="1"/>
  <c r="B29" i="16"/>
  <c r="A31" i="16" l="1"/>
  <c r="B30" i="16"/>
  <c r="A32" i="16" l="1"/>
  <c r="B31" i="16"/>
  <c r="B32" i="16" l="1"/>
  <c r="A33" i="16"/>
  <c r="B33" i="16" l="1"/>
  <c r="A34" i="16"/>
  <c r="A35" i="16" l="1"/>
  <c r="B34" i="16"/>
  <c r="A36" i="16" l="1"/>
  <c r="B35" i="16"/>
  <c r="B36" i="16" l="1"/>
  <c r="A37" i="16"/>
  <c r="B37" i="16" l="1"/>
  <c r="A38" i="16"/>
  <c r="A39" i="16" l="1"/>
  <c r="B38" i="16"/>
  <c r="B39" i="16" l="1"/>
  <c r="A40" i="16"/>
  <c r="B40" i="16" l="1"/>
  <c r="A41" i="16"/>
  <c r="A42" i="16" l="1"/>
  <c r="B41" i="16"/>
  <c r="A43" i="16" l="1"/>
  <c r="B42" i="16"/>
  <c r="A44" i="16" l="1"/>
  <c r="B43" i="16"/>
  <c r="B44" i="16" l="1"/>
  <c r="A45" i="16"/>
  <c r="B45" i="16" l="1"/>
  <c r="A46" i="16"/>
  <c r="A47" i="16" l="1"/>
  <c r="B46" i="16"/>
  <c r="B47" i="16" l="1"/>
  <c r="A48" i="16"/>
  <c r="B48" i="16" l="1"/>
  <c r="A49" i="16"/>
  <c r="B49" i="16" l="1"/>
  <c r="A50" i="16"/>
  <c r="A51" i="16" l="1"/>
  <c r="B51" i="16" s="1"/>
  <c r="B50" i="16"/>
  <c r="C12" i="11" l="1"/>
  <c r="D201" i="5"/>
  <c r="B7" i="34"/>
  <c r="B13" i="37"/>
  <c r="B13" i="11"/>
  <c r="F15" i="34" l="1"/>
  <c r="F25" i="34" s="1"/>
  <c r="D165" i="5"/>
  <c r="C13" i="11"/>
  <c r="D149" i="5"/>
  <c r="F20" i="37"/>
  <c r="B14" i="11"/>
  <c r="A4" i="2"/>
  <c r="C6" i="2"/>
  <c r="B107" i="54" l="1"/>
  <c r="B118" i="54" s="1"/>
  <c r="G15" i="34"/>
  <c r="F23" i="34"/>
  <c r="F18" i="34"/>
  <c r="F27" i="34"/>
  <c r="F20" i="34"/>
  <c r="F26" i="34"/>
  <c r="F21" i="34"/>
  <c r="F16" i="34"/>
  <c r="F22" i="34"/>
  <c r="F17" i="34"/>
  <c r="F24" i="34"/>
  <c r="F19" i="34"/>
  <c r="G20" i="37"/>
  <c r="F21" i="37"/>
  <c r="F23" i="37"/>
  <c r="F22" i="37"/>
  <c r="C14" i="11"/>
  <c r="D13" i="11"/>
  <c r="E13" i="11"/>
  <c r="D24" i="2"/>
  <c r="D6" i="2"/>
  <c r="E24" i="2"/>
  <c r="F17" i="2"/>
  <c r="B15" i="11"/>
  <c r="B140" i="54" l="1"/>
  <c r="B129" i="54"/>
  <c r="B108" i="54"/>
  <c r="B119" i="54" s="1"/>
  <c r="C15" i="11"/>
  <c r="D14" i="11"/>
  <c r="E14" i="11"/>
  <c r="E6" i="2"/>
  <c r="B109" i="54" s="1"/>
  <c r="B120" i="54" s="1"/>
  <c r="B141" i="54" l="1"/>
  <c r="B130" i="54"/>
  <c r="B142" i="54"/>
  <c r="B131" i="54"/>
  <c r="D15" i="11"/>
  <c r="E15" i="11"/>
  <c r="A3" i="3"/>
  <c r="B52" i="1"/>
  <c r="A6" i="1"/>
  <c r="B21" i="37" l="1"/>
  <c r="D21" i="37" s="1"/>
  <c r="B22" i="37" l="1"/>
  <c r="D22" i="37" s="1"/>
  <c r="E21" i="37"/>
  <c r="G21" i="37" s="1"/>
  <c r="B23" i="37" l="1"/>
  <c r="E22" i="37"/>
  <c r="G22" i="37" s="1"/>
  <c r="I29" i="36"/>
  <c r="J17" i="36"/>
  <c r="J27" i="36"/>
  <c r="J28" i="36"/>
  <c r="J24" i="36"/>
  <c r="J20" i="36"/>
  <c r="J23" i="36"/>
  <c r="J19" i="36"/>
  <c r="J25" i="36"/>
  <c r="J21" i="36"/>
  <c r="J26" i="36"/>
  <c r="J22" i="36"/>
  <c r="J18" i="36"/>
  <c r="J16" i="36"/>
  <c r="E23" i="37" l="1"/>
  <c r="G23" i="37" s="1"/>
  <c r="D23" i="37"/>
  <c r="K16" i="36"/>
  <c r="K17" i="36" s="1"/>
  <c r="K18" i="36" s="1"/>
  <c r="K19" i="36" s="1"/>
  <c r="K20" i="36" s="1"/>
  <c r="K21" i="36" s="1"/>
  <c r="K22" i="36" s="1"/>
  <c r="K23" i="36" s="1"/>
  <c r="K24" i="36" s="1"/>
  <c r="K25" i="36" s="1"/>
  <c r="K26" i="36" s="1"/>
  <c r="K27" i="36" s="1"/>
  <c r="K28" i="36" s="1"/>
  <c r="J29" i="36"/>
  <c r="H15" i="34"/>
  <c r="B16" i="34"/>
  <c r="D16" i="34" l="1"/>
  <c r="E16" i="34"/>
  <c r="J31" i="36"/>
  <c r="B17" i="34"/>
  <c r="B13" i="10"/>
  <c r="E13" i="10" s="1"/>
  <c r="B13" i="4"/>
  <c r="C13" i="4" s="1"/>
  <c r="B9" i="59" s="1"/>
  <c r="B17" i="8"/>
  <c r="D12" i="9" l="1"/>
  <c r="D17" i="34"/>
  <c r="E17" i="34"/>
  <c r="F13" i="10"/>
  <c r="G13" i="10" s="1"/>
  <c r="D13" i="10"/>
  <c r="D143" i="5"/>
  <c r="C5" i="10"/>
  <c r="G16" i="34"/>
  <c r="H16" i="34" s="1"/>
  <c r="B14" i="10"/>
  <c r="D14" i="10" s="1"/>
  <c r="B14" i="4"/>
  <c r="B15" i="4" s="1"/>
  <c r="B16" i="4" s="1"/>
  <c r="C13" i="45"/>
  <c r="E13" i="45" s="1"/>
  <c r="F13" i="45" s="1"/>
  <c r="N13" i="45" s="1"/>
  <c r="L11" i="11"/>
  <c r="B18" i="34"/>
  <c r="B18" i="8"/>
  <c r="B15" i="7"/>
  <c r="D18" i="34" l="1"/>
  <c r="E18" i="34"/>
  <c r="F16" i="10"/>
  <c r="F20" i="10"/>
  <c r="F24" i="10"/>
  <c r="F15" i="10"/>
  <c r="F23" i="10"/>
  <c r="F17" i="10"/>
  <c r="F21" i="10"/>
  <c r="F25" i="10"/>
  <c r="F18" i="10"/>
  <c r="F22" i="10"/>
  <c r="F14" i="10"/>
  <c r="F19" i="10"/>
  <c r="E15" i="45"/>
  <c r="F15" i="45" s="1"/>
  <c r="N15" i="45" s="1"/>
  <c r="D23" i="6" s="1"/>
  <c r="E14" i="45"/>
  <c r="F14" i="45" s="1"/>
  <c r="N14" i="45" s="1"/>
  <c r="D22" i="6" s="1"/>
  <c r="H13" i="10"/>
  <c r="C15" i="45"/>
  <c r="C14" i="45"/>
  <c r="G17" i="34"/>
  <c r="H17" i="34" s="1"/>
  <c r="B15" i="10"/>
  <c r="D15" i="10" s="1"/>
  <c r="E14" i="10"/>
  <c r="F10" i="6"/>
  <c r="L10" i="6" s="1"/>
  <c r="C15" i="7"/>
  <c r="D15" i="7" s="1"/>
  <c r="L12" i="11"/>
  <c r="B19" i="34"/>
  <c r="B19" i="8"/>
  <c r="D19" i="34" l="1"/>
  <c r="E19" i="34"/>
  <c r="L12" i="6"/>
  <c r="L11" i="6"/>
  <c r="L13" i="6"/>
  <c r="J15" i="7"/>
  <c r="M15" i="7" s="1"/>
  <c r="D16" i="7"/>
  <c r="D17" i="7"/>
  <c r="J17" i="7" s="1"/>
  <c r="M17" i="7" s="1"/>
  <c r="N17" i="45"/>
  <c r="D21" i="6"/>
  <c r="D25" i="6" s="1"/>
  <c r="G14" i="10"/>
  <c r="F11" i="6"/>
  <c r="G18" i="34"/>
  <c r="H18" i="34" s="1"/>
  <c r="B16" i="10"/>
  <c r="D16" i="10" s="1"/>
  <c r="E15" i="10"/>
  <c r="F13" i="6"/>
  <c r="F12" i="6"/>
  <c r="C17" i="7"/>
  <c r="C16" i="7"/>
  <c r="L13" i="11"/>
  <c r="B20" i="34"/>
  <c r="H14" i="10" l="1"/>
  <c r="E20" i="34"/>
  <c r="D20" i="34"/>
  <c r="J16" i="7"/>
  <c r="M16" i="7" s="1"/>
  <c r="M19" i="7" s="1"/>
  <c r="F21" i="6"/>
  <c r="G15" i="10"/>
  <c r="G19" i="34"/>
  <c r="H19" i="34" s="1"/>
  <c r="B17" i="10"/>
  <c r="D17" i="10" s="1"/>
  <c r="E16" i="10"/>
  <c r="L14" i="11"/>
  <c r="B21" i="34"/>
  <c r="H15" i="10" l="1"/>
  <c r="D21" i="34"/>
  <c r="E21" i="34"/>
  <c r="G16" i="10"/>
  <c r="G20" i="34"/>
  <c r="H20" i="34" s="1"/>
  <c r="B18" i="10"/>
  <c r="D18" i="10" s="1"/>
  <c r="E17" i="10"/>
  <c r="L15" i="11"/>
  <c r="B22" i="34"/>
  <c r="H16" i="10" l="1"/>
  <c r="D22" i="34"/>
  <c r="E22" i="34"/>
  <c r="G17" i="10"/>
  <c r="G21" i="34"/>
  <c r="H21" i="34" s="1"/>
  <c r="B19" i="10"/>
  <c r="D19" i="10" s="1"/>
  <c r="E18" i="10"/>
  <c r="L16" i="11"/>
  <c r="B23" i="34"/>
  <c r="B10" i="6"/>
  <c r="H17" i="10" l="1"/>
  <c r="E23" i="34"/>
  <c r="D23" i="34"/>
  <c r="B21" i="6"/>
  <c r="H10" i="6"/>
  <c r="J10" i="6"/>
  <c r="G18" i="10"/>
  <c r="G22" i="34"/>
  <c r="H22" i="34" s="1"/>
  <c r="B20" i="10"/>
  <c r="D20" i="10" s="1"/>
  <c r="E19" i="10"/>
  <c r="L17" i="11"/>
  <c r="B24" i="34"/>
  <c r="B11" i="6"/>
  <c r="H11" i="6" s="1"/>
  <c r="H18" i="10" l="1"/>
  <c r="N10" i="6"/>
  <c r="D24" i="34"/>
  <c r="E24" i="34"/>
  <c r="J11" i="6"/>
  <c r="N11" i="6" s="1"/>
  <c r="B22" i="6"/>
  <c r="G19" i="10"/>
  <c r="G23" i="34"/>
  <c r="H23" i="34" s="1"/>
  <c r="B21" i="10"/>
  <c r="D21" i="10" s="1"/>
  <c r="E20" i="10"/>
  <c r="L18" i="11"/>
  <c r="B25" i="34"/>
  <c r="B12" i="6"/>
  <c r="H12" i="6" s="1"/>
  <c r="I11" i="4"/>
  <c r="H19" i="10" l="1"/>
  <c r="P11" i="4"/>
  <c r="N11" i="4"/>
  <c r="J21" i="6"/>
  <c r="E25" i="34"/>
  <c r="D25" i="34"/>
  <c r="I13" i="4"/>
  <c r="J12" i="6"/>
  <c r="N12" i="6" s="1"/>
  <c r="B23" i="6"/>
  <c r="G20" i="10"/>
  <c r="H20" i="10" s="1"/>
  <c r="G24" i="34"/>
  <c r="H24" i="34" s="1"/>
  <c r="B22" i="10"/>
  <c r="D22" i="10" s="1"/>
  <c r="E21" i="10"/>
  <c r="H20" i="37"/>
  <c r="L19" i="11"/>
  <c r="B26" i="34"/>
  <c r="B13" i="6"/>
  <c r="P13" i="4" l="1"/>
  <c r="N13" i="4"/>
  <c r="D26" i="34"/>
  <c r="E26" i="34"/>
  <c r="B24" i="6"/>
  <c r="J13" i="6"/>
  <c r="H13" i="6"/>
  <c r="I14" i="4"/>
  <c r="G21" i="10"/>
  <c r="H21" i="10" s="1"/>
  <c r="B27" i="34"/>
  <c r="D27" i="34" s="1"/>
  <c r="G25" i="34"/>
  <c r="H25" i="34" s="1"/>
  <c r="B23" i="10"/>
  <c r="D23" i="10" s="1"/>
  <c r="E22" i="10"/>
  <c r="H21" i="37"/>
  <c r="L20" i="11"/>
  <c r="N14" i="4" l="1"/>
  <c r="P14" i="4"/>
  <c r="J14" i="6"/>
  <c r="N13" i="6"/>
  <c r="E27" i="34"/>
  <c r="I15" i="4"/>
  <c r="G22" i="10"/>
  <c r="H22" i="10" s="1"/>
  <c r="G26" i="34"/>
  <c r="H26" i="34" s="1"/>
  <c r="B24" i="10"/>
  <c r="D24" i="10" s="1"/>
  <c r="E23" i="10"/>
  <c r="G25" i="37"/>
  <c r="H22" i="37"/>
  <c r="L21" i="11"/>
  <c r="N15" i="4" l="1"/>
  <c r="P15" i="4"/>
  <c r="J24" i="6"/>
  <c r="N14" i="6"/>
  <c r="I16" i="4"/>
  <c r="G23" i="10"/>
  <c r="H23" i="10" s="1"/>
  <c r="G27" i="34"/>
  <c r="G29" i="34" s="1"/>
  <c r="B25" i="10"/>
  <c r="E24" i="10"/>
  <c r="H23" i="37"/>
  <c r="G27" i="37" s="1"/>
  <c r="P16" i="4" l="1"/>
  <c r="N16" i="4"/>
  <c r="D16" i="4"/>
  <c r="F16" i="4" s="1"/>
  <c r="D25" i="10"/>
  <c r="E25" i="10"/>
  <c r="I17" i="4"/>
  <c r="D10" i="9"/>
  <c r="G24" i="10"/>
  <c r="H24" i="10" s="1"/>
  <c r="H27" i="34"/>
  <c r="P17" i="4" l="1"/>
  <c r="N17" i="4"/>
  <c r="G31" i="34"/>
  <c r="D11" i="9" s="1"/>
  <c r="I18" i="4"/>
  <c r="G25" i="10"/>
  <c r="G27" i="10" s="1"/>
  <c r="P18" i="4" l="1"/>
  <c r="N18" i="4"/>
  <c r="I19" i="4"/>
  <c r="H25" i="10"/>
  <c r="G29" i="10" s="1"/>
  <c r="P19" i="4" l="1"/>
  <c r="N19" i="4"/>
  <c r="I20" i="4"/>
  <c r="D9" i="9"/>
  <c r="N20" i="4" l="1"/>
  <c r="P20" i="4"/>
  <c r="D13" i="9"/>
  <c r="E12" i="58" s="1"/>
  <c r="B155" i="5" s="1"/>
  <c r="B14" i="58" s="1"/>
  <c r="I21" i="4"/>
  <c r="N21" i="4" l="1"/>
  <c r="P21" i="4"/>
  <c r="I22" i="4"/>
  <c r="N22" i="4" l="1"/>
  <c r="P22" i="4"/>
  <c r="I23" i="4"/>
  <c r="N23" i="4" l="1"/>
  <c r="P23" i="4"/>
  <c r="F12" i="11"/>
  <c r="F13" i="11"/>
  <c r="F14" i="11"/>
  <c r="F15" i="11"/>
  <c r="I15" i="3"/>
  <c r="N15" i="3" l="1"/>
  <c r="P15" i="3"/>
  <c r="I16" i="3"/>
  <c r="N16" i="3" l="1"/>
  <c r="P16" i="3"/>
  <c r="I17" i="3"/>
  <c r="N17" i="3" l="1"/>
  <c r="P17" i="3"/>
  <c r="I18" i="3"/>
  <c r="P18" i="3" l="1"/>
  <c r="N18" i="3"/>
  <c r="I19" i="3"/>
  <c r="N19" i="3" l="1"/>
  <c r="P19" i="3"/>
  <c r="I20" i="3"/>
  <c r="P20" i="3" l="1"/>
  <c r="N20" i="3"/>
  <c r="I21" i="3"/>
  <c r="P21" i="3" l="1"/>
  <c r="N21" i="3"/>
  <c r="I22" i="3"/>
  <c r="A32" i="33"/>
  <c r="N22" i="3" l="1"/>
  <c r="P22" i="3"/>
  <c r="I23" i="3"/>
  <c r="A33" i="33"/>
  <c r="N23" i="3" l="1"/>
  <c r="P23" i="3"/>
  <c r="I24" i="3"/>
  <c r="A34" i="33"/>
  <c r="N24" i="3" l="1"/>
  <c r="P24" i="3"/>
  <c r="I25" i="3"/>
  <c r="A35" i="33"/>
  <c r="N25" i="3" l="1"/>
  <c r="P25" i="3"/>
  <c r="I26" i="3"/>
  <c r="A36" i="33"/>
  <c r="N26" i="3" l="1"/>
  <c r="P26" i="3"/>
  <c r="A37" i="33"/>
  <c r="A38" i="33" l="1"/>
  <c r="A39" i="33" l="1"/>
  <c r="F22" i="1"/>
  <c r="G22" i="1" l="1"/>
  <c r="G25" i="59" s="1"/>
  <c r="E25" i="59"/>
  <c r="A40" i="33"/>
  <c r="F23" i="1"/>
  <c r="B16" i="7"/>
  <c r="B17" i="7" s="1"/>
  <c r="G23" i="1" l="1"/>
  <c r="G27" i="59" s="1"/>
  <c r="E27" i="59"/>
  <c r="A41" i="33"/>
  <c r="F24" i="1"/>
  <c r="J23" i="1" l="1"/>
  <c r="K23" i="1"/>
  <c r="I27" i="59" s="1"/>
  <c r="G24" i="1"/>
  <c r="G29" i="59" s="1"/>
  <c r="E29" i="59"/>
  <c r="A42" i="33"/>
  <c r="F25" i="1"/>
  <c r="G25" i="1" l="1"/>
  <c r="G31" i="59" s="1"/>
  <c r="E31" i="59"/>
  <c r="J24" i="1"/>
  <c r="K24" i="1"/>
  <c r="I29" i="59" s="1"/>
  <c r="A43" i="33"/>
  <c r="E15" i="4"/>
  <c r="E14" i="4"/>
  <c r="E13" i="4"/>
  <c r="E17" i="4" l="1"/>
  <c r="J25" i="1"/>
  <c r="K25" i="1"/>
  <c r="I31" i="59" s="1"/>
  <c r="A44" i="33"/>
  <c r="K100" i="14"/>
  <c r="K49" i="14"/>
  <c r="K41" i="14"/>
  <c r="K31" i="14"/>
  <c r="K34" i="14"/>
  <c r="C15" i="39" l="1"/>
  <c r="D15" i="55" s="1"/>
  <c r="K50" i="14"/>
  <c r="K52" i="14"/>
  <c r="A45" i="33"/>
  <c r="F38" i="1"/>
  <c r="G44" i="15"/>
  <c r="G45" i="15"/>
  <c r="G46" i="15"/>
  <c r="G47" i="15"/>
  <c r="G50" i="15"/>
  <c r="G51" i="15"/>
  <c r="G52" i="15"/>
  <c r="G53" i="15"/>
  <c r="G54" i="15"/>
  <c r="O25" i="14"/>
  <c r="O31" i="14"/>
  <c r="O32" i="14"/>
  <c r="O34" i="14"/>
  <c r="O40" i="14" s="1"/>
  <c r="A107" i="14"/>
  <c r="A8" i="1"/>
  <c r="O43" i="14" l="1"/>
  <c r="O52" i="14" s="1"/>
  <c r="O49" i="14"/>
  <c r="O67" i="14" s="1"/>
  <c r="O41" i="14"/>
  <c r="O50" i="14" s="1"/>
  <c r="A46" i="33"/>
  <c r="F39" i="1"/>
  <c r="O81" i="14" l="1"/>
  <c r="O74" i="14"/>
  <c r="A47" i="33"/>
  <c r="A48" i="33" s="1"/>
  <c r="F40" i="1"/>
  <c r="A49" i="33" l="1"/>
  <c r="A50" i="33" s="1"/>
  <c r="F41" i="1"/>
  <c r="A51" i="33" l="1"/>
  <c r="A52" i="33" s="1"/>
  <c r="A53" i="33" s="1"/>
  <c r="A54" i="33" s="1"/>
  <c r="A55" i="33" s="1"/>
  <c r="A56" i="33" s="1"/>
  <c r="A57" i="33" s="1"/>
  <c r="A58" i="33" s="1"/>
  <c r="A59" i="33" s="1"/>
  <c r="A60" i="33" s="1"/>
  <c r="A61" i="33" s="1"/>
  <c r="A62" i="33" s="1"/>
  <c r="A63" i="33" s="1"/>
  <c r="G31" i="15"/>
  <c r="G33" i="15" s="1"/>
  <c r="G29" i="53"/>
  <c r="G31" i="53" s="1"/>
  <c r="A64" i="33" l="1"/>
  <c r="A65" i="33" l="1"/>
  <c r="A66" i="33" s="1"/>
  <c r="A67" i="33" s="1"/>
  <c r="A68" i="33" s="1"/>
  <c r="A69" i="33" s="1"/>
  <c r="A70" i="33" s="1"/>
  <c r="A71" i="33" s="1"/>
  <c r="A72" i="33" s="1"/>
  <c r="A73" i="33" s="1"/>
  <c r="A74" i="33" s="1"/>
  <c r="A75" i="33" s="1"/>
  <c r="A76" i="33" l="1"/>
  <c r="A77" i="33" l="1"/>
  <c r="A78" i="33" l="1"/>
  <c r="A79" i="33" l="1"/>
  <c r="A80" i="33" l="1"/>
  <c r="C14" i="4"/>
  <c r="C15" i="4" s="1"/>
  <c r="A81" i="33" l="1"/>
  <c r="C25" i="10"/>
  <c r="A82" i="33" l="1"/>
  <c r="F23" i="6"/>
  <c r="J23" i="6" s="1"/>
  <c r="F22" i="6"/>
  <c r="F25" i="6" l="1"/>
  <c r="J22" i="6"/>
  <c r="J25" i="6" s="1"/>
  <c r="D15" i="4"/>
  <c r="A83" i="33"/>
  <c r="D14" i="4" l="1"/>
  <c r="A84" i="33"/>
  <c r="D13" i="4"/>
  <c r="F15" i="4"/>
  <c r="D17" i="4" l="1"/>
  <c r="F14" i="4"/>
  <c r="A85" i="33"/>
  <c r="F13" i="4"/>
  <c r="F17" i="4" l="1"/>
  <c r="D19" i="4" s="1"/>
  <c r="A86" i="33"/>
  <c r="A87" i="33" l="1"/>
  <c r="D11" i="59"/>
  <c r="B77" i="5" s="1"/>
  <c r="B13" i="59" s="1"/>
  <c r="A88" i="33" l="1"/>
  <c r="A89" i="33" l="1"/>
  <c r="A90" i="33" l="1"/>
  <c r="D53" i="2"/>
  <c r="D54" i="2"/>
  <c r="D47" i="2"/>
  <c r="A91" i="33" l="1"/>
  <c r="A92" i="33" l="1"/>
  <c r="A93" i="33" l="1"/>
  <c r="A94" i="33" l="1"/>
  <c r="A95" i="33" l="1"/>
  <c r="A96" i="33" l="1"/>
  <c r="A97" i="33" l="1"/>
  <c r="E54" i="2"/>
  <c r="F54" i="2" s="1"/>
  <c r="E53" i="2"/>
  <c r="F53" i="2" s="1"/>
  <c r="E47" i="2"/>
  <c r="A98" i="33" l="1"/>
  <c r="A99" i="33" l="1"/>
  <c r="A100" i="33" s="1"/>
  <c r="A101" i="33" l="1"/>
  <c r="A102" i="33" l="1"/>
  <c r="A103" i="33" s="1"/>
  <c r="A104" i="33" s="1"/>
  <c r="A105" i="33" s="1"/>
  <c r="A106" i="33" s="1"/>
  <c r="A107" i="33" s="1"/>
  <c r="A108" i="33" s="1"/>
  <c r="A109" i="33" s="1"/>
  <c r="N10" i="11" s="1"/>
  <c r="A110" i="33"/>
  <c r="A111" i="33" s="1"/>
  <c r="A112" i="33" s="1"/>
  <c r="A113" i="33" s="1"/>
  <c r="A114" i="33" s="1"/>
  <c r="A115" i="33" s="1"/>
  <c r="A116" i="33" s="1"/>
  <c r="A117" i="33" s="1"/>
  <c r="A118" i="33" s="1"/>
  <c r="A119" i="33" s="1"/>
  <c r="A120" i="33" s="1"/>
  <c r="A121" i="33" s="1"/>
  <c r="A122" i="33" s="1"/>
  <c r="A123" i="33" s="1"/>
  <c r="A124" i="33" s="1"/>
  <c r="N12" i="11"/>
  <c r="N11" i="11"/>
  <c r="A125" i="33" l="1"/>
  <c r="G15" i="11"/>
  <c r="H15" i="11" s="1"/>
  <c r="G14" i="11"/>
  <c r="H14" i="11" s="1"/>
  <c r="G13" i="11"/>
  <c r="H13" i="11" s="1"/>
  <c r="K16" i="4" l="1"/>
  <c r="Q16" i="4" s="1"/>
  <c r="O11" i="11"/>
  <c r="O13" i="11"/>
  <c r="M15" i="11"/>
  <c r="O15" i="11"/>
  <c r="M13" i="11"/>
  <c r="M10" i="11"/>
  <c r="K20" i="4"/>
  <c r="Q20" i="4" s="1"/>
  <c r="K13" i="4"/>
  <c r="Q13" i="4" s="1"/>
  <c r="M14" i="11"/>
  <c r="J15" i="4"/>
  <c r="M17" i="11"/>
  <c r="J11" i="4"/>
  <c r="J16" i="4"/>
  <c r="K14" i="4"/>
  <c r="Q14" i="4" s="1"/>
  <c r="K11" i="4"/>
  <c r="Q11" i="4" s="1"/>
  <c r="O16" i="11"/>
  <c r="O18" i="11"/>
  <c r="J13" i="4"/>
  <c r="O14" i="11"/>
  <c r="O12" i="11"/>
  <c r="K17" i="4"/>
  <c r="Q17" i="4" s="1"/>
  <c r="M11" i="11"/>
  <c r="J14" i="4"/>
  <c r="K15" i="4"/>
  <c r="Q15" i="4" s="1"/>
  <c r="O10" i="11"/>
  <c r="M16" i="11"/>
  <c r="O17" i="11"/>
  <c r="J19" i="4"/>
  <c r="J17" i="4"/>
  <c r="J18" i="4"/>
  <c r="K18" i="4"/>
  <c r="Q18" i="4" s="1"/>
  <c r="M12" i="11"/>
  <c r="K19" i="4"/>
  <c r="Q19" i="4" s="1"/>
  <c r="M18" i="11"/>
  <c r="J20" i="4"/>
  <c r="I15" i="11"/>
  <c r="K41" i="1" s="1"/>
  <c r="J41" i="1"/>
  <c r="P28" i="3"/>
  <c r="N24" i="4"/>
  <c r="P24" i="4"/>
  <c r="I13" i="11"/>
  <c r="K39" i="1" s="1"/>
  <c r="J39" i="1"/>
  <c r="I14" i="11"/>
  <c r="K40" i="1" s="1"/>
  <c r="J40" i="1"/>
  <c r="A126" i="33"/>
  <c r="A127" i="33" s="1"/>
  <c r="A128" i="33" s="1"/>
  <c r="A129" i="33" s="1"/>
  <c r="A130" i="33" s="1"/>
  <c r="A131" i="33" s="1"/>
  <c r="A132" i="33" s="1"/>
  <c r="O20" i="11"/>
  <c r="J22" i="4"/>
  <c r="K21" i="4"/>
  <c r="Q21" i="4" s="1"/>
  <c r="O19" i="11"/>
  <c r="J21" i="4"/>
  <c r="K23" i="4"/>
  <c r="Q23" i="4" s="1"/>
  <c r="M21" i="11"/>
  <c r="M19" i="11"/>
  <c r="O21" i="11"/>
  <c r="J23" i="4"/>
  <c r="K22" i="4"/>
  <c r="Q22" i="4" s="1"/>
  <c r="M20" i="11"/>
  <c r="N13" i="11" l="1"/>
  <c r="P13" i="11" s="1"/>
  <c r="N14" i="11"/>
  <c r="P14" i="11" s="1"/>
  <c r="N15" i="11"/>
  <c r="P15" i="11" s="1"/>
  <c r="L16" i="4"/>
  <c r="L13" i="4"/>
  <c r="L11" i="4"/>
  <c r="O11" i="4"/>
  <c r="L14" i="4"/>
  <c r="L17" i="4"/>
  <c r="O17" i="4"/>
  <c r="O19" i="4"/>
  <c r="L19" i="4"/>
  <c r="O20" i="4"/>
  <c r="L20" i="4"/>
  <c r="L15" i="4"/>
  <c r="O15" i="4"/>
  <c r="P12" i="11"/>
  <c r="A133" i="33"/>
  <c r="A134" i="33" s="1"/>
  <c r="A135" i="33" s="1"/>
  <c r="A136" i="33" s="1"/>
  <c r="A137" i="33" s="1"/>
  <c r="A138" i="33" s="1"/>
  <c r="A139" i="33" s="1"/>
  <c r="N18" i="11"/>
  <c r="P18" i="11" s="1"/>
  <c r="N17" i="11"/>
  <c r="P17" i="11" s="1"/>
  <c r="N21" i="11"/>
  <c r="P21" i="11" s="1"/>
  <c r="N16" i="11"/>
  <c r="P16" i="11" s="1"/>
  <c r="N19" i="11"/>
  <c r="P19" i="11" s="1"/>
  <c r="N20" i="11"/>
  <c r="P20" i="11" s="1"/>
  <c r="O13" i="4"/>
  <c r="O18" i="4"/>
  <c r="L18" i="4"/>
  <c r="P11" i="11"/>
  <c r="P10" i="11"/>
  <c r="O14" i="4"/>
  <c r="O16" i="4"/>
  <c r="L22" i="4"/>
  <c r="C31" i="2"/>
  <c r="D31" i="2"/>
  <c r="D35" i="2" s="1"/>
  <c r="D38" i="2"/>
  <c r="D37" i="2"/>
  <c r="C37" i="2"/>
  <c r="D27" i="2"/>
  <c r="C27" i="2"/>
  <c r="C38" i="2"/>
  <c r="D30" i="2"/>
  <c r="C30" i="2"/>
  <c r="K16" i="3"/>
  <c r="Q16" i="3" s="1"/>
  <c r="J15" i="3"/>
  <c r="K17" i="3"/>
  <c r="Q17" i="3" s="1"/>
  <c r="J17" i="3"/>
  <c r="J18" i="3"/>
  <c r="J16" i="3"/>
  <c r="K15" i="3"/>
  <c r="Q15" i="3" s="1"/>
  <c r="K19" i="3"/>
  <c r="Q19" i="3" s="1"/>
  <c r="K18" i="3"/>
  <c r="Q18" i="3" s="1"/>
  <c r="K20" i="3"/>
  <c r="Q20" i="3" s="1"/>
  <c r="J19" i="3"/>
  <c r="J20" i="3"/>
  <c r="J21" i="3"/>
  <c r="J22" i="3"/>
  <c r="K22" i="3"/>
  <c r="Q22" i="3" s="1"/>
  <c r="K24" i="3"/>
  <c r="Q24" i="3" s="1"/>
  <c r="J24" i="3"/>
  <c r="K21" i="3"/>
  <c r="Q21" i="3" s="1"/>
  <c r="K23" i="3"/>
  <c r="Q23" i="3" s="1"/>
  <c r="J23" i="3"/>
  <c r="J25" i="3"/>
  <c r="J26" i="3"/>
  <c r="K26" i="3"/>
  <c r="Q26" i="3" s="1"/>
  <c r="K25" i="3"/>
  <c r="Q25" i="3" s="1"/>
  <c r="L23" i="4"/>
  <c r="O23" i="4"/>
  <c r="O22" i="4"/>
  <c r="L21" i="4"/>
  <c r="O21" i="4"/>
  <c r="N26" i="4"/>
  <c r="C28" i="2" l="1"/>
  <c r="C35" i="2"/>
  <c r="C36" i="2" s="1"/>
  <c r="C39" i="2" s="1"/>
  <c r="D34" i="2" s="1"/>
  <c r="D36" i="2" s="1"/>
  <c r="D39" i="2" s="1"/>
  <c r="E34" i="2" s="1"/>
  <c r="C32" i="2"/>
  <c r="C41" i="2" s="1"/>
  <c r="E38" i="2"/>
  <c r="F38" i="2" s="1"/>
  <c r="E30" i="2"/>
  <c r="E27" i="2"/>
  <c r="E28" i="2" s="1"/>
  <c r="E31" i="2"/>
  <c r="E35" i="2" s="1"/>
  <c r="E37" i="2"/>
  <c r="F37" i="2" s="1"/>
  <c r="P23" i="11"/>
  <c r="G12" i="11" s="1"/>
  <c r="H12" i="11" s="1"/>
  <c r="J38" i="1" s="1"/>
  <c r="J42" i="1" s="1"/>
  <c r="J57" i="1" s="1"/>
  <c r="L24" i="3"/>
  <c r="O24" i="3"/>
  <c r="L15" i="3"/>
  <c r="O15" i="3"/>
  <c r="D32" i="2"/>
  <c r="D41" i="2" s="1"/>
  <c r="L26" i="4"/>
  <c r="O26" i="4" s="1"/>
  <c r="L26" i="3"/>
  <c r="O26" i="3"/>
  <c r="L22" i="3"/>
  <c r="O22" i="3"/>
  <c r="O16" i="3"/>
  <c r="L16" i="3"/>
  <c r="L25" i="3"/>
  <c r="O25" i="3"/>
  <c r="L21" i="3"/>
  <c r="O21" i="3"/>
  <c r="L18" i="3"/>
  <c r="O18" i="3"/>
  <c r="L23" i="3"/>
  <c r="O23" i="3"/>
  <c r="L20" i="3"/>
  <c r="O20" i="3"/>
  <c r="O17" i="3"/>
  <c r="L17" i="3"/>
  <c r="D28" i="2"/>
  <c r="O19" i="3"/>
  <c r="L19" i="3"/>
  <c r="D23" i="4" l="1"/>
  <c r="D25" i="4" s="1"/>
  <c r="E36" i="2"/>
  <c r="E39" i="2" s="1"/>
  <c r="E32" i="2"/>
  <c r="E41" i="2" s="1"/>
  <c r="L28" i="3"/>
  <c r="I12" i="11"/>
  <c r="K38" i="1" s="1"/>
  <c r="K42" i="1" s="1"/>
  <c r="K57" i="1" s="1"/>
  <c r="C9" i="63" s="1"/>
  <c r="H17" i="11"/>
  <c r="F41" i="3" s="1"/>
  <c r="D17" i="12"/>
  <c r="C17" i="12"/>
  <c r="F41" i="2" l="1"/>
  <c r="F80" i="2" s="1"/>
  <c r="F32" i="2"/>
  <c r="J22" i="1"/>
  <c r="J26" i="1" s="1"/>
  <c r="C213" i="5" s="1"/>
  <c r="D26" i="4"/>
  <c r="K22" i="1" s="1"/>
  <c r="F28" i="3"/>
  <c r="Q28" i="3"/>
  <c r="C23" i="12"/>
  <c r="E21" i="12"/>
  <c r="D23" i="12"/>
  <c r="F42" i="3"/>
  <c r="F29" i="3" l="1"/>
  <c r="F40" i="3" s="1"/>
  <c r="F43" i="3" s="1"/>
  <c r="M124" i="14" s="1"/>
  <c r="E213" i="5"/>
  <c r="J55" i="1"/>
  <c r="E15" i="59"/>
  <c r="C17" i="39"/>
  <c r="D17" i="55" s="1"/>
  <c r="E23" i="12"/>
  <c r="K48" i="1"/>
  <c r="K58" i="1" s="1"/>
  <c r="C10" i="63" s="1"/>
  <c r="I25" i="59"/>
  <c r="I33" i="59" s="1"/>
  <c r="K26" i="1"/>
  <c r="K55" i="1" s="1"/>
  <c r="C7" i="63" s="1"/>
  <c r="E15" i="39"/>
  <c r="J15" i="55" s="1"/>
  <c r="J58" i="1"/>
  <c r="C70" i="2" l="1"/>
  <c r="C45" i="2"/>
  <c r="C44" i="2"/>
  <c r="I15" i="1"/>
  <c r="D15" i="9"/>
  <c r="D17" i="9" s="1"/>
  <c r="J32" i="1" s="1"/>
  <c r="D212" i="5" s="1"/>
  <c r="E17" i="39"/>
  <c r="J17" i="55" s="1"/>
  <c r="M132" i="14"/>
  <c r="M127" i="14"/>
  <c r="M141" i="14"/>
  <c r="M133" i="14"/>
  <c r="M125" i="14"/>
  <c r="M135" i="14"/>
  <c r="M138" i="14"/>
  <c r="E70" i="2"/>
  <c r="D70" i="2"/>
  <c r="D213" i="5" l="1"/>
  <c r="D15" i="39"/>
  <c r="G15" i="55" s="1"/>
  <c r="D19" i="9"/>
  <c r="K32" i="1" s="1"/>
  <c r="K56" i="1" s="1"/>
  <c r="C8" i="63" s="1"/>
  <c r="J56" i="1"/>
  <c r="C46" i="2"/>
  <c r="C52" i="2" s="1"/>
  <c r="E45" i="2"/>
  <c r="E44" i="2"/>
  <c r="D45" i="2"/>
  <c r="D44" i="2"/>
  <c r="C55" i="2" l="1"/>
  <c r="C76" i="2" s="1"/>
  <c r="E16" i="58"/>
  <c r="D17" i="39"/>
  <c r="G17" i="55" s="1"/>
  <c r="F15" i="39"/>
  <c r="M15" i="55" s="1"/>
  <c r="E46" i="2"/>
  <c r="E52" i="2" s="1"/>
  <c r="D46" i="2"/>
  <c r="D52" i="2" s="1"/>
  <c r="C56" i="2" l="1"/>
  <c r="C57" i="2"/>
  <c r="C61" i="2" s="1"/>
  <c r="C62" i="2" s="1"/>
  <c r="C77" i="2" s="1"/>
  <c r="F52" i="2"/>
  <c r="F17" i="39"/>
  <c r="M17" i="55" s="1"/>
  <c r="E55" i="2"/>
  <c r="E76" i="2" s="1"/>
  <c r="C63" i="2" l="1"/>
  <c r="C64" i="2"/>
  <c r="E56" i="2"/>
  <c r="E57" i="2"/>
  <c r="E61" i="2" s="1"/>
  <c r="D55" i="2"/>
  <c r="C58" i="2" l="1"/>
  <c r="C67" i="2" s="1"/>
  <c r="E58" i="2"/>
  <c r="D76" i="2"/>
  <c r="F55" i="2"/>
  <c r="D57" i="2" l="1"/>
  <c r="D56" i="2"/>
  <c r="C65" i="2" l="1"/>
  <c r="D60" i="2" s="1"/>
  <c r="D58" i="2"/>
  <c r="F58" i="2" s="1"/>
  <c r="F56" i="2"/>
  <c r="D61" i="2"/>
  <c r="F57" i="2"/>
  <c r="D62" i="2" l="1"/>
  <c r="D77" i="2" s="1"/>
  <c r="D63" i="2" s="1"/>
  <c r="D64" i="2" l="1"/>
  <c r="D67" i="2" s="1"/>
  <c r="D65" i="2" l="1"/>
  <c r="E60" i="2" s="1"/>
  <c r="E62" i="2" s="1"/>
  <c r="E77" i="2" s="1"/>
  <c r="E63" i="2" l="1"/>
  <c r="F63" i="2" s="1"/>
  <c r="E64" i="2"/>
  <c r="F64" i="2" s="1"/>
  <c r="F67" i="2" l="1"/>
  <c r="F83" i="2" s="1"/>
  <c r="E67" i="2"/>
  <c r="E65" i="2"/>
  <c r="I14" i="1" l="1"/>
  <c r="K16" i="1" l="1"/>
  <c r="K54" i="1" s="1"/>
  <c r="C6" i="63" s="1"/>
  <c r="J16" i="1"/>
  <c r="J54" i="1" s="1"/>
  <c r="J59" i="1" s="1"/>
  <c r="C23" i="63" l="1"/>
  <c r="C16" i="63"/>
  <c r="C11" i="63"/>
  <c r="K59" i="1"/>
  <c r="M16" i="14" s="1"/>
  <c r="S16" i="14" s="1"/>
  <c r="L11" i="44" l="1"/>
  <c r="M67" i="14"/>
  <c r="S67" i="14" s="1"/>
  <c r="M50" i="14"/>
  <c r="S50" i="14" s="1"/>
  <c r="M34" i="14"/>
  <c r="S34" i="14" s="1"/>
  <c r="M41" i="14"/>
  <c r="S41" i="14" s="1"/>
  <c r="M93" i="14"/>
  <c r="S93" i="14" s="1"/>
  <c r="M100" i="14"/>
  <c r="S100" i="14" s="1"/>
  <c r="M52" i="14"/>
  <c r="S52" i="14" s="1"/>
  <c r="M22" i="14"/>
  <c r="S22" i="14" s="1"/>
  <c r="M31" i="14"/>
  <c r="S31" i="14" s="1"/>
  <c r="M32" i="14"/>
  <c r="S32" i="14" s="1"/>
  <c r="M23" i="14"/>
  <c r="S23" i="14" s="1"/>
  <c r="M43" i="14"/>
  <c r="S43" i="14" s="1"/>
  <c r="M49" i="14"/>
  <c r="M40" i="14"/>
  <c r="S40" i="14" s="1"/>
  <c r="M25" i="14"/>
  <c r="S25" i="14" s="1"/>
  <c r="C41" i="44" l="1"/>
  <c r="C42" i="44" s="1"/>
  <c r="AB11" i="44"/>
  <c r="AD11" i="44" s="1"/>
  <c r="AD21" i="44" s="1"/>
  <c r="AD27" i="44" s="1"/>
  <c r="N11" i="44"/>
  <c r="N21" i="44" s="1"/>
  <c r="N27" i="44" s="1"/>
  <c r="N29" i="44" s="1"/>
  <c r="C32" i="44"/>
  <c r="C35" i="44" s="1"/>
  <c r="M74" i="14"/>
  <c r="M81" i="14"/>
  <c r="S49" i="14"/>
  <c r="C44" i="44" l="1"/>
  <c r="C46" i="44" s="1"/>
  <c r="C36" i="44"/>
  <c r="N31" i="44"/>
  <c r="C38" i="44"/>
  <c r="C39" i="44" s="1"/>
  <c r="U29" i="44"/>
  <c r="S81" i="14"/>
  <c r="S74"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Knoy, Jason</author>
    <author>McGee, Dawn</author>
  </authors>
  <commentList>
    <comment ref="K14" authorId="0" shapeId="0" xr:uid="{00000000-0006-0000-1B00-000001000000}">
      <text>
        <r>
          <rPr>
            <sz val="9"/>
            <color indexed="81"/>
            <rFont val="Tahoma"/>
            <family val="2"/>
          </rPr>
          <t>Comes from case for first month schedule E-1 1 of 2</t>
        </r>
      </text>
    </comment>
    <comment ref="E16" authorId="1" shapeId="0" xr:uid="{00000000-0006-0000-1B00-000002000000}">
      <text>
        <r>
          <rPr>
            <sz val="9"/>
            <color indexed="81"/>
            <rFont val="Tahoma"/>
            <family val="2"/>
          </rPr>
          <t>Combined Demand and Commodity Factor from expired PBR factor.  Refer to case identified in cell B6, Exhibit E-1 1 of 2.</t>
        </r>
      </text>
    </comment>
    <comment ref="H16" authorId="1" shapeId="0" xr:uid="{00000000-0006-0000-1B00-000003000000}">
      <text>
        <r>
          <rPr>
            <sz val="9"/>
            <color indexed="81"/>
            <rFont val="Tahoma"/>
            <family val="2"/>
          </rPr>
          <t>Demand factor only</t>
        </r>
      </text>
    </comment>
  </commentList>
</comments>
</file>

<file path=xl/sharedStrings.xml><?xml version="1.0" encoding="utf-8"?>
<sst xmlns="http://schemas.openxmlformats.org/spreadsheetml/2006/main" count="1602" uniqueCount="867">
  <si>
    <t>Case Number</t>
  </si>
  <si>
    <t>(Case No. 2008-00430)</t>
  </si>
  <si>
    <t>(Case No. 2009-00140)</t>
  </si>
  <si>
    <t>(Case No. 2008-00564)</t>
  </si>
  <si>
    <t xml:space="preserve">          ALL CCF</t>
  </si>
  <si>
    <t>LOUISVILLE GAS AND ELECTRIC COMPANY</t>
  </si>
  <si>
    <t>Derivation of Gas Supply Component Applicable to</t>
  </si>
  <si>
    <t>Gas Supply Cost - See Exhibit A for Detail</t>
  </si>
  <si>
    <t>Unit</t>
  </si>
  <si>
    <t>Total Expected Gas Supply Cost</t>
  </si>
  <si>
    <t>$</t>
  </si>
  <si>
    <t>Mcf</t>
  </si>
  <si>
    <t>$/Mcf</t>
  </si>
  <si>
    <t>Gas Cost Actual Adjustment  (GCAA) - See Exhibit B for Detail</t>
  </si>
  <si>
    <t>Current Quarter Actual Adjustment</t>
  </si>
  <si>
    <t>Previous Quarter Actual Adjustment</t>
  </si>
  <si>
    <t>2nd Previous Qrt. Actual Adjustment</t>
  </si>
  <si>
    <t>3rd Previous Qrt. Actual Adjustment</t>
  </si>
  <si>
    <t xml:space="preserve">   Total Gas Cost Actual Adjustment  (GCAA)</t>
  </si>
  <si>
    <t>Gas Cost Balance Adjustment (GCBA) - See Exhibit C for Detail</t>
  </si>
  <si>
    <t>Refund Factors  (RF) - See Exhibit D for Detail</t>
  </si>
  <si>
    <t xml:space="preserve">   Total Refund Factors Per 100 Cubic Feet</t>
  </si>
  <si>
    <t>Performance-Based Rate Recovery Component  (PBRRC) - See Exhibit E for Detail</t>
  </si>
  <si>
    <t>Gas Supply Cost</t>
  </si>
  <si>
    <t>Gas Cost Actual Adjustment  (GCAA)</t>
  </si>
  <si>
    <t>Gas Cost Balance Adjustment  (GCBA)</t>
  </si>
  <si>
    <t>Refund Factors  (RF)</t>
  </si>
  <si>
    <t>Perfomance-Based Rate Recovery Component (PBRRC)</t>
  </si>
  <si>
    <t xml:space="preserve">   Total Gas Supply Cost Component  (GSCC)</t>
  </si>
  <si>
    <t>LOUISVILLE  GAS  AND  ELECTRIC  COMPANY</t>
  </si>
  <si>
    <t>Total</t>
  </si>
  <si>
    <t>MMBtu</t>
  </si>
  <si>
    <t>Total MMBtu Purchased</t>
  </si>
  <si>
    <t xml:space="preserve">    Plus:  Withdrawals from Texas Gas' NNS Storage Service</t>
  </si>
  <si>
    <t xml:space="preserve">    Less:  Injections into Texas Gas' NNS Storage Service</t>
  </si>
  <si>
    <t>Expected Monthly Deliveries from TGT/TGPL to LG&amp;E</t>
  </si>
  <si>
    <t xml:space="preserve"> Mcf </t>
  </si>
  <si>
    <t>Total Purchases in Mcf</t>
  </si>
  <si>
    <t>(Case No. 2007-00559)</t>
  </si>
  <si>
    <t xml:space="preserve">     Plus:  Withdrawals from Texas Gas' NNS Storage Service</t>
  </si>
  <si>
    <t xml:space="preserve">     Less:  Injections Texas Gas' NNS Storage Service</t>
  </si>
  <si>
    <t xml:space="preserve">    Less:  Purchases for Depts. Other Than Gas Dept.</t>
  </si>
  <si>
    <t xml:space="preserve">    Less:  Purchases Injected into LG&amp;E's Underground Storage</t>
  </si>
  <si>
    <t>LG&amp;E's Storage Inventory - Beginning of Month</t>
  </si>
  <si>
    <t>LG&amp;E's Storage Inventory - Including Injections</t>
  </si>
  <si>
    <t xml:space="preserve">    Less:  Storage Withdrawals from LG&amp;E's Underground Storage</t>
  </si>
  <si>
    <t xml:space="preserve">    Less:  Storage Losses</t>
  </si>
  <si>
    <t>LG&amp;E's Storage Inventory - End of Month</t>
  </si>
  <si>
    <t xml:space="preserve"> Cost </t>
  </si>
  <si>
    <t>Total Purchased Gas Cost</t>
  </si>
  <si>
    <t>Total Cost of Gas Delivered to LG&amp;E</t>
  </si>
  <si>
    <t>Pipeline Deliveries Expensed During Month</t>
  </si>
  <si>
    <t xml:space="preserve">Unit Cost </t>
  </si>
  <si>
    <t>12-Month Average Demand Cost - per Mcf  (see Page 2)</t>
  </si>
  <si>
    <t xml:space="preserve">Gas Supply Cost </t>
  </si>
  <si>
    <t>Total Expected Mcf Deliveries (Sales) to Customers</t>
  </si>
  <si>
    <t xml:space="preserve"> Mcf</t>
  </si>
  <si>
    <t>/ Mcf</t>
  </si>
  <si>
    <t>Long-Term Firm Contracts with Suppliers  (Annualized)</t>
  </si>
  <si>
    <t>Pipeline Supplier's Demand Component Applicable to Billings</t>
  </si>
  <si>
    <t>(1)</t>
  </si>
  <si>
    <t>(2)</t>
  </si>
  <si>
    <t>(3)</t>
  </si>
  <si>
    <t>(4)</t>
  </si>
  <si>
    <t>(5)</t>
  </si>
  <si>
    <t>(6)</t>
  </si>
  <si>
    <t>(7)</t>
  </si>
  <si>
    <t>Gas Supply</t>
  </si>
  <si>
    <t>Monthly $'s</t>
  </si>
  <si>
    <t>UCDI</t>
  </si>
  <si>
    <t>Recovered</t>
  </si>
  <si>
    <t>(Case No. 2008-00246)</t>
  </si>
  <si>
    <t>Case</t>
  </si>
  <si>
    <t>Demand</t>
  </si>
  <si>
    <t>Cash-Out</t>
  </si>
  <si>
    <t>MMBTU</t>
  </si>
  <si>
    <t>UCDI $</t>
  </si>
  <si>
    <t>OFO $</t>
  </si>
  <si>
    <t>Month</t>
  </si>
  <si>
    <t>Number</t>
  </si>
  <si>
    <t>Chrg / Mcf</t>
  </si>
  <si>
    <t>Sales (Mcf)</t>
  </si>
  <si>
    <t>Sales ($)</t>
  </si>
  <si>
    <t>Adjust. (Mcf)</t>
  </si>
  <si>
    <t>Adjust. ($)</t>
  </si>
  <si>
    <t>2000-080-A</t>
  </si>
  <si>
    <t xml:space="preserve">Note:   Should a Customer served under Rate FT under-nominate its monthly gas supply needs, a Cash-Out Sale is made to the Customer.  </t>
  </si>
  <si>
    <t>This sale, which is based upon the cash-out price established in Rate FT, is also flowed through the GCAA as revenue.</t>
  </si>
  <si>
    <t>Note:   Changes in billings of the Cash-out Provision caused by variations in the MMBTU content of the gas are corrected on the following month's bill.</t>
  </si>
  <si>
    <t>Should such change occur as a charge to the customer, such revenue is flowed through the GCAA.</t>
  </si>
  <si>
    <t>MCF</t>
  </si>
  <si>
    <t>DOLLARS</t>
  </si>
  <si>
    <t>Less:</t>
  </si>
  <si>
    <t>Plus:</t>
  </si>
  <si>
    <t>Purchases</t>
  </si>
  <si>
    <t>Cost of Gas</t>
  </si>
  <si>
    <t>for Depts.</t>
  </si>
  <si>
    <t>Injected</t>
  </si>
  <si>
    <t>Withdrawn</t>
  </si>
  <si>
    <t>Purchased</t>
  </si>
  <si>
    <t>other Than</t>
  </si>
  <si>
    <t>Into</t>
  </si>
  <si>
    <t>From</t>
  </si>
  <si>
    <t>Storage</t>
  </si>
  <si>
    <t>Sendout</t>
  </si>
  <si>
    <t>Gas Costs</t>
  </si>
  <si>
    <t>for Non-Gas</t>
  </si>
  <si>
    <t>for OSS</t>
  </si>
  <si>
    <t>Gas Dept.</t>
  </si>
  <si>
    <t>Losses</t>
  </si>
  <si>
    <t>Cost</t>
  </si>
  <si>
    <t>(8)</t>
  </si>
  <si>
    <t>(9)</t>
  </si>
  <si>
    <t>(10)</t>
  </si>
  <si>
    <t>PBRRC</t>
  </si>
  <si>
    <t>See Exhibit C-1, page 2.</t>
  </si>
  <si>
    <t>Case No.</t>
  </si>
  <si>
    <t>Calculation of Refund Factor</t>
  </si>
  <si>
    <t>Commodity</t>
  </si>
  <si>
    <t>Expected Mcf Sales for the</t>
  </si>
  <si>
    <t>12 month period beginning</t>
  </si>
  <si>
    <t>PBRRC factor per Mcf</t>
  </si>
  <si>
    <t>PBRRC factor per Ccf</t>
  </si>
  <si>
    <t>Shareholder Portion of PBR Savings</t>
  </si>
  <si>
    <t>Split between Demand (Fixed) and Commodity (Volumetric) Components</t>
  </si>
  <si>
    <t>Company Share of</t>
  </si>
  <si>
    <t>(CSPBR)</t>
  </si>
  <si>
    <t>Case Reference</t>
  </si>
  <si>
    <t>RATE PER 100 CUBIC FEET</t>
  </si>
  <si>
    <t>DISTRIBUTION</t>
  </si>
  <si>
    <t>GAS SUPPLY</t>
  </si>
  <si>
    <t>DSM COST</t>
  </si>
  <si>
    <t>CHARGE</t>
  </si>
  <si>
    <t>COST</t>
  </si>
  <si>
    <t>COST COMPONENT</t>
  </si>
  <si>
    <t>RECOVERY</t>
  </si>
  <si>
    <t>(PER MONTH)</t>
  </si>
  <si>
    <t xml:space="preserve"> COMPONENT</t>
  </si>
  <si>
    <t>(GSCC)</t>
  </si>
  <si>
    <t>COMPONENT</t>
  </si>
  <si>
    <t>TOTAL</t>
  </si>
  <si>
    <t>ALL CCF</t>
  </si>
  <si>
    <t>RATE CGS - COMMERCIAL</t>
  </si>
  <si>
    <t>(meter capacity&lt; 5000 CF/HR)</t>
  </si>
  <si>
    <t xml:space="preserve">   APRIL THRU OCTOBER</t>
  </si>
  <si>
    <t>FIRST 1000 CCF/MONTH</t>
  </si>
  <si>
    <t>OVER 1000 CCF/MONTH</t>
  </si>
  <si>
    <t xml:space="preserve">   NOVEMBER THRU MARCH</t>
  </si>
  <si>
    <t>(meter capacity&gt;= 5000 CF/HR)</t>
  </si>
  <si>
    <t>RATE IGS - INDUSTRIAL</t>
  </si>
  <si>
    <t>(meter capacity &lt; 5000 CF/HR)</t>
  </si>
  <si>
    <t>(meter capacity &gt;= 5000 CF/HR)</t>
  </si>
  <si>
    <t>Rate AAGS</t>
  </si>
  <si>
    <t>RATE PER MCF</t>
  </si>
  <si>
    <t>PIPELINE</t>
  </si>
  <si>
    <t>ADMIN.</t>
  </si>
  <si>
    <t>SUPPLIER'S</t>
  </si>
  <si>
    <t>DEMAND</t>
  </si>
  <si>
    <t>FIRST 100 MCF/MONTH</t>
  </si>
  <si>
    <t>OVER 100 MCF/MONTH</t>
  </si>
  <si>
    <t>ALL MCF</t>
  </si>
  <si>
    <t>Transportation Service:</t>
  </si>
  <si>
    <t xml:space="preserve">  Monthly Transportation Administrative Charge</t>
  </si>
  <si>
    <t xml:space="preserve">  Distribution Charge / Mcf Delivered</t>
  </si>
  <si>
    <t>Ancillary Services:</t>
  </si>
  <si>
    <t xml:space="preserve">  Daily Demand Charge</t>
  </si>
  <si>
    <t xml:space="preserve">  Daily Storage Charge</t>
  </si>
  <si>
    <t xml:space="preserve">  Utilization Charge per Mcf for Daily Balancing</t>
  </si>
  <si>
    <t>Cash-Out Provision for  Monthly Imbalances</t>
  </si>
  <si>
    <t>Percentage to be</t>
  </si>
  <si>
    <t>Cash-Out Provision for Monthly Imbalances:</t>
  </si>
  <si>
    <t>Where Usage is Greater than Transported Volume - Billing:</t>
  </si>
  <si>
    <t>First 5% or less</t>
  </si>
  <si>
    <t>next 5%</t>
  </si>
  <si>
    <t>&gt; than 20%</t>
  </si>
  <si>
    <t>Where Transported Volume is Greater than Usage - Purchase:</t>
  </si>
  <si>
    <t>(Case No. 2002-00261)</t>
  </si>
  <si>
    <t>(Case No. 2002-00368)</t>
  </si>
  <si>
    <t>(Case No. 2003-00004)</t>
  </si>
  <si>
    <t>(Case No. 2003-00121)</t>
  </si>
  <si>
    <t>(Case No. 2003-00260)</t>
  </si>
  <si>
    <t>(Case No. 2003-00385)</t>
  </si>
  <si>
    <t>(Case No. 2004-00506)</t>
  </si>
  <si>
    <t>(Case No. 2004-00117)</t>
  </si>
  <si>
    <t>(Case No. 2004-00271)</t>
  </si>
  <si>
    <t>(Case No. 2004-00390)</t>
  </si>
  <si>
    <t>(Case No. 2004-00526)</t>
  </si>
  <si>
    <t>(Case No. 2005-00143)</t>
  </si>
  <si>
    <t>(Case No. 2005-00401)</t>
  </si>
  <si>
    <t>(Case No. 2006-00005)</t>
  </si>
  <si>
    <t>(Case No. 2006-00138)</t>
  </si>
  <si>
    <t>(Case No. 2006-00335)</t>
  </si>
  <si>
    <t>Start Date</t>
  </si>
  <si>
    <t>(Case No. 2005-00274)</t>
  </si>
  <si>
    <t>Eff.</t>
  </si>
  <si>
    <t>(Case No. 2000-080-B)</t>
  </si>
  <si>
    <t>(Case No. 2000-080-D)</t>
  </si>
  <si>
    <t>(Case No. 2000-080-G)</t>
  </si>
  <si>
    <t>(Case No. 2000-080-H)</t>
  </si>
  <si>
    <t>(Case No. 2000-080-I)</t>
  </si>
  <si>
    <t>(Case No. 2002-00110)</t>
  </si>
  <si>
    <t>RENDERED FROM</t>
  </si>
  <si>
    <t>PBR Effective Date</t>
  </si>
  <si>
    <t>(Case No. 2006-00431)</t>
  </si>
  <si>
    <t>(Case No. 2007-00001)</t>
  </si>
  <si>
    <t>(Case No. 2007-00141)</t>
  </si>
  <si>
    <t>(Case No. 2007-00267)</t>
  </si>
  <si>
    <t>(Case No. 2007-00428)</t>
  </si>
  <si>
    <t>Commodity = Gas Sales Compostion "Sales"</t>
  </si>
  <si>
    <t>Forecast</t>
  </si>
  <si>
    <t>Demand = TS portion of Gas Purchases and End-User transport throughput</t>
  </si>
  <si>
    <t>GSC</t>
  </si>
  <si>
    <t>Gas Supply Clause</t>
  </si>
  <si>
    <t>(Case No. 2008-00117)</t>
  </si>
  <si>
    <t>¢</t>
  </si>
  <si>
    <t>Total Cash Refund Related to Demand</t>
  </si>
  <si>
    <t>Plus Interest on Refundable Amount</t>
  </si>
  <si>
    <t>Expected Refund Obligation Including Interest</t>
  </si>
  <si>
    <t>Expected Mcf Sales for the 12-month Period</t>
  </si>
  <si>
    <t>Check</t>
  </si>
  <si>
    <t>Current Quarter Refund Factor</t>
  </si>
  <si>
    <t>1st Previous Quarter Refund Factor</t>
  </si>
  <si>
    <t>Calculation of Gas Supply Costs</t>
  </si>
  <si>
    <t xml:space="preserve">RATE DGGS - COMMERCIAL &amp; INDUSTRIAL </t>
  </si>
  <si>
    <t>(meter capacity &lt;5000 CF/HR)</t>
  </si>
  <si>
    <t>BASIC SERVICE CHARGE</t>
  </si>
  <si>
    <t>BASIC SERVICE</t>
  </si>
  <si>
    <t>2nd Previous Quarter Refund Factor</t>
  </si>
  <si>
    <t>Back-up Information - Not Included in Filings (Updated Mcfs for filing effective Feb only)</t>
  </si>
  <si>
    <t>3rd Previous Quarter Refund Factor</t>
  </si>
  <si>
    <t>Refund Factor per Mcf ($/Mcf)</t>
  </si>
  <si>
    <t>Total Customer Delivery Sales</t>
  </si>
  <si>
    <t>2011-00523</t>
  </si>
  <si>
    <t>Rate TS Transport</t>
  </si>
  <si>
    <t>Storage Injections</t>
  </si>
  <si>
    <t>Storage Withdrawals</t>
  </si>
  <si>
    <t>Storage Losses</t>
  </si>
  <si>
    <t>Gas Purchases and End-User Transportation Throughput (Mcf)</t>
  </si>
  <si>
    <t>MTP Gas Supply Composition Forecast (Mcf)</t>
  </si>
  <si>
    <t>Other Depts</t>
  </si>
  <si>
    <t>FORECASTED PURCHASES AND THROUGHPUT</t>
  </si>
  <si>
    <t>Customer Deliveries Sales</t>
  </si>
  <si>
    <t>Electric Generation: Zorn</t>
  </si>
  <si>
    <t>DO NOT PRINT</t>
  </si>
  <si>
    <t>GCAA Beginning Month</t>
  </si>
  <si>
    <t>Line No.</t>
  </si>
  <si>
    <t>1</t>
  </si>
  <si>
    <t>Annual Demand Costs</t>
  </si>
  <si>
    <t>Average Demand Cost per Mcf</t>
  </si>
  <si>
    <t>Monthly Demand Charge</t>
  </si>
  <si>
    <t xml:space="preserve">No. of Months </t>
  </si>
  <si>
    <t>Texas Gas No-Notice Service (Rate NNS)</t>
  </si>
  <si>
    <t>Pipeline and Rate</t>
  </si>
  <si>
    <t>Design Day Requirements in Mcf (determined in last rate case)</t>
  </si>
  <si>
    <t>Total Annual Demand Costs</t>
  </si>
  <si>
    <t>Daily Demand Charge Component of Utilization Charge</t>
  </si>
  <si>
    <t>PSDC Charge per Mcf</t>
  </si>
  <si>
    <t>PBR Savings or (Expenses)</t>
  </si>
  <si>
    <t>SubTotal</t>
  </si>
  <si>
    <t>Calculation Of Various Demand Charges Applicable</t>
  </si>
  <si>
    <t>2012-00125</t>
  </si>
  <si>
    <t>Period</t>
  </si>
  <si>
    <t>Dollars Recovered Under GSC</t>
  </si>
  <si>
    <t>$ from OSS</t>
  </si>
  <si>
    <t xml:space="preserve">Total $ Recovered </t>
  </si>
  <si>
    <t>(Note 3)</t>
  </si>
  <si>
    <t>Gas Supply Cost per Mcf</t>
  </si>
  <si>
    <t>GCBA Beginning Month</t>
  </si>
  <si>
    <t>Beginning Balance</t>
  </si>
  <si>
    <t>Balance Remaining</t>
  </si>
  <si>
    <t>GCAA/Mcf Factor</t>
  </si>
  <si>
    <t>Sales Applicable to GCAA Recovery</t>
  </si>
  <si>
    <t>(6)=(Beg Bal)+(5)</t>
  </si>
  <si>
    <t>First date will pull from input tab, rest are date formulas</t>
  </si>
  <si>
    <t>RA True Up Beginning Month</t>
  </si>
  <si>
    <t>RA/Mcf Factor</t>
  </si>
  <si>
    <t>TS Transport</t>
  </si>
  <si>
    <t>(Refund)</t>
  </si>
  <si>
    <t>MCF Sales per 4022 Billed Revenue - Gas</t>
  </si>
  <si>
    <t xml:space="preserve">     Gas Sales report volume, minus FT volumes for "MCF Sales"</t>
  </si>
  <si>
    <t xml:space="preserve">     Schedule Transport Customers Rate TS for "MCF TS Transport"</t>
  </si>
  <si>
    <t xml:space="preserve">     Be careful on split months - Be sure to split volumes correctly</t>
  </si>
  <si>
    <t>GSC Rates per Exhibit E</t>
  </si>
  <si>
    <t xml:space="preserve">Factor </t>
  </si>
  <si>
    <t>(Returned)</t>
  </si>
  <si>
    <t>Total Collected/</t>
  </si>
  <si>
    <t>Performance Based Ratemaking Mechanism</t>
  </si>
  <si>
    <t>Transporation Rider TS</t>
  </si>
  <si>
    <t>2011-00402</t>
  </si>
  <si>
    <t>2011-00228</t>
  </si>
  <si>
    <t>2011-00119</t>
  </si>
  <si>
    <t xml:space="preserve">Calculation of Gas Costs Recovered </t>
  </si>
  <si>
    <t xml:space="preserve">Under Company's Gas Supply Clause </t>
  </si>
  <si>
    <t>Calculation of Gas Cost Actual Adjustment</t>
  </si>
  <si>
    <t>Recoveries of Gas Supply Costs</t>
  </si>
  <si>
    <t>Summary of Gas Costs Recovered</t>
  </si>
  <si>
    <t>Under Provisions of Rate FT</t>
  </si>
  <si>
    <t>Sales Applicable to GCBA Recovery</t>
  </si>
  <si>
    <t>GCBA/Mcf Factor</t>
  </si>
  <si>
    <t>Amount Refunded per Month</t>
  </si>
  <si>
    <t>Balance</t>
  </si>
  <si>
    <t>Remaining Balance to Transfer to Exhibit C-1, Page 1 of 3</t>
  </si>
  <si>
    <t>See Exhibit C-1, page 3.</t>
  </si>
  <si>
    <t>Calculation of Quarterly Gas Cost Balance Adjustment</t>
  </si>
  <si>
    <t>Total Remaining (Over)/Under Recovery</t>
  </si>
  <si>
    <t>GCBA Factor Per Mcf</t>
  </si>
  <si>
    <t>GCBA Factor Per Ccf</t>
  </si>
  <si>
    <t>(Over)/Under Recovery</t>
  </si>
  <si>
    <t>Comments</t>
  </si>
  <si>
    <t>Total Gas Supply Cost Per Books</t>
  </si>
  <si>
    <t>Revenue Collected Under the GCBA Factor</t>
  </si>
  <si>
    <t>Calculation of Revenue Collected Under PBR Factor</t>
  </si>
  <si>
    <t>Total Refund Factor</t>
  </si>
  <si>
    <t>(7)=(3)+(6)</t>
  </si>
  <si>
    <t>(8)=(Bal)-(7)</t>
  </si>
  <si>
    <t>GCAA Factor per Mcf</t>
  </si>
  <si>
    <t>Expected Mcf Sales for</t>
  </si>
  <si>
    <t>12-Month Period from Date Implemented</t>
  </si>
  <si>
    <t>GCAA Factor per Ccf</t>
  </si>
  <si>
    <t>Line</t>
  </si>
  <si>
    <t>No.</t>
  </si>
  <si>
    <t>Factor</t>
  </si>
  <si>
    <t>FORECAST DATA</t>
  </si>
  <si>
    <t>2012-00286</t>
  </si>
  <si>
    <t>Mcf Sales for Sales Customers</t>
  </si>
  <si>
    <t>Mcf Sales for TS Customers</t>
  </si>
  <si>
    <t>(7)=(Bal)-(6)</t>
  </si>
  <si>
    <t>Gas Cost True-Up Charge Applicable to Customers</t>
  </si>
  <si>
    <t>Served Under Rate FT and Rider TS-2</t>
  </si>
  <si>
    <t>With Service Elected Effective</t>
  </si>
  <si>
    <t>PBRRC/Mcf</t>
  </si>
  <si>
    <t>Total/Mcf</t>
  </si>
  <si>
    <t>End Date</t>
  </si>
  <si>
    <t>GCAA Case Reference</t>
  </si>
  <si>
    <t>(Case No. 2009-00248)</t>
  </si>
  <si>
    <t>(Case No. 2009-00395)</t>
  </si>
  <si>
    <t>(Case No. 2009-00457)</t>
  </si>
  <si>
    <t>(Case No. 2010-00140)</t>
  </si>
  <si>
    <t>(Case No. 2010-00263)</t>
  </si>
  <si>
    <t>(Case No. 2010-00387)</t>
  </si>
  <si>
    <t>(Case No. 2010-00525)</t>
  </si>
  <si>
    <t>Recovery/</t>
  </si>
  <si>
    <t>Which Compensates for Over- or Under-</t>
  </si>
  <si>
    <t>GSC Effective Date</t>
  </si>
  <si>
    <t>End of 3-Month Period</t>
  </si>
  <si>
    <t>Storage Inventory WACOG</t>
  </si>
  <si>
    <t>Recovery Period</t>
  </si>
  <si>
    <t>2012-00446</t>
  </si>
  <si>
    <t>2012-00591</t>
  </si>
  <si>
    <t>PBR True Up Beginning Month</t>
  </si>
  <si>
    <t>From Case No.</t>
  </si>
  <si>
    <t>Recovery/(Refund) per Month</t>
  </si>
  <si>
    <t>Source Information - Not Included in Filings</t>
  </si>
  <si>
    <t>Gas Commodity</t>
  </si>
  <si>
    <t>Portion of Bad</t>
  </si>
  <si>
    <t>Debt Expense</t>
  </si>
  <si>
    <t xml:space="preserve">Supporting Calculations For The </t>
  </si>
  <si>
    <t xml:space="preserve">For the Period </t>
  </si>
  <si>
    <t>2013-00126</t>
  </si>
  <si>
    <t>Mcf Sales Applicable to GCAA Period</t>
  </si>
  <si>
    <t>Amount Refunded</t>
  </si>
  <si>
    <t>Rate TS-2 Transport</t>
  </si>
  <si>
    <t>Prorated</t>
  </si>
  <si>
    <t>(12)</t>
  </si>
  <si>
    <t>Numerical Date</t>
  </si>
  <si>
    <t>Text Date</t>
  </si>
  <si>
    <t>2013-00253</t>
  </si>
  <si>
    <t>Total Mcf Sales for Month</t>
  </si>
  <si>
    <t>(13)</t>
  </si>
  <si>
    <t>Effective Date</t>
  </si>
  <si>
    <t>Recovery</t>
  </si>
  <si>
    <t>Mcf Sales Applicable</t>
  </si>
  <si>
    <t>to PBR Recovery</t>
  </si>
  <si>
    <t>(11)</t>
  </si>
  <si>
    <t>(14)</t>
  </si>
  <si>
    <t>(15)</t>
  </si>
  <si>
    <t>Refund Returned Under RA Factor</t>
  </si>
  <si>
    <t>Total Amount to Transfer to Exhibit B-1, Page 2</t>
  </si>
  <si>
    <t>2013-00361</t>
  </si>
  <si>
    <t>GSC Volumes</t>
  </si>
  <si>
    <t>TS Volumes</t>
  </si>
  <si>
    <t>FT Volumes</t>
  </si>
  <si>
    <t>N/A</t>
  </si>
  <si>
    <t xml:space="preserve"> </t>
  </si>
  <si>
    <t>Prorated GSC Volumes</t>
  </si>
  <si>
    <t>First Half of Month</t>
  </si>
  <si>
    <t>Second Half of Month</t>
  </si>
  <si>
    <t>Prorated TS Volumes</t>
  </si>
  <si>
    <t>Storage Inventory Volume</t>
  </si>
  <si>
    <r>
      <t xml:space="preserve">Total Dollars of Gas Cost Recovered </t>
    </r>
    <r>
      <rPr>
        <vertAlign val="superscript"/>
        <sz val="12"/>
        <rFont val="Times New Roman"/>
        <family val="1"/>
      </rPr>
      <t>1</t>
    </r>
  </si>
  <si>
    <r>
      <t xml:space="preserve">Gas Supply Cost Per Books </t>
    </r>
    <r>
      <rPr>
        <vertAlign val="superscript"/>
        <sz val="12"/>
        <rFont val="Times New Roman"/>
        <family val="1"/>
      </rPr>
      <t>2</t>
    </r>
  </si>
  <si>
    <r>
      <t>1</t>
    </r>
    <r>
      <rPr>
        <sz val="12"/>
        <rFont val="Times New Roman"/>
        <family val="1"/>
      </rPr>
      <t xml:space="preserve"> See Page 2 of this Exhibit.</t>
    </r>
  </si>
  <si>
    <t>Total MCF</t>
  </si>
  <si>
    <t>For Daily Imbalance under Rate FT and Rider PS-FT</t>
  </si>
  <si>
    <t>Comparison to Last Quarter &amp; Same Period 1 Year Ago</t>
  </si>
  <si>
    <t>(Next Quarter)</t>
  </si>
  <si>
    <t>(Next Quarter - 1 year ago)</t>
  </si>
  <si>
    <t>Basic Service Charge</t>
  </si>
  <si>
    <t>Base</t>
  </si>
  <si>
    <t>X</t>
  </si>
  <si>
    <t>=</t>
  </si>
  <si>
    <t>DSM</t>
  </si>
  <si>
    <t xml:space="preserve">X </t>
  </si>
  <si>
    <t>Subtotal</t>
  </si>
  <si>
    <t>GLT</t>
  </si>
  <si>
    <t>HEA</t>
  </si>
  <si>
    <t>Difference - Last Quarter</t>
  </si>
  <si>
    <t>Difference vs Last Year</t>
  </si>
  <si>
    <t>Filed Rate</t>
  </si>
  <si>
    <t>Paragraph 1</t>
  </si>
  <si>
    <t>Factor $ Change</t>
  </si>
  <si>
    <t>Paragraph 2</t>
  </si>
  <si>
    <t>Factor% Change</t>
  </si>
  <si>
    <t>Ave Charge</t>
  </si>
  <si>
    <t>% Change</t>
  </si>
  <si>
    <t>CY Rate</t>
  </si>
  <si>
    <t>Paragraph 4</t>
  </si>
  <si>
    <t>PY Rate</t>
  </si>
  <si>
    <t>CY Bill</t>
  </si>
  <si>
    <t>PY Bill</t>
  </si>
  <si>
    <t>2013-00486</t>
  </si>
  <si>
    <t>Remaining</t>
  </si>
  <si>
    <t>Calculation of Revenue Collected or Refunded Under GCAA Factor</t>
  </si>
  <si>
    <t>2014-00115</t>
  </si>
  <si>
    <t>See Exhibit A, page 1.</t>
  </si>
  <si>
    <r>
      <t xml:space="preserve">Remaining (Over)/Under Recovery From GCAA </t>
    </r>
    <r>
      <rPr>
        <vertAlign val="superscript"/>
        <sz val="12"/>
        <rFont val="Times New Roman"/>
        <family val="1"/>
      </rPr>
      <t>1</t>
    </r>
  </si>
  <si>
    <r>
      <t xml:space="preserve">Remaining (Over)/Under Recovery From GCBA </t>
    </r>
    <r>
      <rPr>
        <vertAlign val="superscript"/>
        <sz val="12"/>
        <rFont val="Times New Roman"/>
        <family val="1"/>
      </rPr>
      <t>2</t>
    </r>
  </si>
  <si>
    <r>
      <t xml:space="preserve">Remaining (Under)/Over Refund From RA </t>
    </r>
    <r>
      <rPr>
        <vertAlign val="superscript"/>
        <sz val="12"/>
        <rFont val="Times New Roman"/>
        <family val="1"/>
      </rPr>
      <t>3</t>
    </r>
  </si>
  <si>
    <r>
      <t xml:space="preserve">Remaining (Over)/Under Recovery From PBRRC </t>
    </r>
    <r>
      <rPr>
        <vertAlign val="superscript"/>
        <sz val="12"/>
        <rFont val="Times New Roman"/>
        <family val="1"/>
      </rPr>
      <t>4</t>
    </r>
  </si>
  <si>
    <r>
      <t xml:space="preserve">Expected Mcf Sales for 3 Month Period </t>
    </r>
    <r>
      <rPr>
        <vertAlign val="superscript"/>
        <sz val="12"/>
        <rFont val="Times New Roman"/>
        <family val="1"/>
      </rPr>
      <t>5</t>
    </r>
  </si>
  <si>
    <t>2014-00217</t>
  </si>
  <si>
    <t>missing data found and reported in later revised</t>
  </si>
  <si>
    <t xml:space="preserve">report. </t>
  </si>
  <si>
    <t>2014-00348</t>
  </si>
  <si>
    <t>2014-00475</t>
  </si>
  <si>
    <t>Rate FT Gas True-Up</t>
  </si>
  <si>
    <t>Charge Revenue</t>
  </si>
  <si>
    <t>2015-00105</t>
  </si>
  <si>
    <t>(8)=(2)+(3)+(4)+(5)+(6)+(7)</t>
  </si>
  <si>
    <t>(16)=(9)+(10)+(11)+(12)+(13)+(14)+(15)</t>
  </si>
  <si>
    <t>AAGS Interruption Penalty</t>
  </si>
  <si>
    <t>Balance to be transferred to Exhibit C-1, Page 1 of 3</t>
  </si>
  <si>
    <t>Under LG&amp;E's Gas Transportation Service/Standby - Rider TS-2</t>
  </si>
  <si>
    <t xml:space="preserve">    (excluding transportation volumes under LG&amp;E Rider TS-2)</t>
  </si>
  <si>
    <t xml:space="preserve">     Plus:  Customer Transportation Volumes under Rider TS-2</t>
  </si>
  <si>
    <t>Demand Cost - Net of Demand Costs Recovered thru LG&amp;E Rider TS-2</t>
  </si>
  <si>
    <t>RGS Demands</t>
  </si>
  <si>
    <t>CGS Demands</t>
  </si>
  <si>
    <t>IGS Demands</t>
  </si>
  <si>
    <t>GAS LINE TRACKER</t>
  </si>
  <si>
    <t>2015-00218</t>
  </si>
  <si>
    <t>Under Provisions of Rider TS-2</t>
  </si>
  <si>
    <t>Rider TS-2 Gas True-Up Charge Revenue</t>
  </si>
  <si>
    <t>MMBtu Adjust. ($)</t>
  </si>
  <si>
    <t>Action Alert $</t>
  </si>
  <si>
    <t>Monthly $'s Recovered Under Rider TS-2</t>
  </si>
  <si>
    <t>PSDC Revenue Collected from TS-2 Customers</t>
  </si>
  <si>
    <t>$ Recovered Under Rate FT</t>
  </si>
  <si>
    <t>[(5)+(7)+(9)+(10)+(11)]</t>
  </si>
  <si>
    <t>AAGS TS-2 Interruption Penalty</t>
  </si>
  <si>
    <t>Mcf  Transported Under Rider TS-2</t>
  </si>
  <si>
    <t>PSDC Per Mcf</t>
  </si>
  <si>
    <r>
      <t>2</t>
    </r>
    <r>
      <rPr>
        <sz val="12"/>
        <rFont val="Times New Roman"/>
        <family val="1"/>
      </rPr>
      <t xml:space="preserve"> See Page 5 of this Exhibit.</t>
    </r>
  </si>
  <si>
    <t>$ Recovered Under Rider TS-2</t>
  </si>
  <si>
    <t>MMBtu Adjust. (Mcf)</t>
  </si>
  <si>
    <t>Cash-Out Sales ($)</t>
  </si>
  <si>
    <t>(13)=(5)+(6)+(8)+(10)+(11)+(12)</t>
  </si>
  <si>
    <t>GCAA/Mcf</t>
  </si>
  <si>
    <t>GCBA/Mcf</t>
  </si>
  <si>
    <t xml:space="preserve">Applicable Components of </t>
  </si>
  <si>
    <t>Refund Factor for Demand Portion of Texas Gas Refund (see Exhibit D-1)</t>
  </si>
  <si>
    <t>Performance Based Rate Recovery Demand Component (see Exhibit E-1)</t>
  </si>
  <si>
    <t>2015-00329</t>
  </si>
  <si>
    <r>
      <rPr>
        <vertAlign val="superscript"/>
        <sz val="12"/>
        <rFont val="Times New Roman"/>
        <family val="1"/>
      </rPr>
      <t>3</t>
    </r>
    <r>
      <rPr>
        <sz val="12"/>
        <rFont val="Times New Roman"/>
        <family val="1"/>
      </rPr>
      <t xml:space="preserve"> Current sales included in meter readings for prior month.</t>
    </r>
  </si>
  <si>
    <t>(13)=(9)+(10)+(11)+(12)</t>
  </si>
  <si>
    <t>For information purposes only, volumes will be prorated.</t>
  </si>
  <si>
    <t>Portion of month billed at rate effective this quarter.</t>
  </si>
  <si>
    <t>See Page 3 of this Exhibit.</t>
  </si>
  <si>
    <t>See Page 4 of this Exhibit.</t>
  </si>
  <si>
    <t>Depts.</t>
  </si>
  <si>
    <t>(Gas Dept.)</t>
  </si>
  <si>
    <t xml:space="preserve">Note:   Should a Customer served under Rider TS-2 under-nominate its monthly gas supply needs, a Cash-Out Sale is made to the Customer.  </t>
  </si>
  <si>
    <t>This sale, which is based upon the cash-out price established in Rider TS-2, is also flowed through the GCAA as revenue.</t>
  </si>
  <si>
    <t>(5)=(3)x(4)</t>
  </si>
  <si>
    <t>[(3)x(8)]</t>
  </si>
  <si>
    <t>(6)=(4)x(5)</t>
  </si>
  <si>
    <t>(7) = (5)/(6)</t>
  </si>
  <si>
    <t>(6)=(3+4)x(5)</t>
  </si>
  <si>
    <t>(3)=(1)x(2)</t>
  </si>
  <si>
    <t>(5)=(2)+(3)+(4)</t>
  </si>
  <si>
    <t>(5)=(3)+(4)</t>
  </si>
  <si>
    <t>(9)=[(6)x(7)]+(8)</t>
  </si>
  <si>
    <t>(6)=(5)-(4)</t>
  </si>
  <si>
    <t>Cash-Out Sales (Mcf)</t>
  </si>
  <si>
    <t>2015-00429</t>
  </si>
  <si>
    <t>TYPICAL RESIDENTIAL GAS BILL</t>
  </si>
  <si>
    <t>EFFECTIVE RATES FOR RIDER TS-2 TRANSPORTATION SERVICE</t>
  </si>
  <si>
    <t xml:space="preserve">          ALL MCF</t>
  </si>
  <si>
    <t>RATE PER 1000 CUBIC FEET</t>
  </si>
  <si>
    <t>Rider TS-2</t>
  </si>
  <si>
    <t>Charges in addition to Customer's Retail Rate</t>
  </si>
  <si>
    <t>Transport</t>
  </si>
  <si>
    <t>Min. Annual</t>
  </si>
  <si>
    <t>Pipeline Supplier</t>
  </si>
  <si>
    <t>Gas Cost</t>
  </si>
  <si>
    <t>Action</t>
  </si>
  <si>
    <t xml:space="preserve">Add'l </t>
  </si>
  <si>
    <t>MMBtu Negative</t>
  </si>
  <si>
    <t>MMBtu Positive</t>
  </si>
  <si>
    <t>Cashout Negative</t>
  </si>
  <si>
    <t>Cashout Positive</t>
  </si>
  <si>
    <t>Distribution</t>
  </si>
  <si>
    <t>Gas Line</t>
  </si>
  <si>
    <t>Customer</t>
  </si>
  <si>
    <t>Franchise</t>
  </si>
  <si>
    <t>Admin Chg</t>
  </si>
  <si>
    <t>Distribution Chg</t>
  </si>
  <si>
    <t>Thrshld</t>
  </si>
  <si>
    <t>Demand Comp.</t>
  </si>
  <si>
    <t>True-up</t>
  </si>
  <si>
    <t>Alert</t>
  </si>
  <si>
    <t>Telemetry</t>
  </si>
  <si>
    <t>Trip Chg</t>
  </si>
  <si>
    <t>Amount</t>
  </si>
  <si>
    <t>Charge</t>
  </si>
  <si>
    <t>Tracker</t>
  </si>
  <si>
    <t>Fee</t>
  </si>
  <si>
    <t>Taxes</t>
  </si>
  <si>
    <t>Demand Chrg</t>
  </si>
  <si>
    <t>Storage Chrg</t>
  </si>
  <si>
    <t>MMBTU Adjust</t>
  </si>
  <si>
    <t>MMBTU Negative</t>
  </si>
  <si>
    <t>MMBTU Positive</t>
  </si>
  <si>
    <t>OFO</t>
  </si>
  <si>
    <t>Min Daily</t>
  </si>
  <si>
    <t>ADM</t>
  </si>
  <si>
    <t>True-Up</t>
  </si>
  <si>
    <t>Thrshld MCF</t>
  </si>
  <si>
    <t>Thrshld Amt</t>
  </si>
  <si>
    <t>School Tax</t>
  </si>
  <si>
    <t>State Tax</t>
  </si>
  <si>
    <t>*Cashout</t>
  </si>
  <si>
    <t>NO REFUNDS CURRENTLY</t>
  </si>
  <si>
    <t>Total Amount Recovered/(Refunded) During Period</t>
  </si>
  <si>
    <t>Expected Gas Supply Transported Under Texas' No-Notice Service (South-to-North)</t>
  </si>
  <si>
    <t>Commodity Cost (per MMBtu) under Texas Gas's No-Notice Service (South-to-North)</t>
  </si>
  <si>
    <t>Expected Gas Supply Transported Under Texas' Rate FT (North-to-South)</t>
  </si>
  <si>
    <t>Commodity Cost (per MMBtu) under Texas Gas's Rate FT (North-to-South)</t>
  </si>
  <si>
    <t>PBR Case Reference</t>
  </si>
  <si>
    <t>2016-00225</t>
  </si>
  <si>
    <t>check calc on forecast</t>
  </si>
  <si>
    <t>Check calc for forecast</t>
  </si>
  <si>
    <t>Expected Gas Supply Transported Under Tenn.'s Rate FT-A (Zone 0-2)</t>
  </si>
  <si>
    <t>Texas Gas Firm Transportation (Rate FT)</t>
  </si>
  <si>
    <t>Cash-Out Price as Decribed in Rate FT</t>
  </si>
  <si>
    <t>2016-00353</t>
  </si>
  <si>
    <t>2016-00137</t>
  </si>
  <si>
    <t>2016-00428</t>
  </si>
  <si>
    <t>As Determined in LG&amp;E's Annual PBR Filing</t>
  </si>
  <si>
    <t>Commodity Cost (per MMBtu) under Tenn. Gas's Rate FT-A (Zone 0-2)</t>
  </si>
  <si>
    <t>2017-00131</t>
  </si>
  <si>
    <t>2017-00235</t>
  </si>
  <si>
    <t>Intra Company</t>
  </si>
  <si>
    <t>PROJECTS</t>
  </si>
  <si>
    <t>TRANSMISSION</t>
  </si>
  <si>
    <t>Rate DGGS</t>
  </si>
  <si>
    <t>Delivery Service</t>
  </si>
  <si>
    <t xml:space="preserve">  Basic Service Charge</t>
  </si>
  <si>
    <t>Cash-Out Price as Decribed in Rate LGDS</t>
  </si>
  <si>
    <t xml:space="preserve">  Demand Charge / Mcf Delivered</t>
  </si>
  <si>
    <t xml:space="preserve">          MONTHLY BILLING DEMAND</t>
  </si>
  <si>
    <t>RATE SGSS - COMMERCIAL</t>
  </si>
  <si>
    <t>RATE SGSS - INDUSTRIAL</t>
  </si>
  <si>
    <t>Where Usage is Greater than Delivered Volume - Billing:</t>
  </si>
  <si>
    <t>Where Delivered Volume is Greater than Usage - Purchase:</t>
  </si>
  <si>
    <t>2017-00364</t>
  </si>
  <si>
    <t>XM Charge</t>
  </si>
  <si>
    <t>2017-00457</t>
  </si>
  <si>
    <t>2018-00088</t>
  </si>
  <si>
    <t>_____________________________________________________________________________________</t>
  </si>
  <si>
    <t>$/Ccf</t>
  </si>
  <si>
    <t xml:space="preserve">   Gas Supply Cost</t>
  </si>
  <si>
    <t xml:space="preserve">   Gas Cost Balance Adjustment  (GCBA)</t>
  </si>
  <si>
    <t>Refund Factor per Ccf ($/Ccf)</t>
  </si>
  <si>
    <t xml:space="preserve">   Description</t>
  </si>
  <si>
    <t xml:space="preserve">   Performance-Based Rate Recovery Component  (PBRRC) </t>
  </si>
  <si>
    <t>2018-00182</t>
  </si>
  <si>
    <t>TCJA</t>
  </si>
  <si>
    <t>Surcredit</t>
  </si>
  <si>
    <t>Trans Chrg</t>
  </si>
  <si>
    <t>TCJA Surcredit</t>
  </si>
  <si>
    <t>Charges for Gas Delivery Services Provided Under Rate LGDS</t>
  </si>
  <si>
    <t>Charges for Gas Transportation Services Provided Under Rate FT</t>
  </si>
  <si>
    <t>2018-00302</t>
  </si>
  <si>
    <t>File with August filing (effective August-October)</t>
  </si>
  <si>
    <t>Source: Natural Gas Forecast Forecast</t>
  </si>
  <si>
    <t>BTU Adjustment from forecast</t>
  </si>
  <si>
    <t>LAUFG Adjustment</t>
  </si>
  <si>
    <t>See Exhibit D.  LG&amp;E is not receiving any pipeline refunds at this time.</t>
  </si>
  <si>
    <t>2018-00403</t>
  </si>
  <si>
    <t>2019-00078</t>
  </si>
  <si>
    <t>(PER DAY)</t>
  </si>
  <si>
    <t>2019-00179</t>
  </si>
  <si>
    <t xml:space="preserve">Basic </t>
  </si>
  <si>
    <t>Service Charge</t>
  </si>
  <si>
    <t>GLT (per meter)</t>
  </si>
  <si>
    <t>GLT Transmission Projects (per CCF)</t>
  </si>
  <si>
    <t>2019-00327</t>
  </si>
  <si>
    <t>2019-00436</t>
  </si>
  <si>
    <t>Customer Delivery Sales Mill Creek</t>
  </si>
  <si>
    <t>See Exhibit E-1, page 2.  Only applicable for August filing.</t>
  </si>
  <si>
    <t>2020-00070</t>
  </si>
  <si>
    <t>GCAA $/MCF</t>
  </si>
  <si>
    <t>GCAA $/CCF</t>
  </si>
  <si>
    <t>Texas Gas Transmission, LLC</t>
  </si>
  <si>
    <t>Rate Schedule NNS (No-Notice Service: South-to-North)</t>
  </si>
  <si>
    <r>
      <t>On June 24, 2015, TGT submitted tariff sheets to the FERC in Docket No. RP15-1077 to reflect the expiration via abandonment of the operating lease with Gulf South Pipeline Company which required the removal of references to the incremental recourse rate applicable to the Gulf South lease.  The associated revised tariff sheets were dated to be effective April 1, 2015.  TGT did</t>
    </r>
    <r>
      <rPr>
        <sz val="12"/>
        <rFont val="Times New Roman"/>
        <family val="1"/>
      </rPr>
      <t xml:space="preserve"> not otherwise modify its existing rates or otherwise affect the rights or duties of customers.</t>
    </r>
  </si>
  <si>
    <t>Rate Schedule FT (Firm Transportation: Annual: North-to-South)</t>
  </si>
  <si>
    <t>Tennessee Gas Pipeline Company, LLC</t>
  </si>
  <si>
    <t>On June 24, 2015, TGT submitted tariff sheets to the FERC in Docket No. RP15-1077 to reflect the expiration via abandonment of the operating lease with Gulf South Pipeline Company which required the removal of references to the incremental recourse rate applicable to the Gulf South lease.  The associated revised tariff sheets were dated to be effective April 1, 2015.  TGT did not otherwise modify its existing rates or otherwise affect the rights or duties of customers.</t>
  </si>
  <si>
    <t>Gas Supply Costs</t>
  </si>
  <si>
    <t>Gas Cost True-Up Charge Applicable to Customers Served</t>
  </si>
  <si>
    <t>Under Rate FT and Rider TS-2</t>
  </si>
  <si>
    <t>Applicable Components of GCAA</t>
  </si>
  <si>
    <t>/Mcf</t>
  </si>
  <si>
    <t>Applicable Components of GCBA</t>
  </si>
  <si>
    <t>Applicable Components of PBRRC</t>
  </si>
  <si>
    <t>Calculation of Performance Based Rate Recovery Component (PBRRC)</t>
  </si>
  <si>
    <t xml:space="preserve">The Company has received no refunds this quarter and has completed refunding all previous obligations.  </t>
  </si>
  <si>
    <t xml:space="preserve">Therefore, the Refund Factor will be as follows:  </t>
  </si>
  <si>
    <t>None</t>
  </si>
  <si>
    <t>Calculation of Gas Cost Balance Adjustment (GCBA)</t>
  </si>
  <si>
    <t xml:space="preserve">The purpose of this adjustment is to compensate for any over- or under-recoveries remaining from prior Gas Cost Actual Adjustments and Gas Cost Balance Adjustments.    </t>
  </si>
  <si>
    <t>(Over)/Under GCBA Recovery:</t>
  </si>
  <si>
    <t>GCBA Factor per 100 cubic feet:</t>
  </si>
  <si>
    <t>Prior GSC Case Reference</t>
  </si>
  <si>
    <t>Mcf Purchases</t>
  </si>
  <si>
    <t>Purchases for OSS</t>
  </si>
  <si>
    <t>Purchases for Departments other than Gas Department</t>
  </si>
  <si>
    <t>Purchases Injected Into Storage</t>
  </si>
  <si>
    <t>Mcf Withdrawn from Storage</t>
  </si>
  <si>
    <t>Dollars</t>
  </si>
  <si>
    <t>Purchased Gas Costs</t>
  </si>
  <si>
    <t>Purchases Gas Costs for OSS</t>
  </si>
  <si>
    <t>Purchases for Non-Gas Departments</t>
  </si>
  <si>
    <t>Cost of Gas Withdrawn From Storage</t>
  </si>
  <si>
    <t>Gas Commodity Portion of Bad Debt Expense</t>
  </si>
  <si>
    <t xml:space="preserve">Remaining (Over)/Under Recovery From PBRRC </t>
  </si>
  <si>
    <t>2020-00204</t>
  </si>
  <si>
    <t>Ex A 1 of 2 Tab - Calculation of Gas Supply Costs</t>
  </si>
  <si>
    <t>Ex A 2 of 2 Tab - Calculation of Various Demand Charges Applicable</t>
  </si>
  <si>
    <t>All Formula Based - No Inputs</t>
  </si>
  <si>
    <t>Ex B-1 1 of 7 Tab - Calculation of Actual Gas Cost Adjustment</t>
  </si>
  <si>
    <t>Ex B-1 2 of 7 Tab - Calculation of Gas Cost Recovered</t>
  </si>
  <si>
    <t>Ex B-1 3 of 7 Tab - Summary of Gas Cost Recovered</t>
  </si>
  <si>
    <t>Ex B-1 4 of 7 Tab- Summary of Gas Cost Recovered</t>
  </si>
  <si>
    <t>Ex B-1 5 of 7 Tab - Total Gas Supply Cost per Books</t>
  </si>
  <si>
    <t xml:space="preserve">Ex B-1 6 of 7 Tab </t>
  </si>
  <si>
    <t xml:space="preserve">Ex B-1 7 of 7 Tab </t>
  </si>
  <si>
    <t>No input needed - Create PDF of redacted supplier data</t>
  </si>
  <si>
    <t>Ex C-1 1 of 3 Tab - Calculation of Quarterly Gas Cost Balance Adjustment</t>
  </si>
  <si>
    <t>Ex C-1 2 of 3 Tab - Calculation of Revenue Collected or Refunded Under GCAA Factor</t>
  </si>
  <si>
    <t>Ex C-1 3 of 3 Tab - Revenue Collected Under the GCBA Factor</t>
  </si>
  <si>
    <t>Ex D-1 1 of 2 Tab - Calculation of Refund Factor</t>
  </si>
  <si>
    <t>Ex D-1 2 of 2 Tab - Refund Returned Under Refund Factor</t>
  </si>
  <si>
    <t>Ex E-1 2 of 2 Tab - Calculation of Revenue Collected Under PBR Factor</t>
  </si>
  <si>
    <t>Gas Supply Cost $/Mcf</t>
  </si>
  <si>
    <t>Gas Supply Cost $Ccf</t>
  </si>
  <si>
    <t>Gas Cost Actual Adjustment (GCAA)</t>
  </si>
  <si>
    <t>Avg. Demand Cost per Mcf</t>
  </si>
  <si>
    <t>Pipeline Supplier's Demand Component Applicable to Billings per Mcf</t>
  </si>
  <si>
    <t>Daily Demand Charge Component of Utilization Charge per Mcf</t>
  </si>
  <si>
    <t>Gas Cost Balance Adjustment</t>
  </si>
  <si>
    <t>Gas Cost Balance Adjustment (GCBA) $/Mcf</t>
  </si>
  <si>
    <t>Gas Cost Balance Adjustment (GCBA) $/Ccf</t>
  </si>
  <si>
    <t>Refund Factor</t>
  </si>
  <si>
    <t>Refund Factor $/Mcf</t>
  </si>
  <si>
    <t>Refund Factor $/Ccf</t>
  </si>
  <si>
    <t>Company Share of PBR Savings or (Expenses) (CSPBR)</t>
  </si>
  <si>
    <t>PBRRC Factor</t>
  </si>
  <si>
    <t>TS Transport Factor</t>
  </si>
  <si>
    <t xml:space="preserve">Ex F-1 1 of 1 Tab - Gas Cost True-Up Charge Applicable to Customers </t>
  </si>
  <si>
    <t>Service Effective</t>
  </si>
  <si>
    <t>Component of GCAA</t>
  </si>
  <si>
    <t>Component of GCBA</t>
  </si>
  <si>
    <t>Component of PBRRC</t>
  </si>
  <si>
    <t>Applicable</t>
  </si>
  <si>
    <t xml:space="preserve">The purpose of the Gas Cost True-Up is to collect or refund any under- or over-collected gas costs incurred by transportation customers in previous quarters.  Pursuant to the Order dated December 20, 2012, in Case No. 2012-00222, the charge (or credit) applies only to those transportation customers that were previously Louisville Gas and Electric Company sales customers.  These under- or over-collected amounts (in the form of the GCAA, GCBA, and PBRRC) that transferring customers would have paid as sales customers will be applied for eighteen months.  </t>
  </si>
  <si>
    <t>Exhibit B</t>
  </si>
  <si>
    <t>Exhibit C</t>
  </si>
  <si>
    <t>Exhibit E</t>
  </si>
  <si>
    <t>Exhibit F</t>
  </si>
  <si>
    <t>Calculation of Gas Cost Actual Adjustment (GCAA)</t>
  </si>
  <si>
    <t xml:space="preserve">The purpose of this adjustment is to compensate for over- or under-recoveries which result from differences between various quarters' revenues collected to recover expected gas costs and the actual gas costs incurred during each such quarter.  </t>
  </si>
  <si>
    <t>(Over)/Under Recovery:</t>
  </si>
  <si>
    <t>GCAA Factor per 100 cubic feet:</t>
  </si>
  <si>
    <t>Therefore, the Gas Cost Actual Adjustment will be as follows:</t>
  </si>
  <si>
    <t>Current Quarter Actual Adjustment:</t>
  </si>
  <si>
    <t>Previous Quarter Actual Adjustment:</t>
  </si>
  <si>
    <r>
      <t>2</t>
    </r>
    <r>
      <rPr>
        <vertAlign val="superscript"/>
        <sz val="12"/>
        <rFont val="Times New Roman"/>
        <family val="1"/>
      </rPr>
      <t>nd</t>
    </r>
    <r>
      <rPr>
        <sz val="12"/>
        <rFont val="Times New Roman"/>
        <family val="1"/>
      </rPr>
      <t xml:space="preserve"> Previous Quarter Actual Adjustment</t>
    </r>
  </si>
  <si>
    <r>
      <t>3</t>
    </r>
    <r>
      <rPr>
        <vertAlign val="superscript"/>
        <sz val="12"/>
        <rFont val="Times New Roman"/>
        <family val="1"/>
      </rPr>
      <t>rd</t>
    </r>
    <r>
      <rPr>
        <sz val="12"/>
        <rFont val="Times New Roman"/>
        <family val="1"/>
      </rPr>
      <t xml:space="preserve"> Previous Quarter Actual Adjustment:</t>
    </r>
  </si>
  <si>
    <t>GCAA Factor $/Ccf</t>
  </si>
  <si>
    <t>Total Gas Cost Actual Adjustment (GCAA)</t>
  </si>
  <si>
    <t>•</t>
  </si>
  <si>
    <t>RATE NNS</t>
  </si>
  <si>
    <t>SYSTEM SUPPLY SOUTH-TO-NORTH PURCHASE PRICE PER MMBTU</t>
  </si>
  <si>
    <t>UNDER TEXAS GAS’S NO-NOTICE SERVICE RATE</t>
  </si>
  <si>
    <t>RATE FT</t>
  </si>
  <si>
    <t>SYSTEM SUPPLY NORTH-TO-SOUTH PURCHASE PRICE PER MMBTU</t>
  </si>
  <si>
    <t>UNDER TEXAS GAS’S FIRM TRANSPORTATION SERVICE RATE</t>
  </si>
  <si>
    <t>TOTAL ESTIMATED DELIVERED PRICE</t>
  </si>
  <si>
    <t>TRANSPORT CHARGE</t>
  </si>
  <si>
    <t>ESTIMATED PRICE AS DELIVERED TO TEXAS GAS</t>
  </si>
  <si>
    <t>MONTH</t>
  </si>
  <si>
    <t>UNDER TENNESSEE GAS'S FIRM TRANSPORTATION SERVICE RATE</t>
  </si>
  <si>
    <t>ESTIMATED PRICE AS DELIVERED TO TENNESSEE GAS</t>
  </si>
  <si>
    <t>RATE FT-A-2 TRANSPORT CHARGE</t>
  </si>
  <si>
    <t>RATE FT TRANSPORT CHARGE</t>
  </si>
  <si>
    <t>Rate FT and Rider PS-FT</t>
  </si>
  <si>
    <t>Any revenue collected from the application of these charges will flow directly into the Gas Supply Cost Actual Adjustment (“GCAA”) in future Gas Supply Clause filings.  Therefore, the revenue collected through application of these charges will reduce the total Gas Supply Cost Component (“GSCC”) charged to LG&amp;E’s sales customers.</t>
  </si>
  <si>
    <t>GAS SERVICE RATES EFFECTIVE WITH SERVICE</t>
  </si>
  <si>
    <t>2020-00309</t>
  </si>
  <si>
    <t xml:space="preserve">   Plus, Purchased Gas: No Notice Storage Withdrawals</t>
  </si>
  <si>
    <t xml:space="preserve">   Purchased Gas: Retail Sales</t>
  </si>
  <si>
    <t xml:space="preserve">   Less, Purchased Gas: No Notice Storage Injections</t>
  </si>
  <si>
    <t xml:space="preserve">   Used in Electric Generation</t>
  </si>
  <si>
    <t xml:space="preserve">   Used for Start-up and Flame Stabilization</t>
  </si>
  <si>
    <t xml:space="preserve">   LAUFG for Transport Customers</t>
  </si>
  <si>
    <t xml:space="preserve">   Used by Other Departments</t>
  </si>
  <si>
    <t>TOTAL Purchases for Departments other than Gas Department</t>
  </si>
  <si>
    <t>TOTAL Mcf Purchases</t>
  </si>
  <si>
    <t>Forecast Delivery Sales - Mill Creek</t>
  </si>
  <si>
    <t>Forecast Delivery Sales</t>
  </si>
  <si>
    <t>TS Demand portion of Gas Purchases and End-User Transport Throughput</t>
  </si>
  <si>
    <t>Blue Cells = Formula Produced Cells</t>
  </si>
  <si>
    <t>2020-00401</t>
  </si>
  <si>
    <t>.</t>
  </si>
  <si>
    <t>RATE RGS - RESIDENTIAL/RATE VFD - VOLUNTEER FIRE DEPARTMENT</t>
  </si>
  <si>
    <t>2021-00130</t>
  </si>
  <si>
    <t>2021-00251</t>
  </si>
  <si>
    <t xml:space="preserve">  Gas Line Tracker Transmission Projects / Mcf Delivered</t>
  </si>
  <si>
    <t>Customer Deliveries Sales:  Mill Creek</t>
  </si>
  <si>
    <t>2021-00368</t>
  </si>
  <si>
    <t>2020 Rate Case</t>
  </si>
  <si>
    <t>Source: August 2021 Forecast</t>
  </si>
  <si>
    <t>Gas supply disruptions, such as those caused by hurricanes or well freeze-offs, can affect prices.</t>
  </si>
  <si>
    <t xml:space="preserve">  Demand-Side Management Cost Recovery Mechanism / Mcf Delivered</t>
  </si>
  <si>
    <t>2021-00458</t>
  </si>
  <si>
    <t xml:space="preserve">REDACTED PAGE 7 OF 7 INCLUDED IN THE PDF </t>
  </si>
  <si>
    <t xml:space="preserve">REDACTED PAGE 6 OF 7 INCLUDED IN THE PDF </t>
  </si>
  <si>
    <t>RATE AAGS</t>
  </si>
  <si>
    <t>Multiplied by</t>
  </si>
  <si>
    <t>2022-00083</t>
  </si>
  <si>
    <t>Increased economic activity has increased the demand for natural gas in the U.S.</t>
  </si>
  <si>
    <t>Address</t>
  </si>
  <si>
    <t>ValueType</t>
  </si>
  <si>
    <t>Value</t>
  </si>
  <si>
    <t>2022-00180</t>
  </si>
  <si>
    <t>RETENTION 
(TO ZONE 2)</t>
  </si>
  <si>
    <t>RETENTION
(ZONE 4 TO 4)</t>
  </si>
  <si>
    <t>RATE NNS RETENTION 
(TO ZONE 4)</t>
  </si>
  <si>
    <t>All invoices are Confidential and are provided separately under seal.</t>
  </si>
  <si>
    <t>2022-00310</t>
  </si>
  <si>
    <t>Texas Gas Firm Transportation (Rate STF)</t>
  </si>
  <si>
    <t>Production levels have increased somewhat to 95 Bcf/day.  Many producers are spending more to produce gas due to cost inflation.  Some producers have reduced capital spending on production to improve their balance sheets.</t>
  </si>
  <si>
    <t>Imports of natural gas via pipeline from Canada are about 6 Bcf/day.</t>
  </si>
  <si>
    <t>New pipeline infrastructure required to deliver natural gas supllies to the marketplace is growing at a slow pace due to regulatory and environmental challenges.</t>
  </si>
  <si>
    <t>Increasing gas-fired electric generation loads are impacting the demand for natural gas.</t>
  </si>
  <si>
    <t>¹ The weekly gas storage survey issued by the Energy Information Administration ("EIA") for the week ending September 16, 2022, indicated that storage inventory levels were 6.4% lower than last year's levels. Storage inventories across the nation are 197 Bcf (3,071 Bcf - 2,874 Bcf), or 6.4% lower this year than the same period one year ago.  Last year at this time, 3,071 Bcf was held in storage, while this year 2,874 Bcf is held in storage.  Storage inventories across the nation are 332 Bcf (3,206 Bcf - 2,874 Bcf), or 10.4%, lower this year than the five-year average. On average for the last five years at this time, 3,206 Bcf was held in storage. Higher storage inventory levels and the lack of demand for natural gas tend to drive natural gas prices lower.  Conversely, lower storage levels, interruptions of gas supply, or increases in demand for natural gas tend to cause increases in the expected price of natural gas.</t>
  </si>
  <si>
    <t>LG&amp;E is served by Texas Gas Transmission, LLC (“TGT”) pursuant to the terms of the transportation agreements under Rate Schedules NNS, FT, and STF.  LG&amp;E is served by Tennessee Gas Pipeline Company, LLC (“TGPL”) pursuant to the terms of a transportation agreement under Rate Schedule FT-A.  Both TGT and TGPL are subject to regulation by the Federal Energy Regulatory Commission (“FERC”).</t>
  </si>
  <si>
    <t xml:space="preserve">Set forth below are the commodity costs as delivered to LG&amp;E after giving effect to TGT’s and TGPL’s commodity charges for transporting the gas under Rates NNS, FT, STF and FT-A and the applicable retention percentages. </t>
  </si>
  <si>
    <t>RATE STF</t>
  </si>
  <si>
    <t>RETENTION
(ZONE 1 TO 4)</t>
  </si>
  <si>
    <t>UNDER TEXAS GAS’S SHORT-TERM FIRM SERVICE RATE</t>
  </si>
  <si>
    <t>The annual demand billings covering the 12 months from November 1, 2022 through October 31, 2023, for firm contracts with natural gas suppliers are currently expected to be $7,505,606.</t>
  </si>
  <si>
    <t>The demand-related supply costs applicable to the Utilization Charge for Daily Imbalances under Rate FT and Rider PS-FT applicable during the three-month period of November 1, 2022 through January 31, 2023 are set forth on Exhibit A, Page 2.</t>
  </si>
  <si>
    <t>Rate Schedule STF (Short-Term Firm: South-to-North)</t>
  </si>
  <si>
    <t>Firm Transportation Service (FT-A: South-to-North)</t>
  </si>
  <si>
    <t>RATE FT-A</t>
  </si>
  <si>
    <t>Expected Gas Supply Transported Under Texas' Rate STF (South-to-North)</t>
  </si>
  <si>
    <t>Commodity Costs - Gas Supply Under Texas Gas's Rate STF (South to North)</t>
  </si>
  <si>
    <t>Commodity Cost (per MMBtu) under Texas Gas's Rate STF (South-to-North)</t>
  </si>
  <si>
    <t>Expected  Annual  Deliveries from Pipeline Transporters in Mcf (including Rider TS-2)</t>
  </si>
  <si>
    <t>Effective October 1, 2022, the FERC ACA Unit Charge is $0.0015/MMBtu.</t>
  </si>
  <si>
    <t>Attached hereto as Exhibit A-1(a), Page 1, is the tariff sheet for No-Notice Service under Rate NNS which will be applicable on and after November 1, 2022.  The tariffed rates are as follows: (a) a daily demand charge of $0.4190/MMBtu, and (b) a commodity charge of $0.0629/MMBtu irrespective of the zone of receipt.</t>
  </si>
  <si>
    <t>The rates applicable to all three contracts for service under Rate Schedule NNS are a monthly demand charge of $12.7104/MMBtu and a volumetric throughput charge (“commodity charge”) of $0.0629/MMBtu irrespective of the zone of receipt.</t>
  </si>
  <si>
    <t>Attached hereto as Exhibit A-1(a), Pages 2 and 3, are the tariff sheets for transportation service under Rate FT which will be applicable on and after November 1, 2022.  Page 2 contains the tariff sheet which sets forth the TGT daily demand charges.  Page 3 contains the tariff sheet which sets forth the commodity charges.  The tariffed rates are as follows: (a) a daily demand charge of $0.1374/MMBtu, and (b) a commodity charge applicable to transportation from Zone 4 to Zone 4 of $0.0375/MMBtu.</t>
  </si>
  <si>
    <t>Exports of natural gas (by pipeline or as LNG) have grown year-over-year increasing the demand for natural gas.  LNG feed gas volumes were expected to surpass 14 Bcf/day in 2022, however, feed gas volumes are now about 12 Bcf/day because of the shut-down of the 2 Bcf/day Freeport LNG facility in Texas.  Freeport is expected to return to partial service in mid-November.  Exports of natural gas via pipeline to Mexico are about 6 Bcf/day.</t>
  </si>
  <si>
    <t>The rates applicable to service under this discounted rate agreement result in a monthly demand charge of $5.0676/MMBtu including the PS/GHG charge and a volumetric throughput charge (“commodity charge”) of $0.0415/MMBtu for deliveries from Zone 0 to Zone 2.</t>
  </si>
  <si>
    <t>On September 9, 2022, TGPL made its Compliance Filing to implement rates effective November 1, 2022, pursuant to the Settlement filed at FERC on April 4, 2019, in Docket No. RP19-351.  The April 4, 2019, Settlement supersedes in its entirety the settlement approved by FERC on July 1, 2015, in Docket No. RP15-990.  The 2019 Settlement provided for an immediate rate reduction of 8.5% effective November 1, 2019, with further reductions as follows: (1) a 2% reduction effective November 1, 2020, (2) an additional 2% reduction effective November 1, 2021, and (3) a 1% reduction effective November 1, 2022.  All rate reductions are expressed as percentages of the rates effective November 1, 2018.  The 2019 Settlement, approved by FERC on May 24, 2019, obviates the necessity of TGPL making a one-time filing of FERC Form No. 501-G as required by FERC Order 849.  FERC Order 849 was intended to assess the impact of the Tax Cuts and Jobs Act on the revenues and rates of natural gas pipelines.  The tariff sheets filed September 9, 2022 in RP19-351-006 also incorporate the revised Pipeline Safety and Green House Gas ("PS&amp;GHG") Surcharges as provided for in TGPL's settlements approved by FERC in Docket Nos. RP11-1566 and RP15-990.</t>
  </si>
  <si>
    <t>Attached hereto as Exhibit A-1(a), Page 4, is the tariff sheet for transportation service under Rate STF which will be applicable on and after November 1, 2022.  The tariffed rates are as follows: (a) a winter season daily demand charge of $0.4252/MMBtu, and (b) a commodity charge of $0.0523/MMBtu irrespective of the zone of receipt.</t>
  </si>
  <si>
    <t>National gas storage inventories are 6.4% lower compared to the same period one year ago, and 10.4% lower than the 5-year average. ¹  This is expected to increase demand for natural gas to refill storage during October and November.</t>
  </si>
  <si>
    <t>The average commodity cost of gas purchased from gas suppliers by LG&amp;E and delivered to TGT under the south-to-north NNS service is expected to be $7.1480 per MMBtu for November 2022, $7.3350 per MMBtu for December 2022, and $7.4770 per MMBtu for January 2023.  The average commodity cost of gas purchased from gas suppliers by LG&amp;E and delivered to TGT under the north-to-south FT service is expected to be $7.1160 per MMBtu for November 2022, $7.3030 per MMBtu for December 2022, and $7.4450 per MMBtu for January 2023.  The average commodity cost of gas purchased from gas suppliers by LG&amp;E and delivered to TGT under the south-to-north STF service is expected to be $7.1480 per MMBtu for November 2022, $7.3350 per MMBtu for December 2022, and $7.4770 per MMBtu for January 2023.The average commodity cost of gas purchased from gas suppliers by LG&amp;E and delivered to TGPL under Rate FT-A from its Zone 0 is expected to be $7.2220 per MMBtu for November 2022, $7.4090 per MMBtu for December 2022, and $7.5510 per MMBtu for January 2023.</t>
  </si>
  <si>
    <t>The average New York Mercantile Exchange (“NYMEX”) natural gas futures closes for September 21, 2022, September 22, 2022, and September 23, 2022, are $7.3370/MMBtu for November 2022, $7.5240/MMBtu for December 2022, and $7.660/MMBtu for January 2023.  The average of the NYMEX close for these three days has been used as a general price indicator.  The wholesale natural gas market is not price-regulated and is subject to the forces of supply and demand, as well as psychological factors that can affect the market.  Among the forces that are presumably affecting the price of natural gas are:</t>
  </si>
  <si>
    <t>The rates applicable to service under the negotiated rate agreement are the same as the tariffed rates and result in a monthly demand charge of $4.1793/MMBtu and a volumetric throughput charge (“commodity charge”) of $0.0375/MMBtu applicable to transportation from Zone 4 to Zone 4.</t>
  </si>
  <si>
    <t>The rates applicable to service under this agreement result in a monthly demand charge of $12.8410/MMBtu and a volumetric throughput charge (“commodity charge”) of $0.0523/MMBtu applicable to transportation from Zone 1 to Zone 4.</t>
  </si>
  <si>
    <t>Attached hereto as Exhibit A-1 (a), Pages 5 and 6, are the tariff sheet for transportation service under Rate FT-A, which are applicable as of November 1, 2022.  Page 5 contains the tariff sheet which sets forth the monthly demand charges and Page 6 contains the tariff sheet which sets forth the commodity charges.  The tariffed rates are as follows for deliveries from Zone 0 to Zone 2: (a) a monthly demand charge of $13.2440/MMBtu including the Pipeline Safety/Greenhouse Gas (PS/GHG) charge, and (b) a commodity charge of $0.0415/MMBtu.</t>
  </si>
  <si>
    <t>During the three-month period under review, November 1, 2022, through January 31, 2023, LG&amp;E estimates that its total purchases will be 11,556,341 MMBtu.  LG&amp;E expects that 5,127,841 MMBtu will be met with deliveries from TGT’s pipeline service under Rate NNS (3,401,841 MMBtu in pipeline south-to-north deliveries plus 1,726,000 MMBtu in storage withdrawals); 1,829,100 MMBtu from north-to-south deliveries under TGT’s pipeline service under Rate FT; 2,759,400 MMBtu from south-to-north deliveries under TGT’s pipeline service under  Rate STF; and 1,840,000 MMBtu will be met from deliveries under TGPL’s pipeline service under Rate FT-A from Zone 0.</t>
  </si>
  <si>
    <t>2022-00421</t>
  </si>
  <si>
    <t>2023-00089</t>
  </si>
  <si>
    <t>2023-00197</t>
  </si>
  <si>
    <t>2023-00298</t>
  </si>
  <si>
    <t>2023-00409</t>
  </si>
  <si>
    <t>2024-00063</t>
  </si>
  <si>
    <t>2024-00192</t>
  </si>
  <si>
    <t>February 1, 2025</t>
  </si>
  <si>
    <t>2024-00294</t>
  </si>
  <si>
    <t>2024-00405</t>
  </si>
  <si>
    <t>Filed</t>
  </si>
  <si>
    <t>Previous</t>
  </si>
  <si>
    <t>Quarter</t>
  </si>
  <si>
    <t>Year</t>
  </si>
  <si>
    <t>To Be</t>
  </si>
  <si>
    <t>Effective Date:</t>
  </si>
  <si>
    <t>Quarter to Quarter Summary</t>
  </si>
  <si>
    <t>GCAA/GCBA</t>
  </si>
  <si>
    <t>RF</t>
  </si>
  <si>
    <t>Year to Year Summary</t>
  </si>
  <si>
    <t>2025-00061</t>
  </si>
  <si>
    <t>Increase in the amount being collected from customers as the result of previous under-collections</t>
  </si>
  <si>
    <t>Expected Gas Supply Transported Under Tenn.'s Rate FT-A (Zone 1-2)</t>
  </si>
  <si>
    <t>Total Expected Monthly Deliveries from TGT/TGPL to LG&amp;E  (Line 13 + Line 14)</t>
  </si>
  <si>
    <t>Mcf Purchases Expensed during Month  (Line 13 - Line 16 - Line 17)</t>
  </si>
  <si>
    <t xml:space="preserve">    Plus:  Storage Injections into LG&amp;E's Underground Storage  (Line 17)</t>
  </si>
  <si>
    <t>Mcf of Gas Supply Expensed during Month  (Line 18 + Line 22 + Line 23)</t>
  </si>
  <si>
    <t>Commodity Cost (per MMBtu) under Tenn. Gas's Rate FT-A (Zone 1-2)</t>
  </si>
  <si>
    <t>Total Demand Cost - Including Transportation  (Line 15 x Line 48)</t>
  </si>
  <si>
    <t xml:space="preserve">    Less:  Demand Cost Recovered thru Rate TS-2  (Line 14 x Line 48)</t>
  </si>
  <si>
    <t>Commodity Costs - Gas Supply Under NNS (South-to-North) (Line 1 x Line 49)</t>
  </si>
  <si>
    <t>Commodity Costs - Gas Supply Under Rate FT (North-to-South) (Line 2 x Line 50)</t>
  </si>
  <si>
    <t>Commodity Costs - Gas Supply Under Rate STF (South-to-North) (Line 3 x Line 51)</t>
  </si>
  <si>
    <t>Commodity Costs - Gas Supply Under Rate FT-A (Zone 0-2) (Line 4 x Line 52)</t>
  </si>
  <si>
    <t>Commodity Costs - Gas Supply Under Rate FT-A (Zone 1-2) (Line 5 x Line 53)</t>
  </si>
  <si>
    <t xml:space="preserve">    Plus:  Withdrawals from NNS Storage  (Line 7 x Line 49)</t>
  </si>
  <si>
    <t xml:space="preserve">    Less:  Purchases Injected into NNS Storage  (Line 8 x Line 49)</t>
  </si>
  <si>
    <t xml:space="preserve">    Less:  Purchases for Depts. Other Than Gas Dept.(Line 16 x Line 54)</t>
  </si>
  <si>
    <t xml:space="preserve">    Less:  Purchases Injected into LG&amp;E's Storage  (Line 17 x Line 54)</t>
  </si>
  <si>
    <t xml:space="preserve">    Plus:  LG&amp;E Storage Injections  (Line 39 above)</t>
  </si>
  <si>
    <t xml:space="preserve">    Less:  LG&amp;E Storage Withdrawals  (Line 22 x Line 55)</t>
  </si>
  <si>
    <t xml:space="preserve">    Less:  LG&amp;E Storage Losses  (Line 23 x Line 55)</t>
  </si>
  <si>
    <t>Gas Supply Expenses  (Line 40 + Line 44 + Line 45)</t>
  </si>
  <si>
    <t>Average Cost of Inventory - Including Injections (Line 43 / Line 21)</t>
  </si>
  <si>
    <t>Current Gas Supply Cost (Line 47 / Line 56)</t>
  </si>
  <si>
    <t>Tenn. Gas Firm Transportation (Rate FT-A) (Zone 0-2)</t>
  </si>
  <si>
    <t>Tenn. Gas Firm Transportation (Rate FT-A) (Zone 1-2)</t>
  </si>
  <si>
    <t>Total Annual Demand Costs (Line 7)</t>
  </si>
  <si>
    <t>Average Demand Cost (Line 10)</t>
  </si>
  <si>
    <t>UCDI Charge (Line 15 / Line 16 / 365 days)</t>
  </si>
  <si>
    <t>2025-00188</t>
  </si>
  <si>
    <t>Average Cost of Deliveries  (Line 37 / Line 13)</t>
  </si>
  <si>
    <t>February 1, 2026</t>
  </si>
  <si>
    <t>November 1, 2024 and November 1, 2025 is:</t>
  </si>
  <si>
    <t>4'3,911</t>
  </si>
  <si>
    <t>2025-00304</t>
  </si>
  <si>
    <t>Average Demand Cost per Mcf (Line 8 / Line 9)</t>
  </si>
  <si>
    <t>Decrease in the amount being collected from customers as the result of previous under-collections</t>
  </si>
  <si>
    <t>April 30, 2026</t>
  </si>
  <si>
    <t>January 31, 2027</t>
  </si>
  <si>
    <t>August 2025</t>
  </si>
  <si>
    <t>October 2025</t>
  </si>
  <si>
    <t>2024-000192</t>
  </si>
  <si>
    <t>May 1, 2026</t>
  </si>
  <si>
    <t>PBRRC will no longer collect the company's savings as the PBR has expired.</t>
  </si>
  <si>
    <t>2025-00400</t>
  </si>
  <si>
    <r>
      <t xml:space="preserve">Ex E-1 1 of 2 Tab - Shareholder Portion of PBR Savings - </t>
    </r>
    <r>
      <rPr>
        <b/>
        <u/>
        <sz val="14"/>
        <color rgb="FFFF0000"/>
        <rFont val="Times New Roman"/>
        <family val="1"/>
      </rPr>
      <t>PBR EXPIRED NO LONGER NEEDED</t>
    </r>
  </si>
  <si>
    <t>Pursuant to Louisville Gas and Electric Company's August 5, 2024 letter to the Kentucky Public Service Commission and Responses to Commission Staff's First Request for Information dated September 5, 2024 in Case No. 2023-00411, beginning with services rendered on and after February 1, 2026, LG&amp;E will no longer collect its portion of savings through the PBRRC as operation of the gas supply cost PBR expired October 31, 2024.</t>
  </si>
  <si>
    <t xml:space="preserve">The PBRRC Exhibit will continue to be part of LG&amp;E's quarterly GSC filings with the Kentucky Public Service Commission through its June 30, 2026 filing.  At that time, LG&amp;E will provide support for any (over)/under recovery of the PBRRC for the past year (February 1, 2025 through January 31,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</si>
</sst>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3">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0.0000_)"/>
    <numFmt numFmtId="165" formatCode="#,##0.000_);\(#,##0.000\)"/>
    <numFmt numFmtId="166" formatCode="#,##0.0000_);\(#,##0.0000\)"/>
    <numFmt numFmtId="167" formatCode="General_)"/>
    <numFmt numFmtId="168" formatCode="#,##0.00000_);\(#,##0.00000\)"/>
    <numFmt numFmtId="169" formatCode="0.00000"/>
    <numFmt numFmtId="170" formatCode="0.000_);\(0.000\)"/>
    <numFmt numFmtId="171" formatCode="0.0000_);\(0.0000\)"/>
    <numFmt numFmtId="172" formatCode="_(* #,##0.000_);_(* \(#,##0.000\);_(* &quot;-&quot;??_);_(@_)"/>
    <numFmt numFmtId="173" formatCode="&quot;$&quot;#,##0.0000_);\(&quot;$&quot;#,##0.0000\)"/>
    <numFmt numFmtId="174" formatCode="&quot;$&quot;#,##0.00"/>
    <numFmt numFmtId="175" formatCode="&quot;$&quot;#,##0.00000_);\(&quot;$&quot;#,##0.00000\)"/>
    <numFmt numFmtId="176" formatCode="_(* #,##0.0_);_(* \(#,##0.0\);_(* &quot;-&quot;??_);_(@_)"/>
    <numFmt numFmtId="177" formatCode="_(* #,##0_);_(* \(#,##0\);_(* &quot;-&quot;??_);_(@_)"/>
    <numFmt numFmtId="178" formatCode="&quot;$&quot;#,##0.0000"/>
    <numFmt numFmtId="179" formatCode="_(&quot;$&quot;* #,##0.0000_);_(&quot;$&quot;* \(#,##0.0000\);_(&quot;$&quot;* &quot;-&quot;??_);_(@_)"/>
    <numFmt numFmtId="180" formatCode="0_);\(0\)"/>
    <numFmt numFmtId="181" formatCode="[$-409]mmmm\ d\,\ yyyy;@"/>
    <numFmt numFmtId="182" formatCode="mmmm\ d\,\ yyyy"/>
    <numFmt numFmtId="183" formatCode="#,##0.0_);\(#,##0.0\)"/>
    <numFmt numFmtId="184" formatCode="&quot;$&quot;#,##0.00000"/>
    <numFmt numFmtId="185" formatCode="mmm\-yyyy"/>
    <numFmt numFmtId="186" formatCode="m/d/yy;@"/>
    <numFmt numFmtId="187" formatCode="[$-409]mmm\-yy;@"/>
    <numFmt numFmtId="188" formatCode="_(&quot;$&quot;* #,##0.00000_);_(&quot;$&quot;* \(#,##0.00000\);_(&quot;$&quot;* &quot;-&quot;??_);_(@_)"/>
    <numFmt numFmtId="189" formatCode="0.0000"/>
    <numFmt numFmtId="190" formatCode="_(* #,##0.000000_);_(* \(#,##0.000000\);_(* &quot;-&quot;??_);_(@_)"/>
    <numFmt numFmtId="191" formatCode="_(* #,##0.00000_);_(* \(#,##0.00000\);_(* &quot;-&quot;??_);_(@_)"/>
    <numFmt numFmtId="192" formatCode="[$-409]mmmm\-yy;@"/>
    <numFmt numFmtId="193" formatCode="&quot;$&quot;#,##0.0000_);[Red]\(&quot;$&quot;#,##0.0000\)"/>
    <numFmt numFmtId="194" formatCode="mmm\-yy_)"/>
    <numFmt numFmtId="195" formatCode="_(* #,##0.0_);_(* \(#,##0.0\);_(* &quot;-&quot;?_);_(@_)"/>
    <numFmt numFmtId="196" formatCode="#,##0.0"/>
    <numFmt numFmtId="197" formatCode="&quot;$&quot;#,##0"/>
    <numFmt numFmtId="198" formatCode="0.000%"/>
    <numFmt numFmtId="199" formatCode="0.000"/>
    <numFmt numFmtId="200" formatCode="#,##0.000000_);\(#,##0.000000\)"/>
    <numFmt numFmtId="201" formatCode="_(* #,##0.0_);_(* \(#,##0.0\);_(* &quot;0&quot;_);_(@_)"/>
    <numFmt numFmtId="202" formatCode="0.00000_)"/>
    <numFmt numFmtId="203" formatCode="_(* #,##0.0000_);_(* \(#,##0.0000\);_(* &quot;-&quot;??_);_(@_)"/>
    <numFmt numFmtId="204" formatCode="0.00000_);\(0.00000\)"/>
    <numFmt numFmtId="205" formatCode="&quot;$&quot;#,##0\ ;\(&quot;$&quot;#,##0\)"/>
    <numFmt numFmtId="206" formatCode="_([$€-2]* #,##0.00_);_([$€-2]* \(#,##0.00\);_([$€-2]* &quot;-&quot;??_)"/>
    <numFmt numFmtId="207" formatCode="_(&quot;$&quot;* #,##0.0000000_);_(&quot;$&quot;* \(#,##0.0000000\);_(&quot;$&quot;* &quot;-&quot;??_);_(@_)"/>
    <numFmt numFmtId="208" formatCode="_(&quot;$&quot;* #,##0_);_(&quot;$&quot;* \(#,##0\);_(&quot;$&quot;* &quot;-&quot;??_);_(@_)"/>
    <numFmt numFmtId="209" formatCode="###,000"/>
  </numFmts>
  <fonts count="105" x14ac:knownFonts="1">
    <font>
      <sz val="12"/>
      <name val="Helv"/>
    </font>
    <font>
      <sz val="11"/>
      <color theme="1"/>
      <name val="Calibri"/>
      <family val="2"/>
      <scheme val="minor"/>
    </font>
    <font>
      <sz val="11"/>
      <color theme="1"/>
      <name val="Calibri"/>
      <family val="2"/>
      <scheme val="minor"/>
    </font>
    <font>
      <sz val="10"/>
      <name val="Arial"/>
      <family val="2"/>
    </font>
    <font>
      <sz val="8"/>
      <name val="Helv"/>
    </font>
    <font>
      <sz val="10"/>
      <name val="Times New Roman"/>
      <family val="1"/>
    </font>
    <font>
      <sz val="11"/>
      <name val="Times New Roman"/>
      <family val="1"/>
    </font>
    <font>
      <sz val="12"/>
      <name val="Times New Roman"/>
      <family val="1"/>
    </font>
    <font>
      <sz val="8"/>
      <name val="Arial"/>
      <family val="2"/>
    </font>
    <font>
      <b/>
      <sz val="12"/>
      <name val="Times New Roman"/>
      <family val="1"/>
    </font>
    <font>
      <sz val="12"/>
      <name val="Helv"/>
    </font>
    <font>
      <b/>
      <sz val="14"/>
      <name val="Times New Roman"/>
      <family val="1"/>
    </font>
    <font>
      <sz val="14"/>
      <name val="Times New Roman"/>
      <family val="1"/>
    </font>
    <font>
      <sz val="12"/>
      <color indexed="12"/>
      <name val="Times New Roman"/>
      <family val="1"/>
    </font>
    <font>
      <b/>
      <sz val="10"/>
      <name val="Times New Roman"/>
      <family val="1"/>
    </font>
    <font>
      <b/>
      <sz val="11"/>
      <name val="Times New Roman"/>
      <family val="1"/>
    </font>
    <font>
      <sz val="18"/>
      <name val="Times New Roman"/>
      <family val="1"/>
    </font>
    <font>
      <u/>
      <sz val="11"/>
      <name val="Times New Roman"/>
      <family val="1"/>
    </font>
    <font>
      <u/>
      <sz val="12"/>
      <name val="Times New Roman"/>
      <family val="1"/>
    </font>
    <font>
      <b/>
      <u/>
      <sz val="12"/>
      <name val="Times New Roman"/>
      <family val="1"/>
    </font>
    <font>
      <sz val="12"/>
      <name val="Arial"/>
      <family val="2"/>
    </font>
    <font>
      <b/>
      <sz val="12"/>
      <name val="Arial"/>
      <family val="2"/>
    </font>
    <font>
      <sz val="14"/>
      <name val="Arial"/>
      <family val="2"/>
    </font>
    <font>
      <sz val="10"/>
      <color rgb="FF002060"/>
      <name val="Times New Roman"/>
      <family val="1"/>
    </font>
    <font>
      <sz val="12"/>
      <color rgb="FF002060"/>
      <name val="Times New Roman"/>
      <family val="1"/>
    </font>
    <font>
      <sz val="9"/>
      <color indexed="81"/>
      <name val="Tahoma"/>
      <family val="2"/>
    </font>
    <font>
      <sz val="11"/>
      <color theme="0"/>
      <name val="Calibri"/>
      <family val="2"/>
      <scheme val="minor"/>
    </font>
    <font>
      <b/>
      <u/>
      <sz val="14"/>
      <name val="Times New Roman"/>
      <family val="1"/>
    </font>
    <font>
      <u/>
      <sz val="14"/>
      <name val="Times New Roman"/>
      <family val="1"/>
    </font>
    <font>
      <b/>
      <u/>
      <sz val="11"/>
      <name val="Times New Roman"/>
      <family val="1"/>
    </font>
    <font>
      <vertAlign val="superscript"/>
      <sz val="12"/>
      <name val="Times New Roman"/>
      <family val="1"/>
    </font>
    <font>
      <sz val="10"/>
      <color indexed="12"/>
      <name val="Times New Roman"/>
      <family val="1"/>
    </font>
    <font>
      <sz val="14"/>
      <color rgb="FFFF0000"/>
      <name val="Times New Roman"/>
      <family val="1"/>
    </font>
    <font>
      <b/>
      <sz val="18"/>
      <name val="Times New Roman"/>
      <family val="1"/>
    </font>
    <font>
      <sz val="12"/>
      <color rgb="FFFF0000"/>
      <name val="Times New Roman"/>
      <family val="1"/>
    </font>
    <font>
      <u val="double"/>
      <sz val="12"/>
      <name val="Times New Roman"/>
      <family val="1"/>
    </font>
    <font>
      <i/>
      <sz val="12"/>
      <name val="Times New Roman"/>
      <family val="1"/>
    </font>
    <font>
      <b/>
      <sz val="20"/>
      <name val="Times New Roman"/>
      <family val="1"/>
    </font>
    <font>
      <sz val="14"/>
      <name val="Helv"/>
    </font>
    <font>
      <sz val="14"/>
      <color indexed="12"/>
      <name val="Times New Roman"/>
      <family val="1"/>
    </font>
    <font>
      <sz val="12"/>
      <color theme="1"/>
      <name val="Times New Roman"/>
      <family val="1"/>
    </font>
    <font>
      <b/>
      <u val="double"/>
      <sz val="14"/>
      <name val="Times New Roman"/>
      <family val="1"/>
    </font>
    <font>
      <sz val="11"/>
      <color rgb="FF0000FF"/>
      <name val="Times New Roman"/>
      <family val="1"/>
    </font>
    <font>
      <sz val="14"/>
      <color rgb="FF0000FF"/>
      <name val="Times New Roman"/>
      <family val="1"/>
    </font>
    <font>
      <sz val="12"/>
      <color rgb="FF0000FF"/>
      <name val="Times New Roman"/>
      <family val="1"/>
    </font>
    <font>
      <sz val="12"/>
      <color rgb="FFFF0000"/>
      <name val="Helv"/>
    </font>
    <font>
      <sz val="10"/>
      <color indexed="9"/>
      <name val="Arial"/>
      <family val="2"/>
    </font>
    <font>
      <b/>
      <sz val="10"/>
      <color indexed="9"/>
      <name val="Arial"/>
      <family val="2"/>
    </font>
    <font>
      <b/>
      <sz val="8"/>
      <color indexed="9"/>
      <name val="Arial"/>
      <family val="2"/>
    </font>
    <font>
      <b/>
      <sz val="8"/>
      <color indexed="8"/>
      <name val="Arial"/>
      <family val="2"/>
    </font>
    <font>
      <b/>
      <sz val="8"/>
      <color indexed="8"/>
      <name val="Courier New"/>
      <family val="3"/>
    </font>
    <font>
      <sz val="11"/>
      <color indexed="8"/>
      <name val="Calibri"/>
      <family val="2"/>
    </font>
    <font>
      <b/>
      <sz val="10"/>
      <name val="Arial"/>
      <family val="2"/>
    </font>
    <font>
      <b/>
      <sz val="14"/>
      <name val="Arial"/>
      <family val="2"/>
    </font>
    <font>
      <sz val="6"/>
      <name val="Arial"/>
      <family val="2"/>
    </font>
    <font>
      <b/>
      <sz val="11"/>
      <color indexed="62"/>
      <name val="Arial"/>
      <family val="2"/>
    </font>
    <font>
      <b/>
      <sz val="10"/>
      <color indexed="8"/>
      <name val="Arial"/>
      <family val="2"/>
    </font>
    <font>
      <sz val="8"/>
      <color theme="1"/>
      <name val="Arial"/>
      <family val="2"/>
    </font>
    <font>
      <sz val="10"/>
      <color indexed="8"/>
      <name val="Arial"/>
      <family val="2"/>
    </font>
    <font>
      <b/>
      <i/>
      <sz val="10"/>
      <color indexed="8"/>
      <name val="Arial"/>
      <family val="2"/>
    </font>
    <font>
      <b/>
      <i/>
      <sz val="22"/>
      <color indexed="8"/>
      <name val="Times New Roman"/>
      <family val="1"/>
    </font>
    <font>
      <b/>
      <sz val="12"/>
      <color indexed="8"/>
      <name val="Arial"/>
      <family val="2"/>
    </font>
    <font>
      <sz val="8"/>
      <color indexed="8"/>
      <name val="Arial"/>
      <family val="2"/>
    </font>
    <font>
      <sz val="8"/>
      <color indexed="12"/>
      <name val="Arial"/>
      <family val="2"/>
    </font>
    <font>
      <sz val="8"/>
      <color indexed="8"/>
      <name val="Wingdings"/>
      <charset val="2"/>
    </font>
    <font>
      <sz val="10"/>
      <color indexed="10"/>
      <name val="Arial"/>
      <family val="2"/>
    </font>
    <font>
      <sz val="12"/>
      <color rgb="FF000000"/>
      <name val="Times New Roman"/>
      <family val="1"/>
    </font>
    <font>
      <i/>
      <sz val="12"/>
      <color rgb="FFFF0000"/>
      <name val="Times New Roman"/>
      <family val="1"/>
    </font>
    <font>
      <u/>
      <sz val="12"/>
      <color rgb="FFFF0000"/>
      <name val="Times New Roman"/>
      <family val="1"/>
    </font>
    <font>
      <sz val="12"/>
      <color rgb="FF0000FF"/>
      <name val="Arial"/>
      <family val="2"/>
    </font>
    <font>
      <sz val="16"/>
      <name val="Times New Roman"/>
      <family val="1"/>
    </font>
    <font>
      <sz val="12"/>
      <color rgb="FF0066FF"/>
      <name val="Times New Roman"/>
      <family val="1"/>
    </font>
    <font>
      <u/>
      <sz val="12"/>
      <color rgb="FF0066FF"/>
      <name val="Times New Roman"/>
      <family val="1"/>
    </font>
    <font>
      <sz val="9"/>
      <name val="Times New Roman"/>
      <family val="1"/>
    </font>
    <font>
      <b/>
      <sz val="36"/>
      <name val="Times New Roman"/>
      <family val="1"/>
    </font>
    <font>
      <sz val="8"/>
      <name val="Times New Roman"/>
      <family val="1"/>
    </font>
    <font>
      <sz val="11"/>
      <color theme="1"/>
      <name val="Times New Roman"/>
      <family val="1"/>
    </font>
    <font>
      <b/>
      <sz val="11"/>
      <color theme="1"/>
      <name val="Times New Roman"/>
      <family val="1"/>
    </font>
    <font>
      <u val="singleAccounting"/>
      <sz val="11"/>
      <color theme="1"/>
      <name val="Times New Roman"/>
      <family val="1"/>
    </font>
    <font>
      <sz val="8"/>
      <color rgb="FF00000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62"/>
      <name val="Arial"/>
      <family val="2"/>
    </font>
    <font>
      <b/>
      <sz val="13"/>
      <color indexed="62"/>
      <name val="Arial"/>
      <family val="2"/>
    </font>
    <font>
      <sz val="10"/>
      <color indexed="62"/>
      <name val="Arial"/>
      <family val="2"/>
    </font>
    <font>
      <sz val="10"/>
      <color indexed="52"/>
      <name val="Arial"/>
      <family val="2"/>
    </font>
    <font>
      <sz val="10"/>
      <color indexed="60"/>
      <name val="Arial"/>
      <family val="2"/>
    </font>
    <font>
      <sz val="11"/>
      <color theme="1"/>
      <name val="Calibri"/>
      <family val="2"/>
    </font>
    <font>
      <b/>
      <sz val="10"/>
      <color indexed="63"/>
      <name val="Arial"/>
      <family val="2"/>
    </font>
    <font>
      <b/>
      <sz val="18"/>
      <color indexed="62"/>
      <name val="Cambria"/>
      <family val="2"/>
    </font>
    <font>
      <b/>
      <sz val="8"/>
      <color rgb="FF1F497D"/>
      <name val="Verdana"/>
      <family val="2"/>
    </font>
    <font>
      <sz val="8"/>
      <color rgb="FF1F497D"/>
      <name val="Verdana"/>
      <family val="2"/>
    </font>
    <font>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8"/>
      <color rgb="FFDBE5F1"/>
      <name val="Verdana"/>
      <family val="2"/>
    </font>
    <font>
      <i/>
      <sz val="8"/>
      <color rgb="FF000000"/>
      <name val="Verdana"/>
      <family val="2"/>
    </font>
    <font>
      <b/>
      <i/>
      <sz val="8"/>
      <color rgb="FF000000"/>
      <name val="Verdana"/>
      <family val="2"/>
    </font>
    <font>
      <b/>
      <i/>
      <sz val="8"/>
      <color rgb="FF1F497D"/>
      <name val="Verdana"/>
      <family val="2"/>
    </font>
    <font>
      <i/>
      <sz val="8"/>
      <color rgb="FF1F497D"/>
      <name val="Verdana"/>
      <family val="2"/>
    </font>
    <font>
      <b/>
      <u/>
      <sz val="14"/>
      <color rgb="FFFF0000"/>
      <name val="Times New Roman"/>
      <family val="1"/>
    </font>
  </fonts>
  <fills count="52">
    <fill>
      <patternFill patternType="none"/>
    </fill>
    <fill>
      <patternFill patternType="gray125"/>
    </fill>
    <fill>
      <patternFill patternType="solid">
        <fgColor theme="9"/>
      </patternFill>
    </fill>
    <fill>
      <patternFill patternType="solid">
        <fgColor rgb="FFFFFF00"/>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indexed="9"/>
        <bgColor indexed="64"/>
      </patternFill>
    </fill>
    <fill>
      <patternFill patternType="solid">
        <fgColor indexed="25"/>
      </patternFill>
    </fill>
    <fill>
      <patternFill patternType="solid">
        <fgColor indexed="29"/>
      </patternFill>
    </fill>
    <fill>
      <patternFill patternType="solid">
        <fgColor indexed="24"/>
      </patternFill>
    </fill>
    <fill>
      <patternFill patternType="solid">
        <fgColor indexed="22"/>
      </patternFill>
    </fill>
    <fill>
      <patternFill patternType="solid">
        <fgColor indexed="47"/>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12"/>
      </patternFill>
    </fill>
    <fill>
      <patternFill patternType="solid">
        <fgColor indexed="9"/>
      </patternFill>
    </fill>
    <fill>
      <patternFill patternType="solid">
        <fgColor indexed="43"/>
      </patternFill>
    </fill>
    <fill>
      <patternFill patternType="solid">
        <fgColor theme="1"/>
        <bgColor indexed="64"/>
      </patternFill>
    </fill>
    <fill>
      <patternFill patternType="solid">
        <fgColor theme="8" tint="0.399975585192419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00B050"/>
        <bgColor indexed="64"/>
      </patternFill>
    </fill>
    <fill>
      <patternFill patternType="solid">
        <fgColor theme="0" tint="-0.499984740745262"/>
        <bgColor indexed="64"/>
      </patternFill>
    </fill>
    <fill>
      <patternFill patternType="solid">
        <fgColor indexed="32"/>
      </patternFill>
    </fill>
    <fill>
      <patternFill patternType="solid">
        <fgColor indexed="45"/>
      </patternFill>
    </fill>
    <fill>
      <patternFill patternType="solid">
        <fgColor indexed="55"/>
      </patternFill>
    </fill>
    <fill>
      <patternFill patternType="solid">
        <fgColor indexed="42"/>
      </patternFill>
    </fill>
    <fill>
      <patternFill patternType="solid">
        <fgColor indexed="26"/>
      </patternFill>
    </fill>
    <fill>
      <patternFill patternType="solid">
        <fgColor rgb="FFDBE5F1"/>
        <bgColor rgb="FF000000"/>
      </patternFill>
    </fill>
    <fill>
      <patternFill patternType="solid">
        <fgColor rgb="FFDBE5F1"/>
        <bgColor rgb="FFFFFFFF"/>
      </patternFill>
    </fill>
    <fill>
      <patternFill patternType="solid">
        <fgColor rgb="FFFFFFFF"/>
        <bgColor rgb="FF000000"/>
      </patternFill>
    </fill>
    <fill>
      <patternFill patternType="solid">
        <fgColor rgb="FFF1F5FB"/>
        <bgColor rgb="FF000000"/>
      </patternFill>
    </fill>
    <fill>
      <patternFill patternType="solid">
        <fgColor rgb="FFE9EFF7"/>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theme="7" tint="0.39997558519241921"/>
        <bgColor indexed="64"/>
      </patternFill>
    </fill>
  </fills>
  <borders count="50">
    <border>
      <left/>
      <right/>
      <top/>
      <bottom/>
      <diagonal/>
    </border>
    <border>
      <left/>
      <right/>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bottom style="medium">
        <color indexed="64"/>
      </bottom>
      <diagonal/>
    </border>
    <border>
      <left/>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double">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auto="1"/>
      </top>
      <bottom style="thin">
        <color auto="1"/>
      </bottom>
      <diagonal/>
    </border>
    <border>
      <left/>
      <right/>
      <top/>
      <bottom style="thin">
        <color auto="1"/>
      </bottom>
      <diagonal/>
    </border>
    <border>
      <left/>
      <right style="thin">
        <color indexed="64"/>
      </right>
      <top/>
      <bottom style="thin">
        <color auto="1"/>
      </bottom>
      <diagonal/>
    </border>
    <border>
      <left/>
      <right/>
      <top/>
      <bottom style="medium">
        <color indexed="25"/>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5"/>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hair">
        <color rgb="FFC0C0C0"/>
      </left>
      <right style="hair">
        <color rgb="FFC0C0C0"/>
      </right>
      <top style="thin">
        <color rgb="FF808080"/>
      </top>
      <bottom style="thin">
        <color rgb="FF808080"/>
      </bottom>
      <diagonal/>
    </border>
    <border>
      <left style="medium">
        <color rgb="FFFF0000"/>
      </left>
      <right style="medium">
        <color rgb="FFFF0000"/>
      </right>
      <top style="medium">
        <color rgb="FFFF0000"/>
      </top>
      <bottom style="medium">
        <color rgb="FFFF0000"/>
      </bottom>
      <diagonal/>
    </border>
    <border>
      <left style="thin">
        <color rgb="FF000000"/>
      </left>
      <right style="thin">
        <color rgb="FF000000"/>
      </right>
      <top style="thin">
        <color rgb="FF000000"/>
      </top>
      <bottom style="thin">
        <color rgb="FF000000"/>
      </bottom>
      <diagonal/>
    </border>
  </borders>
  <cellStyleXfs count="1017">
    <xf numFmtId="167"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10" fillId="0" borderId="0"/>
    <xf numFmtId="0" fontId="3" fillId="0" borderId="0"/>
    <xf numFmtId="0" fontId="26" fillId="2" borderId="0" applyNumberFormat="0" applyBorder="0" applyAlignment="0" applyProtection="0"/>
    <xf numFmtId="9" fontId="10" fillId="0" borderId="0" applyFont="0" applyFill="0" applyBorder="0" applyAlignment="0" applyProtection="0"/>
    <xf numFmtId="0" fontId="3" fillId="0" borderId="0"/>
    <xf numFmtId="0" fontId="3" fillId="0" borderId="0"/>
    <xf numFmtId="0" fontId="3" fillId="0" borderId="0"/>
    <xf numFmtId="0" fontId="46" fillId="7" borderId="0" applyNumberFormat="0" applyBorder="0" applyAlignment="0" applyProtection="0"/>
    <xf numFmtId="0" fontId="46" fillId="8" borderId="0" applyNumberFormat="0" applyBorder="0" applyAlignment="0" applyProtection="0"/>
    <xf numFmtId="0" fontId="46" fillId="9" borderId="0" applyNumberFormat="0" applyBorder="0" applyAlignment="0" applyProtection="0"/>
    <xf numFmtId="0" fontId="46" fillId="10" borderId="0" applyNumberFormat="0" applyBorder="0" applyAlignment="0" applyProtection="0"/>
    <xf numFmtId="0" fontId="46" fillId="7" borderId="0" applyNumberFormat="0" applyBorder="0" applyAlignment="0" applyProtection="0"/>
    <xf numFmtId="0" fontId="46" fillId="11"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2" borderId="0" applyNumberFormat="0" applyBorder="0" applyAlignment="0" applyProtection="0"/>
    <xf numFmtId="0" fontId="46" fillId="16" borderId="0" applyNumberFormat="0" applyBorder="0" applyAlignment="0" applyProtection="0"/>
    <xf numFmtId="0" fontId="47" fillId="17" borderId="0">
      <alignment horizontal="left"/>
    </xf>
    <xf numFmtId="0" fontId="48" fillId="17" borderId="0">
      <alignment horizontal="right"/>
    </xf>
    <xf numFmtId="0" fontId="49" fillId="18" borderId="0">
      <alignment horizontal="center"/>
    </xf>
    <xf numFmtId="0" fontId="48" fillId="17" borderId="0">
      <alignment horizontal="right"/>
    </xf>
    <xf numFmtId="0" fontId="50" fillId="18" borderId="0">
      <alignment horizontal="left"/>
    </xf>
    <xf numFmtId="41"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205" fontId="3" fillId="0" borderId="0" applyFont="0" applyFill="0" applyBorder="0" applyAlignment="0" applyProtection="0"/>
    <xf numFmtId="205"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06" fontId="3" fillId="0" borderId="0" applyFont="0" applyFill="0" applyBorder="0" applyAlignment="0" applyProtection="0"/>
    <xf numFmtId="206" fontId="3" fillId="0" borderId="0" applyFont="0" applyFill="0" applyBorder="0" applyAlignment="0" applyProtection="0"/>
    <xf numFmtId="0" fontId="52" fillId="0" borderId="0" applyProtection="0"/>
    <xf numFmtId="0" fontId="5" fillId="0" borderId="0" applyProtection="0"/>
    <xf numFmtId="0" fontId="53" fillId="0" borderId="0" applyProtection="0"/>
    <xf numFmtId="0" fontId="8" fillId="0" borderId="0" applyProtection="0"/>
    <xf numFmtId="0" fontId="8" fillId="0" borderId="0" applyProtection="0"/>
    <xf numFmtId="0" fontId="3" fillId="0" borderId="0" applyProtection="0"/>
    <xf numFmtId="0" fontId="3" fillId="0" borderId="0" applyProtection="0"/>
    <xf numFmtId="0" fontId="52" fillId="0" borderId="0" applyProtection="0"/>
    <xf numFmtId="0" fontId="54" fillId="0" borderId="0" applyProtection="0"/>
    <xf numFmtId="2" fontId="3" fillId="0" borderId="0" applyFont="0" applyFill="0" applyBorder="0" applyAlignment="0" applyProtection="0"/>
    <xf numFmtId="2" fontId="3" fillId="0" borderId="0" applyFont="0" applyFill="0" applyBorder="0" applyAlignment="0" applyProtection="0"/>
    <xf numFmtId="0" fontId="55" fillId="0" borderId="35" applyNumberFormat="0" applyFill="0" applyAlignment="0" applyProtection="0"/>
    <xf numFmtId="0" fontId="47" fillId="17" borderId="0">
      <alignment horizontal="left"/>
    </xf>
    <xf numFmtId="0" fontId="56" fillId="18" borderId="0">
      <alignment horizontal="left"/>
    </xf>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7" fillId="0" borderId="0"/>
    <xf numFmtId="0" fontId="57" fillId="0" borderId="0"/>
    <xf numFmtId="0"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 fontId="58" fillId="6" borderId="0">
      <alignment horizontal="right"/>
    </xf>
    <xf numFmtId="0" fontId="59" fillId="6" borderId="0">
      <alignment horizontal="center" vertical="center"/>
    </xf>
    <xf numFmtId="0" fontId="56" fillId="6" borderId="6"/>
    <xf numFmtId="0" fontId="56" fillId="6" borderId="6"/>
    <xf numFmtId="0" fontId="59" fillId="6" borderId="0" applyBorder="0">
      <alignment horizontal="centerContinuous"/>
    </xf>
    <xf numFmtId="0" fontId="60" fillId="6" borderId="0" applyBorder="0">
      <alignment horizontal="centerContinuous"/>
    </xf>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56" fillId="19" borderId="0">
      <alignment horizontal="center"/>
    </xf>
    <xf numFmtId="49" fontId="61" fillId="18" borderId="0">
      <alignment horizontal="center"/>
    </xf>
    <xf numFmtId="0" fontId="48" fillId="17" borderId="0">
      <alignment horizontal="center"/>
    </xf>
    <xf numFmtId="0" fontId="48" fillId="17" borderId="0">
      <alignment horizontal="centerContinuous"/>
    </xf>
    <xf numFmtId="0" fontId="62" fillId="18" borderId="0">
      <alignment horizontal="left"/>
    </xf>
    <xf numFmtId="49" fontId="62" fillId="18" borderId="0">
      <alignment horizontal="center"/>
    </xf>
    <xf numFmtId="0" fontId="47" fillId="17" borderId="0">
      <alignment horizontal="left"/>
    </xf>
    <xf numFmtId="49" fontId="62" fillId="18" borderId="0">
      <alignment horizontal="left"/>
    </xf>
    <xf numFmtId="0" fontId="47" fillId="17" borderId="0">
      <alignment horizontal="centerContinuous"/>
    </xf>
    <xf numFmtId="0" fontId="47" fillId="17" borderId="0">
      <alignment horizontal="right"/>
    </xf>
    <xf numFmtId="49" fontId="56" fillId="18" borderId="0">
      <alignment horizontal="left"/>
    </xf>
    <xf numFmtId="0" fontId="48" fillId="17" borderId="0">
      <alignment horizontal="right"/>
    </xf>
    <xf numFmtId="0" fontId="62" fillId="11" borderId="0">
      <alignment horizontal="center"/>
    </xf>
    <xf numFmtId="0" fontId="63" fillId="11" borderId="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4" fillId="18" borderId="0">
      <alignment horizontal="center"/>
    </xf>
    <xf numFmtId="0" fontId="65" fillId="0" borderId="0" applyNumberForma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181" fontId="3" fillId="0" borderId="0"/>
    <xf numFmtId="181" fontId="3" fillId="0" borderId="0"/>
    <xf numFmtId="181" fontId="3" fillId="0" borderId="0"/>
    <xf numFmtId="181" fontId="58" fillId="7" borderId="0" applyNumberFormat="0" applyBorder="0" applyAlignment="0" applyProtection="0"/>
    <xf numFmtId="181" fontId="58" fillId="7"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29" borderId="0" applyNumberFormat="0" applyBorder="0" applyAlignment="0" applyProtection="0"/>
    <xf numFmtId="181" fontId="58" fillId="29" borderId="0" applyNumberFormat="0" applyBorder="0" applyAlignment="0" applyProtection="0"/>
    <xf numFmtId="181" fontId="58" fillId="7" borderId="0" applyNumberFormat="0" applyBorder="0" applyAlignment="0" applyProtection="0"/>
    <xf numFmtId="181" fontId="58" fillId="7" borderId="0" applyNumberFormat="0" applyBorder="0" applyAlignment="0" applyProtection="0"/>
    <xf numFmtId="181" fontId="58" fillId="11" borderId="0" applyNumberFormat="0" applyBorder="0" applyAlignment="0" applyProtection="0"/>
    <xf numFmtId="181" fontId="58" fillId="11" borderId="0" applyNumberFormat="0" applyBorder="0" applyAlignment="0" applyProtection="0"/>
    <xf numFmtId="181" fontId="58" fillId="7" borderId="0" applyNumberFormat="0" applyBorder="0" applyAlignment="0" applyProtection="0"/>
    <xf numFmtId="181" fontId="58" fillId="7"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9" borderId="0" applyNumberFormat="0" applyBorder="0" applyAlignment="0" applyProtection="0"/>
    <xf numFmtId="181" fontId="58" fillId="10" borderId="0" applyNumberFormat="0" applyBorder="0" applyAlignment="0" applyProtection="0"/>
    <xf numFmtId="181" fontId="58" fillId="10" borderId="0" applyNumberFormat="0" applyBorder="0" applyAlignment="0" applyProtection="0"/>
    <xf numFmtId="181" fontId="58" fillId="7" borderId="0" applyNumberFormat="0" applyBorder="0" applyAlignment="0" applyProtection="0"/>
    <xf numFmtId="181" fontId="58" fillId="7" borderId="0" applyNumberFormat="0" applyBorder="0" applyAlignment="0" applyProtection="0"/>
    <xf numFmtId="181" fontId="58" fillId="11" borderId="0" applyNumberFormat="0" applyBorder="0" applyAlignment="0" applyProtection="0"/>
    <xf numFmtId="181" fontId="58" fillId="11"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8" borderId="0" applyNumberFormat="0" applyBorder="0" applyAlignment="0" applyProtection="0"/>
    <xf numFmtId="181" fontId="46" fillId="8" borderId="0" applyNumberFormat="0" applyBorder="0" applyAlignment="0" applyProtection="0"/>
    <xf numFmtId="181" fontId="46" fillId="8" borderId="0" applyNumberFormat="0" applyBorder="0" applyAlignment="0" applyProtection="0"/>
    <xf numFmtId="181" fontId="46" fillId="9" borderId="0" applyNumberFormat="0" applyBorder="0" applyAlignment="0" applyProtection="0"/>
    <xf numFmtId="181" fontId="46" fillId="9" borderId="0" applyNumberFormat="0" applyBorder="0" applyAlignment="0" applyProtection="0"/>
    <xf numFmtId="181" fontId="46" fillId="9" borderId="0" applyNumberFormat="0" applyBorder="0" applyAlignment="0" applyProtection="0"/>
    <xf numFmtId="181" fontId="46" fillId="10" borderId="0" applyNumberFormat="0" applyBorder="0" applyAlignment="0" applyProtection="0"/>
    <xf numFmtId="181" fontId="46" fillId="10" borderId="0" applyNumberFormat="0" applyBorder="0" applyAlignment="0" applyProtection="0"/>
    <xf numFmtId="181" fontId="46" fillId="10"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7" borderId="0" applyNumberFormat="0" applyBorder="0" applyAlignment="0" applyProtection="0"/>
    <xf numFmtId="181" fontId="46" fillId="11" borderId="0" applyNumberFormat="0" applyBorder="0" applyAlignment="0" applyProtection="0"/>
    <xf numFmtId="181" fontId="46" fillId="11" borderId="0" applyNumberFormat="0" applyBorder="0" applyAlignment="0" applyProtection="0"/>
    <xf numFmtId="181" fontId="46" fillId="11"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3" borderId="0" applyNumberFormat="0" applyBorder="0" applyAlignment="0" applyProtection="0"/>
    <xf numFmtId="181" fontId="46" fillId="13" borderId="0" applyNumberFormat="0" applyBorder="0" applyAlignment="0" applyProtection="0"/>
    <xf numFmtId="181" fontId="46" fillId="13" borderId="0" applyNumberFormat="0" applyBorder="0" applyAlignment="0" applyProtection="0"/>
    <xf numFmtId="181" fontId="46" fillId="14" borderId="0" applyNumberFormat="0" applyBorder="0" applyAlignment="0" applyProtection="0"/>
    <xf numFmtId="181" fontId="46" fillId="14" borderId="0" applyNumberFormat="0" applyBorder="0" applyAlignment="0" applyProtection="0"/>
    <xf numFmtId="181" fontId="46" fillId="14" borderId="0" applyNumberFormat="0" applyBorder="0" applyAlignment="0" applyProtection="0"/>
    <xf numFmtId="181" fontId="46" fillId="15" borderId="0" applyNumberFormat="0" applyBorder="0" applyAlignment="0" applyProtection="0"/>
    <xf numFmtId="181" fontId="46" fillId="15" borderId="0" applyNumberFormat="0" applyBorder="0" applyAlignment="0" applyProtection="0"/>
    <xf numFmtId="181" fontId="46" fillId="15"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2" borderId="0" applyNumberFormat="0" applyBorder="0" applyAlignment="0" applyProtection="0"/>
    <xf numFmtId="181" fontId="46" fillId="16" borderId="0" applyNumberFormat="0" applyBorder="0" applyAlignment="0" applyProtection="0"/>
    <xf numFmtId="181" fontId="46" fillId="16" borderId="0" applyNumberFormat="0" applyBorder="0" applyAlignment="0" applyProtection="0"/>
    <xf numFmtId="181" fontId="46" fillId="16" borderId="0" applyNumberFormat="0" applyBorder="0" applyAlignment="0" applyProtection="0"/>
    <xf numFmtId="181" fontId="80" fillId="30" borderId="0" applyNumberFormat="0" applyBorder="0" applyAlignment="0" applyProtection="0"/>
    <xf numFmtId="181" fontId="80" fillId="30" borderId="0" applyNumberFormat="0" applyBorder="0" applyAlignment="0" applyProtection="0"/>
    <xf numFmtId="181" fontId="81" fillId="29" borderId="36" applyNumberFormat="0" applyAlignment="0" applyProtection="0"/>
    <xf numFmtId="181" fontId="81" fillId="29" borderId="36" applyNumberFormat="0" applyAlignment="0" applyProtection="0"/>
    <xf numFmtId="181" fontId="47" fillId="31" borderId="37" applyNumberFormat="0" applyAlignment="0" applyProtection="0"/>
    <xf numFmtId="181" fontId="47" fillId="31" borderId="37" applyNumberFormat="0" applyAlignment="0" applyProtection="0"/>
    <xf numFmtId="181" fontId="47" fillId="17" borderId="0">
      <alignment horizontal="left"/>
    </xf>
    <xf numFmtId="181" fontId="48" fillId="17" borderId="0">
      <alignment horizontal="right"/>
    </xf>
    <xf numFmtId="181" fontId="49" fillId="18" borderId="0">
      <alignment horizontal="center"/>
    </xf>
    <xf numFmtId="181" fontId="48" fillId="17" borderId="0">
      <alignment horizontal="right"/>
    </xf>
    <xf numFmtId="181" fontId="50" fillId="18" borderId="0">
      <alignment horizontal="left"/>
    </xf>
    <xf numFmtId="43" fontId="3" fillId="0" borderId="0" applyFont="0" applyFill="0" applyBorder="0" applyAlignment="0" applyProtection="0"/>
    <xf numFmtId="43" fontId="5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82" fillId="0" borderId="0" applyNumberFormat="0" applyFill="0" applyBorder="0" applyAlignment="0" applyProtection="0"/>
    <xf numFmtId="181" fontId="82" fillId="0" borderId="0" applyNumberFormat="0" applyFill="0" applyBorder="0" applyAlignment="0" applyProtection="0"/>
    <xf numFmtId="181" fontId="52" fillId="0" borderId="0" applyProtection="0"/>
    <xf numFmtId="181" fontId="5" fillId="0" borderId="0" applyProtection="0"/>
    <xf numFmtId="181" fontId="53" fillId="0" borderId="0" applyProtection="0"/>
    <xf numFmtId="181" fontId="8" fillId="0" borderId="0" applyProtection="0"/>
    <xf numFmtId="181" fontId="8" fillId="0" borderId="0" applyProtection="0"/>
    <xf numFmtId="181" fontId="3" fillId="0" borderId="0" applyProtection="0"/>
    <xf numFmtId="181" fontId="3" fillId="0" borderId="0" applyProtection="0"/>
    <xf numFmtId="181" fontId="52" fillId="0" borderId="0" applyProtection="0"/>
    <xf numFmtId="181" fontId="54" fillId="0" borderId="0" applyProtection="0"/>
    <xf numFmtId="181" fontId="83" fillId="32" borderId="0" applyNumberFormat="0" applyBorder="0" applyAlignment="0" applyProtection="0"/>
    <xf numFmtId="181" fontId="83" fillId="32" borderId="0" applyNumberFormat="0" applyBorder="0" applyAlignment="0" applyProtection="0"/>
    <xf numFmtId="181" fontId="84" fillId="0" borderId="38" applyNumberFormat="0" applyFill="0" applyAlignment="0" applyProtection="0"/>
    <xf numFmtId="181" fontId="84" fillId="0" borderId="38" applyNumberFormat="0" applyFill="0" applyAlignment="0" applyProtection="0"/>
    <xf numFmtId="181" fontId="85" fillId="0" borderId="39" applyNumberFormat="0" applyFill="0" applyAlignment="0" applyProtection="0"/>
    <xf numFmtId="181" fontId="85" fillId="0" borderId="39"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35" applyNumberFormat="0" applyFill="0" applyAlignment="0" applyProtection="0"/>
    <xf numFmtId="181" fontId="55" fillId="0" borderId="0" applyNumberFormat="0" applyFill="0" applyBorder="0" applyAlignment="0" applyProtection="0"/>
    <xf numFmtId="181" fontId="55" fillId="0" borderId="0" applyNumberFormat="0" applyFill="0" applyBorder="0" applyAlignment="0" applyProtection="0"/>
    <xf numFmtId="181" fontId="86" fillId="11" borderId="36" applyNumberFormat="0" applyAlignment="0" applyProtection="0"/>
    <xf numFmtId="181" fontId="86" fillId="11" borderId="36" applyNumberFormat="0" applyAlignment="0" applyProtection="0"/>
    <xf numFmtId="181" fontId="47" fillId="17" borderId="0">
      <alignment horizontal="left"/>
    </xf>
    <xf numFmtId="181" fontId="56" fillId="18" borderId="0">
      <alignment horizontal="left"/>
    </xf>
    <xf numFmtId="181" fontId="87" fillId="0" borderId="40" applyNumberFormat="0" applyFill="0" applyAlignment="0" applyProtection="0"/>
    <xf numFmtId="181" fontId="87" fillId="0" borderId="40" applyNumberFormat="0" applyFill="0" applyAlignment="0" applyProtection="0"/>
    <xf numFmtId="181" fontId="88" fillId="19" borderId="0" applyNumberFormat="0" applyBorder="0" applyAlignment="0" applyProtection="0"/>
    <xf numFmtId="181" fontId="88" fillId="19" borderId="0" applyNumberFormat="0" applyBorder="0" applyAlignment="0" applyProtection="0"/>
    <xf numFmtId="0" fontId="89" fillId="0" borderId="0"/>
    <xf numFmtId="0" fontId="1" fillId="0" borderId="0"/>
    <xf numFmtId="181" fontId="3" fillId="0" borderId="0"/>
    <xf numFmtId="181" fontId="3" fillId="0" borderId="0"/>
    <xf numFmtId="0" fontId="1" fillId="0" borderId="0"/>
    <xf numFmtId="181" fontId="3" fillId="0" borderId="0"/>
    <xf numFmtId="181" fontId="3" fillId="0" borderId="0"/>
    <xf numFmtId="181" fontId="3"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57" fillId="0" borderId="0"/>
    <xf numFmtId="181" fontId="57" fillId="0" borderId="0"/>
    <xf numFmtId="181" fontId="57"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181" fontId="1" fillId="0" borderId="0"/>
    <xf numFmtId="181" fontId="3" fillId="0" borderId="0"/>
    <xf numFmtId="0" fontId="1" fillId="0" borderId="0"/>
    <xf numFmtId="0" fontId="1" fillId="0" borderId="0"/>
    <xf numFmtId="181" fontId="3" fillId="33" borderId="41" applyNumberFormat="0" applyFont="0" applyAlignment="0" applyProtection="0"/>
    <xf numFmtId="181" fontId="3" fillId="33" borderId="41" applyNumberFormat="0" applyFont="0" applyAlignment="0" applyProtection="0"/>
    <xf numFmtId="181" fontId="90" fillId="29" borderId="42" applyNumberFormat="0" applyAlignment="0" applyProtection="0"/>
    <xf numFmtId="181" fontId="90" fillId="29" borderId="42" applyNumberFormat="0" applyAlignment="0" applyProtection="0"/>
    <xf numFmtId="181" fontId="59" fillId="6" borderId="0">
      <alignment horizontal="center" vertical="center"/>
    </xf>
    <xf numFmtId="181" fontId="56" fillId="6" borderId="6"/>
    <xf numFmtId="181" fontId="56" fillId="6" borderId="6"/>
    <xf numFmtId="181" fontId="59" fillId="6" borderId="0" applyBorder="0">
      <alignment horizontal="centerContinuous"/>
    </xf>
    <xf numFmtId="181" fontId="60" fillId="6" borderId="0" applyBorder="0">
      <alignment horizontal="centerContinuous"/>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1" fontId="56" fillId="19" borderId="0">
      <alignment horizontal="center"/>
    </xf>
    <xf numFmtId="181" fontId="48" fillId="17" borderId="0">
      <alignment horizontal="center"/>
    </xf>
    <xf numFmtId="181" fontId="48" fillId="17" borderId="0">
      <alignment horizontal="centerContinuous"/>
    </xf>
    <xf numFmtId="181" fontId="62" fillId="18" borderId="0">
      <alignment horizontal="left"/>
    </xf>
    <xf numFmtId="181" fontId="47" fillId="17" borderId="0">
      <alignment horizontal="left"/>
    </xf>
    <xf numFmtId="181" fontId="47" fillId="17" borderId="0">
      <alignment horizontal="centerContinuous"/>
    </xf>
    <xf numFmtId="181" fontId="47" fillId="17" borderId="0">
      <alignment horizontal="right"/>
    </xf>
    <xf numFmtId="181" fontId="48" fillId="17" borderId="0">
      <alignment horizontal="right"/>
    </xf>
    <xf numFmtId="181" fontId="62" fillId="11" borderId="0">
      <alignment horizontal="center"/>
    </xf>
    <xf numFmtId="181" fontId="63" fillId="11" borderId="0">
      <alignment horizontal="center"/>
    </xf>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3" fillId="0" borderId="0"/>
    <xf numFmtId="181" fontId="91" fillId="0" borderId="0" applyNumberFormat="0" applyFill="0" applyBorder="0" applyAlignment="0" applyProtection="0"/>
    <xf numFmtId="181" fontId="91" fillId="0" borderId="0" applyNumberFormat="0" applyFill="0" applyBorder="0" applyAlignment="0" applyProtection="0"/>
    <xf numFmtId="181" fontId="56" fillId="0" borderId="43" applyNumberFormat="0" applyFill="0" applyAlignment="0" applyProtection="0"/>
    <xf numFmtId="181" fontId="56" fillId="0" borderId="43" applyNumberFormat="0" applyFill="0" applyAlignment="0" applyProtection="0"/>
    <xf numFmtId="181" fontId="64" fillId="18" borderId="0">
      <alignment horizontal="center"/>
    </xf>
    <xf numFmtId="181" fontId="65" fillId="0" borderId="0" applyNumberFormat="0" applyFill="0" applyBorder="0" applyAlignment="0" applyProtection="0"/>
    <xf numFmtId="181" fontId="65" fillId="0" borderId="0" applyNumberFormat="0" applyFill="0" applyBorder="0" applyAlignment="0" applyProtection="0"/>
    <xf numFmtId="181" fontId="65" fillId="0" borderId="0" applyNumberFormat="0" applyFill="0" applyBorder="0" applyAlignment="0" applyProtection="0"/>
    <xf numFmtId="0" fontId="92" fillId="34" borderId="44" applyNumberFormat="0" applyAlignment="0" applyProtection="0">
      <alignment horizontal="left" vertical="center" indent="1"/>
    </xf>
    <xf numFmtId="209" fontId="93" fillId="0" borderId="45" applyNumberFormat="0" applyProtection="0">
      <alignment horizontal="right" vertical="center"/>
    </xf>
    <xf numFmtId="209" fontId="92" fillId="0" borderId="46" applyNumberFormat="0" applyProtection="0">
      <alignment horizontal="right" vertical="center"/>
    </xf>
    <xf numFmtId="209" fontId="93" fillId="35" borderId="44" applyNumberFormat="0" applyAlignment="0" applyProtection="0">
      <alignment horizontal="left" vertical="center" indent="1"/>
    </xf>
    <xf numFmtId="0" fontId="94" fillId="36" borderId="46" applyNumberFormat="0" applyAlignment="0">
      <alignment horizontal="left" vertical="center" indent="1"/>
      <protection locked="0"/>
    </xf>
    <xf numFmtId="0" fontId="94" fillId="37" borderId="46" applyNumberFormat="0" applyAlignment="0" applyProtection="0">
      <alignment horizontal="left" vertical="center" indent="1"/>
    </xf>
    <xf numFmtId="209" fontId="93" fillId="38" borderId="45" applyNumberFormat="0" applyBorder="0">
      <alignment horizontal="right" vertical="center"/>
      <protection locked="0"/>
    </xf>
    <xf numFmtId="0" fontId="94" fillId="36" borderId="46" applyNumberFormat="0" applyAlignment="0">
      <alignment horizontal="left" vertical="center" indent="1"/>
      <protection locked="0"/>
    </xf>
    <xf numFmtId="209" fontId="92" fillId="37" borderId="46" applyNumberFormat="0" applyProtection="0">
      <alignment horizontal="right" vertical="center"/>
    </xf>
    <xf numFmtId="209" fontId="92" fillId="38" borderId="46" applyNumberFormat="0" applyBorder="0">
      <alignment horizontal="right" vertical="center"/>
      <protection locked="0"/>
    </xf>
    <xf numFmtId="209" fontId="95" fillId="39" borderId="47" applyNumberFormat="0" applyBorder="0" applyAlignment="0" applyProtection="0">
      <alignment horizontal="right" vertical="center" indent="1"/>
    </xf>
    <xf numFmtId="209" fontId="96" fillId="40" borderId="47" applyNumberFormat="0" applyBorder="0" applyAlignment="0" applyProtection="0">
      <alignment horizontal="right" vertical="center" indent="1"/>
    </xf>
    <xf numFmtId="209" fontId="96" fillId="41" borderId="47" applyNumberFormat="0" applyBorder="0" applyAlignment="0" applyProtection="0">
      <alignment horizontal="right" vertical="center" indent="1"/>
    </xf>
    <xf numFmtId="209" fontId="97" fillId="42" borderId="47" applyNumberFormat="0" applyBorder="0" applyAlignment="0" applyProtection="0">
      <alignment horizontal="right" vertical="center" indent="1"/>
    </xf>
    <xf numFmtId="209" fontId="97" fillId="43" borderId="47" applyNumberFormat="0" applyBorder="0" applyAlignment="0" applyProtection="0">
      <alignment horizontal="right" vertical="center" indent="1"/>
    </xf>
    <xf numFmtId="209" fontId="97" fillId="44" borderId="47" applyNumberFormat="0" applyBorder="0" applyAlignment="0" applyProtection="0">
      <alignment horizontal="right" vertical="center" indent="1"/>
    </xf>
    <xf numFmtId="209" fontId="98" fillId="45" borderId="47" applyNumberFormat="0" applyBorder="0" applyAlignment="0" applyProtection="0">
      <alignment horizontal="right" vertical="center" indent="1"/>
    </xf>
    <xf numFmtId="209" fontId="98" fillId="46" borderId="47" applyNumberFormat="0" applyBorder="0" applyAlignment="0" applyProtection="0">
      <alignment horizontal="right" vertical="center" indent="1"/>
    </xf>
    <xf numFmtId="209" fontId="98" fillId="47" borderId="47" applyNumberFormat="0" applyBorder="0" applyAlignment="0" applyProtection="0">
      <alignment horizontal="right" vertical="center" indent="1"/>
    </xf>
    <xf numFmtId="0" fontId="79" fillId="0" borderId="44" applyNumberFormat="0" applyFont="0" applyFill="0" applyAlignment="0" applyProtection="0"/>
    <xf numFmtId="209" fontId="99" fillId="35" borderId="0" applyNumberFormat="0" applyAlignment="0" applyProtection="0">
      <alignment horizontal="left" vertical="center" indent="1"/>
    </xf>
    <xf numFmtId="0" fontId="79" fillId="0" borderId="48" applyNumberFormat="0" applyFont="0" applyFill="0" applyAlignment="0" applyProtection="0"/>
    <xf numFmtId="209" fontId="93" fillId="0" borderId="45" applyNumberFormat="0" applyFill="0" applyBorder="0" applyAlignment="0" applyProtection="0">
      <alignment horizontal="right" vertical="center"/>
    </xf>
    <xf numFmtId="209" fontId="93" fillId="35" borderId="44" applyNumberFormat="0" applyAlignment="0" applyProtection="0">
      <alignment horizontal="left" vertical="center" indent="1"/>
    </xf>
    <xf numFmtId="0" fontId="92" fillId="34" borderId="46" applyNumberFormat="0" applyAlignment="0" applyProtection="0">
      <alignment horizontal="left" vertical="center" indent="1"/>
    </xf>
    <xf numFmtId="0" fontId="94" fillId="48" borderId="44" applyNumberFormat="0" applyAlignment="0" applyProtection="0">
      <alignment horizontal="left" vertical="center" indent="1"/>
    </xf>
    <xf numFmtId="0" fontId="94" fillId="49" borderId="44" applyNumberFormat="0" applyAlignment="0" applyProtection="0">
      <alignment horizontal="left" vertical="center" indent="1"/>
    </xf>
    <xf numFmtId="0" fontId="94" fillId="50" borderId="44" applyNumberFormat="0" applyAlignment="0" applyProtection="0">
      <alignment horizontal="left" vertical="center" indent="1"/>
    </xf>
    <xf numFmtId="0" fontId="94" fillId="38" borderId="44" applyNumberFormat="0" applyAlignment="0" applyProtection="0">
      <alignment horizontal="left" vertical="center" indent="1"/>
    </xf>
    <xf numFmtId="0" fontId="94" fillId="37" borderId="46" applyNumberFormat="0" applyAlignment="0" applyProtection="0">
      <alignment horizontal="left" vertical="center" indent="1"/>
    </xf>
    <xf numFmtId="0" fontId="100" fillId="0" borderId="49" applyNumberFormat="0" applyFill="0" applyBorder="0" applyAlignment="0" applyProtection="0"/>
    <xf numFmtId="0" fontId="101" fillId="0" borderId="49" applyNumberFormat="0" applyBorder="0" applyAlignment="0" applyProtection="0"/>
    <xf numFmtId="0" fontId="100" fillId="36" borderId="46" applyNumberFormat="0" applyAlignment="0">
      <alignment horizontal="left" vertical="center" indent="1"/>
      <protection locked="0"/>
    </xf>
    <xf numFmtId="0" fontId="100" fillId="36" borderId="46" applyNumberFormat="0" applyAlignment="0">
      <alignment horizontal="left" vertical="center" indent="1"/>
      <protection locked="0"/>
    </xf>
    <xf numFmtId="0" fontId="100" fillId="37" borderId="46" applyNumberFormat="0" applyAlignment="0" applyProtection="0">
      <alignment horizontal="left" vertical="center" indent="1"/>
    </xf>
    <xf numFmtId="209" fontId="102" fillId="37" borderId="46" applyNumberFormat="0" applyProtection="0">
      <alignment horizontal="right" vertical="center"/>
    </xf>
    <xf numFmtId="209" fontId="103" fillId="38" borderId="45" applyNumberFormat="0" applyBorder="0">
      <alignment horizontal="right" vertical="center"/>
      <protection locked="0"/>
    </xf>
    <xf numFmtId="209" fontId="102" fillId="38" borderId="46" applyNumberFormat="0" applyBorder="0">
      <alignment horizontal="right" vertical="center"/>
      <protection locked="0"/>
    </xf>
    <xf numFmtId="209" fontId="93" fillId="0" borderId="45" applyNumberFormat="0" applyFill="0" applyBorder="0" applyAlignment="0" applyProtection="0">
      <alignment horizontal="right" vertical="center"/>
    </xf>
    <xf numFmtId="0" fontId="1" fillId="0" borderId="0"/>
    <xf numFmtId="0" fontId="3" fillId="0" borderId="0"/>
  </cellStyleXfs>
  <cellXfs count="690">
    <xf numFmtId="167" fontId="0" fillId="0" borderId="0" xfId="0"/>
    <xf numFmtId="167" fontId="5" fillId="0" borderId="0" xfId="0" applyFont="1"/>
    <xf numFmtId="167" fontId="6" fillId="0" borderId="0" xfId="0" applyFont="1"/>
    <xf numFmtId="167" fontId="7" fillId="0" borderId="0" xfId="0" applyFont="1"/>
    <xf numFmtId="0" fontId="7" fillId="0" borderId="0" xfId="3" applyFont="1"/>
    <xf numFmtId="37" fontId="7" fillId="0" borderId="0" xfId="4" applyNumberFormat="1" applyFont="1"/>
    <xf numFmtId="186" fontId="7" fillId="0" borderId="0" xfId="0" applyNumberFormat="1" applyFont="1"/>
    <xf numFmtId="0" fontId="6" fillId="0" borderId="0" xfId="3" applyFont="1"/>
    <xf numFmtId="0" fontId="12" fillId="0" borderId="0" xfId="3" applyFont="1"/>
    <xf numFmtId="0" fontId="16" fillId="0" borderId="0" xfId="3" applyFont="1"/>
    <xf numFmtId="167" fontId="7" fillId="0" borderId="0" xfId="0" quotePrefix="1" applyFont="1" applyAlignment="1">
      <alignment horizontal="left"/>
    </xf>
    <xf numFmtId="167" fontId="12" fillId="0" borderId="0" xfId="0" applyFont="1" applyProtection="1">
      <protection locked="0"/>
    </xf>
    <xf numFmtId="167" fontId="7" fillId="0" borderId="0" xfId="0" applyFont="1" applyAlignment="1">
      <alignment horizontal="left"/>
    </xf>
    <xf numFmtId="167" fontId="7" fillId="0" borderId="0" xfId="0" applyFont="1" applyAlignment="1">
      <alignment horizontal="center"/>
    </xf>
    <xf numFmtId="169" fontId="7" fillId="0" borderId="0" xfId="0" applyNumberFormat="1" applyFont="1"/>
    <xf numFmtId="167" fontId="9" fillId="0" borderId="0" xfId="0" applyFont="1"/>
    <xf numFmtId="0" fontId="11" fillId="0" borderId="0" xfId="3" applyFont="1" applyAlignment="1">
      <alignment horizontal="centerContinuous"/>
    </xf>
    <xf numFmtId="7" fontId="7" fillId="0" borderId="0" xfId="3" applyNumberFormat="1" applyFont="1"/>
    <xf numFmtId="44" fontId="7" fillId="0" borderId="0" xfId="2" applyFont="1" applyFill="1"/>
    <xf numFmtId="174" fontId="9" fillId="0" borderId="0" xfId="1" applyNumberFormat="1" applyFont="1" applyFill="1" applyBorder="1" applyProtection="1"/>
    <xf numFmtId="168" fontId="6" fillId="0" borderId="0" xfId="3" applyNumberFormat="1" applyFont="1"/>
    <xf numFmtId="44" fontId="6" fillId="0" borderId="0" xfId="2" applyFont="1" applyFill="1"/>
    <xf numFmtId="177" fontId="5" fillId="0" borderId="0" xfId="1" applyNumberFormat="1" applyFont="1" applyFill="1"/>
    <xf numFmtId="37" fontId="9" fillId="0" borderId="0" xfId="4" applyNumberFormat="1" applyFont="1"/>
    <xf numFmtId="167" fontId="20" fillId="0" borderId="0" xfId="0" applyFont="1"/>
    <xf numFmtId="167" fontId="20" fillId="0" borderId="0" xfId="0" applyFont="1" applyAlignment="1">
      <alignment horizontal="left"/>
    </xf>
    <xf numFmtId="167" fontId="20" fillId="0" borderId="0" xfId="0" applyFont="1" applyAlignment="1">
      <alignment horizontal="center"/>
    </xf>
    <xf numFmtId="167" fontId="7" fillId="0" borderId="7" xfId="0" applyFont="1" applyBorder="1"/>
    <xf numFmtId="0" fontId="23" fillId="0" borderId="0" xfId="5" applyFont="1"/>
    <xf numFmtId="165" fontId="14" fillId="0" borderId="0" xfId="0" applyNumberFormat="1" applyFont="1"/>
    <xf numFmtId="0" fontId="7" fillId="0" borderId="0" xfId="5" applyFont="1"/>
    <xf numFmtId="0" fontId="7" fillId="0" borderId="0" xfId="5" applyFont="1" applyAlignment="1">
      <alignment horizontal="right"/>
    </xf>
    <xf numFmtId="0" fontId="5" fillId="0" borderId="0" xfId="5" applyFont="1"/>
    <xf numFmtId="177" fontId="5" fillId="0" borderId="0" xfId="5" applyNumberFormat="1" applyFont="1"/>
    <xf numFmtId="177" fontId="24" fillId="0" borderId="0" xfId="1" applyNumberFormat="1" applyFont="1" applyFill="1" applyBorder="1"/>
    <xf numFmtId="0" fontId="24" fillId="0" borderId="0" xfId="5" applyFont="1"/>
    <xf numFmtId="167" fontId="7" fillId="0" borderId="12" xfId="0" applyFont="1" applyBorder="1" applyAlignment="1">
      <alignment horizontal="center"/>
    </xf>
    <xf numFmtId="167" fontId="7" fillId="0" borderId="12" xfId="0" applyFont="1" applyBorder="1" applyAlignment="1">
      <alignment horizontal="center" wrapText="1"/>
    </xf>
    <xf numFmtId="187" fontId="7" fillId="0" borderId="0" xfId="0" applyNumberFormat="1" applyFont="1"/>
    <xf numFmtId="167" fontId="7" fillId="0" borderId="0" xfId="0" quotePrefix="1" applyFont="1" applyAlignment="1">
      <alignment horizontal="center"/>
    </xf>
    <xf numFmtId="3" fontId="7" fillId="0" borderId="0" xfId="0" applyNumberFormat="1" applyFont="1" applyAlignment="1">
      <alignment horizontal="right"/>
    </xf>
    <xf numFmtId="37" fontId="12" fillId="0" borderId="0" xfId="0" applyNumberFormat="1" applyFont="1"/>
    <xf numFmtId="49" fontId="7" fillId="0" borderId="0" xfId="0" applyNumberFormat="1" applyFont="1" applyAlignment="1">
      <alignment horizontal="centerContinuous" vertical="center"/>
    </xf>
    <xf numFmtId="167" fontId="9" fillId="0" borderId="0" xfId="0" applyFont="1" applyAlignment="1">
      <alignment horizontal="centerContinuous"/>
    </xf>
    <xf numFmtId="167" fontId="7" fillId="0" borderId="23" xfId="0" applyFont="1" applyBorder="1"/>
    <xf numFmtId="167" fontId="9" fillId="0" borderId="0" xfId="0" applyFont="1" applyAlignment="1">
      <alignment horizontal="left"/>
    </xf>
    <xf numFmtId="167" fontId="7" fillId="0" borderId="0" xfId="0" applyFont="1" applyAlignment="1">
      <alignment horizontal="right"/>
    </xf>
    <xf numFmtId="37" fontId="7" fillId="0" borderId="0" xfId="0" applyNumberFormat="1" applyFont="1"/>
    <xf numFmtId="191" fontId="7" fillId="0" borderId="0" xfId="1" applyNumberFormat="1" applyFont="1" applyFill="1"/>
    <xf numFmtId="167" fontId="19" fillId="0" borderId="0" xfId="0" applyFont="1" applyAlignment="1">
      <alignment horizontal="left"/>
    </xf>
    <xf numFmtId="174" fontId="9" fillId="0" borderId="0" xfId="0" applyNumberFormat="1" applyFont="1"/>
    <xf numFmtId="178" fontId="9" fillId="0" borderId="0" xfId="0" applyNumberFormat="1" applyFont="1"/>
    <xf numFmtId="49" fontId="7" fillId="0" borderId="0" xfId="0" applyNumberFormat="1" applyFont="1" applyAlignment="1">
      <alignment horizontal="center" vertical="center"/>
    </xf>
    <xf numFmtId="167" fontId="9" fillId="0" borderId="0" xfId="0" applyFont="1" applyAlignment="1">
      <alignment horizontal="right"/>
    </xf>
    <xf numFmtId="49" fontId="11" fillId="0" borderId="0" xfId="0" applyNumberFormat="1" applyFont="1" applyAlignment="1">
      <alignment vertical="center"/>
    </xf>
    <xf numFmtId="6" fontId="7" fillId="0" borderId="0" xfId="0" applyNumberFormat="1" applyFont="1"/>
    <xf numFmtId="167" fontId="7" fillId="0" borderId="8" xfId="0" applyFont="1" applyBorder="1" applyAlignment="1">
      <alignment horizontal="center"/>
    </xf>
    <xf numFmtId="167" fontId="7" fillId="0" borderId="8" xfId="0" applyFont="1" applyBorder="1" applyAlignment="1">
      <alignment horizontal="center" wrapText="1"/>
    </xf>
    <xf numFmtId="167" fontId="7" fillId="0" borderId="22" xfId="0" applyFont="1" applyBorder="1"/>
    <xf numFmtId="167" fontId="7" fillId="0" borderId="26" xfId="0" applyFont="1" applyBorder="1" applyAlignment="1">
      <alignment horizontal="center"/>
    </xf>
    <xf numFmtId="167" fontId="7" fillId="0" borderId="27" xfId="0" applyFont="1" applyBorder="1" applyAlignment="1">
      <alignment horizontal="center"/>
    </xf>
    <xf numFmtId="167" fontId="7" fillId="0" borderId="22" xfId="0" quotePrefix="1" applyFont="1" applyBorder="1" applyAlignment="1">
      <alignment horizontal="left"/>
    </xf>
    <xf numFmtId="5" fontId="7" fillId="0" borderId="0" xfId="4" applyNumberFormat="1" applyFont="1"/>
    <xf numFmtId="167" fontId="16" fillId="0" borderId="0" xfId="0" applyFont="1"/>
    <xf numFmtId="0" fontId="5" fillId="0" borderId="20" xfId="5" applyFont="1" applyBorder="1"/>
    <xf numFmtId="167" fontId="7" fillId="0" borderId="7" xfId="0" applyFont="1" applyBorder="1" applyAlignment="1">
      <alignment horizontal="center"/>
    </xf>
    <xf numFmtId="180" fontId="7" fillId="0" borderId="0" xfId="0" applyNumberFormat="1" applyFont="1"/>
    <xf numFmtId="187" fontId="7" fillId="0" borderId="22" xfId="0" applyNumberFormat="1" applyFont="1" applyBorder="1" applyAlignment="1">
      <alignment horizontal="center"/>
    </xf>
    <xf numFmtId="177" fontId="7" fillId="0" borderId="0" xfId="1" applyNumberFormat="1" applyFont="1" applyFill="1" applyBorder="1" applyAlignment="1">
      <alignment horizontal="center"/>
    </xf>
    <xf numFmtId="177" fontId="7" fillId="0" borderId="23" xfId="1" applyNumberFormat="1" applyFont="1" applyFill="1" applyBorder="1" applyAlignment="1">
      <alignment horizontal="center"/>
    </xf>
    <xf numFmtId="0" fontId="5" fillId="0" borderId="28" xfId="5" applyFont="1" applyBorder="1"/>
    <xf numFmtId="5" fontId="7" fillId="0" borderId="0" xfId="0" applyNumberFormat="1" applyFont="1"/>
    <xf numFmtId="181" fontId="20" fillId="0" borderId="0" xfId="0" applyNumberFormat="1" applyFont="1"/>
    <xf numFmtId="0" fontId="18" fillId="0" borderId="0" xfId="5" applyFont="1"/>
    <xf numFmtId="192" fontId="13" fillId="0" borderId="0" xfId="0" applyNumberFormat="1" applyFont="1"/>
    <xf numFmtId="167" fontId="12" fillId="0" borderId="0" xfId="0" applyFont="1" applyAlignment="1">
      <alignment horizontal="centerContinuous"/>
    </xf>
    <xf numFmtId="165" fontId="6" fillId="0" borderId="0" xfId="0" applyNumberFormat="1" applyFont="1"/>
    <xf numFmtId="167" fontId="7" fillId="0" borderId="24" xfId="0" applyFont="1" applyBorder="1"/>
    <xf numFmtId="167" fontId="7" fillId="0" borderId="8" xfId="0" applyFont="1" applyBorder="1"/>
    <xf numFmtId="177" fontId="9" fillId="0" borderId="25" xfId="1" applyNumberFormat="1" applyFont="1" applyFill="1" applyBorder="1"/>
    <xf numFmtId="37" fontId="7" fillId="0" borderId="7" xfId="0" applyNumberFormat="1" applyFont="1" applyBorder="1"/>
    <xf numFmtId="173" fontId="7" fillId="0" borderId="0" xfId="0" applyNumberFormat="1" applyFont="1"/>
    <xf numFmtId="193" fontId="9" fillId="0" borderId="14" xfId="0" applyNumberFormat="1" applyFont="1" applyBorder="1"/>
    <xf numFmtId="7" fontId="7" fillId="0" borderId="0" xfId="3" applyNumberFormat="1" applyFont="1" applyAlignment="1">
      <alignment horizontal="center"/>
    </xf>
    <xf numFmtId="177" fontId="7" fillId="0" borderId="0" xfId="1" applyNumberFormat="1" applyFont="1" applyFill="1"/>
    <xf numFmtId="177" fontId="12" fillId="0" borderId="0" xfId="1" applyNumberFormat="1" applyFont="1" applyFill="1" applyAlignment="1">
      <alignment horizontal="centerContinuous"/>
    </xf>
    <xf numFmtId="167" fontId="12" fillId="0" borderId="0" xfId="0" applyFont="1"/>
    <xf numFmtId="177" fontId="12" fillId="0" borderId="0" xfId="1" applyNumberFormat="1" applyFont="1" applyFill="1" applyAlignment="1"/>
    <xf numFmtId="167" fontId="7" fillId="0" borderId="0" xfId="0" quotePrefix="1" applyFont="1" applyAlignment="1">
      <alignment horizontal="center" wrapText="1"/>
    </xf>
    <xf numFmtId="167" fontId="7" fillId="0" borderId="0" xfId="0" quotePrefix="1" applyFont="1"/>
    <xf numFmtId="167" fontId="7" fillId="0" borderId="0" xfId="0" applyFont="1" applyAlignment="1">
      <alignment horizontal="center" wrapText="1"/>
    </xf>
    <xf numFmtId="177" fontId="7" fillId="0" borderId="0" xfId="1" applyNumberFormat="1" applyFont="1" applyFill="1" applyAlignment="1">
      <alignment horizontal="center" wrapText="1"/>
    </xf>
    <xf numFmtId="177" fontId="7" fillId="0" borderId="7" xfId="1" applyNumberFormat="1" applyFont="1" applyFill="1" applyBorder="1" applyAlignment="1">
      <alignment horizontal="center" wrapText="1"/>
    </xf>
    <xf numFmtId="177" fontId="7" fillId="0" borderId="0" xfId="1" quotePrefix="1" applyNumberFormat="1" applyFont="1" applyFill="1" applyAlignment="1">
      <alignment horizontal="center" wrapText="1"/>
    </xf>
    <xf numFmtId="179" fontId="7" fillId="0" borderId="0" xfId="2" applyNumberFormat="1" applyFont="1" applyFill="1"/>
    <xf numFmtId="179" fontId="7" fillId="0" borderId="7" xfId="2" applyNumberFormat="1" applyFont="1" applyFill="1" applyBorder="1"/>
    <xf numFmtId="185" fontId="7" fillId="0" borderId="0" xfId="0" quotePrefix="1" applyNumberFormat="1" applyFont="1"/>
    <xf numFmtId="167" fontId="18" fillId="0" borderId="0" xfId="0" applyFont="1" applyAlignment="1">
      <alignment horizontal="center"/>
    </xf>
    <xf numFmtId="187" fontId="7" fillId="0" borderId="5" xfId="5" applyNumberFormat="1" applyFont="1" applyBorder="1" applyAlignment="1">
      <alignment horizontal="center"/>
    </xf>
    <xf numFmtId="167" fontId="10" fillId="0" borderId="0" xfId="0" applyFont="1"/>
    <xf numFmtId="167" fontId="7" fillId="0" borderId="16" xfId="0" applyFont="1" applyBorder="1" applyAlignment="1">
      <alignment horizontal="center"/>
    </xf>
    <xf numFmtId="167" fontId="7" fillId="0" borderId="30" xfId="0" applyFont="1" applyBorder="1" applyAlignment="1">
      <alignment horizontal="center"/>
    </xf>
    <xf numFmtId="167" fontId="7" fillId="0" borderId="31" xfId="0" applyFont="1" applyBorder="1" applyAlignment="1">
      <alignment horizontal="center"/>
    </xf>
    <xf numFmtId="192" fontId="7" fillId="0" borderId="0" xfId="0" applyNumberFormat="1" applyFont="1"/>
    <xf numFmtId="176" fontId="7" fillId="0" borderId="0" xfId="1" applyNumberFormat="1" applyFont="1" applyAlignment="1">
      <alignment horizontal="right"/>
    </xf>
    <xf numFmtId="176" fontId="7" fillId="0" borderId="0" xfId="0" applyNumberFormat="1" applyFont="1"/>
    <xf numFmtId="176" fontId="7" fillId="4" borderId="0" xfId="0" applyNumberFormat="1" applyFont="1" applyFill="1"/>
    <xf numFmtId="177" fontId="7" fillId="0" borderId="0" xfId="5" applyNumberFormat="1" applyFont="1"/>
    <xf numFmtId="167" fontId="7" fillId="3" borderId="0" xfId="0" applyFont="1" applyFill="1"/>
    <xf numFmtId="167" fontId="29" fillId="0" borderId="0" xfId="0" applyFont="1" applyAlignment="1">
      <alignment horizontal="centerContinuous"/>
    </xf>
    <xf numFmtId="167" fontId="6" fillId="0" borderId="0" xfId="0" applyFont="1" applyAlignment="1">
      <alignment horizontal="centerContinuous"/>
    </xf>
    <xf numFmtId="167" fontId="6" fillId="0" borderId="1" xfId="0" applyFont="1" applyBorder="1"/>
    <xf numFmtId="167" fontId="6" fillId="0" borderId="1" xfId="0" applyFont="1" applyBorder="1" applyAlignment="1">
      <alignment horizontal="left"/>
    </xf>
    <xf numFmtId="167" fontId="6" fillId="0" borderId="1" xfId="0" applyFont="1" applyBorder="1" applyAlignment="1">
      <alignment horizontal="center"/>
    </xf>
    <xf numFmtId="167" fontId="6" fillId="0" borderId="0" xfId="0" applyFont="1" applyAlignment="1">
      <alignment horizontal="left"/>
    </xf>
    <xf numFmtId="167" fontId="6" fillId="0" borderId="7" xfId="0" applyFont="1" applyBorder="1" applyAlignment="1">
      <alignment horizontal="center"/>
    </xf>
    <xf numFmtId="172" fontId="6" fillId="0" borderId="0" xfId="1" applyNumberFormat="1" applyFont="1" applyFill="1"/>
    <xf numFmtId="181" fontId="7" fillId="0" borderId="0" xfId="0" applyNumberFormat="1" applyFont="1" applyAlignment="1">
      <alignment horizontal="left"/>
    </xf>
    <xf numFmtId="167" fontId="7" fillId="0" borderId="1" xfId="0" applyFont="1" applyBorder="1" applyAlignment="1">
      <alignment horizontal="center" wrapText="1"/>
    </xf>
    <xf numFmtId="37" fontId="5" fillId="0" borderId="0" xfId="0" applyNumberFormat="1" applyFont="1"/>
    <xf numFmtId="185" fontId="7" fillId="0" borderId="0" xfId="0" applyNumberFormat="1" applyFont="1" applyAlignment="1">
      <alignment horizontal="center"/>
    </xf>
    <xf numFmtId="3" fontId="31" fillId="0" borderId="0" xfId="0" applyNumberFormat="1" applyFont="1" applyAlignment="1">
      <alignment horizontal="center"/>
    </xf>
    <xf numFmtId="175" fontId="7" fillId="0" borderId="0" xfId="0" applyNumberFormat="1" applyFont="1"/>
    <xf numFmtId="5" fontId="7" fillId="0" borderId="0" xfId="0" applyNumberFormat="1" applyFont="1" applyAlignment="1">
      <alignment horizontal="right"/>
    </xf>
    <xf numFmtId="7" fontId="7" fillId="0" borderId="0" xfId="0" applyNumberFormat="1" applyFont="1" applyAlignment="1">
      <alignment horizontal="right"/>
    </xf>
    <xf numFmtId="5" fontId="7" fillId="0" borderId="0" xfId="0" applyNumberFormat="1" applyFont="1" applyAlignment="1">
      <alignment horizontal="center"/>
    </xf>
    <xf numFmtId="0" fontId="7" fillId="0" borderId="1" xfId="3" applyFont="1" applyBorder="1" applyAlignment="1">
      <alignment horizontal="center"/>
    </xf>
    <xf numFmtId="0" fontId="7" fillId="0" borderId="0" xfId="3" applyFont="1" applyAlignment="1">
      <alignment horizontal="right"/>
    </xf>
    <xf numFmtId="176" fontId="7" fillId="0" borderId="0" xfId="1" applyNumberFormat="1" applyFont="1" applyFill="1" applyProtection="1"/>
    <xf numFmtId="7" fontId="7" fillId="0" borderId="0" xfId="2" applyNumberFormat="1" applyFont="1" applyFill="1" applyProtection="1"/>
    <xf numFmtId="44" fontId="7" fillId="0" borderId="0" xfId="2" applyFont="1" applyFill="1" applyProtection="1"/>
    <xf numFmtId="168" fontId="7" fillId="0" borderId="0" xfId="3" applyNumberFormat="1" applyFont="1"/>
    <xf numFmtId="37" fontId="6" fillId="0" borderId="0" xfId="4" applyNumberFormat="1" applyFont="1"/>
    <xf numFmtId="37" fontId="6" fillId="0" borderId="0" xfId="4" applyNumberFormat="1" applyFont="1" applyAlignment="1">
      <alignment horizontal="center"/>
    </xf>
    <xf numFmtId="0" fontId="7" fillId="0" borderId="0" xfId="3" applyFont="1" applyAlignment="1">
      <alignment horizontal="center"/>
    </xf>
    <xf numFmtId="37" fontId="7" fillId="0" borderId="0" xfId="1" applyNumberFormat="1" applyFont="1" applyFill="1" applyBorder="1" applyAlignment="1"/>
    <xf numFmtId="167" fontId="11" fillId="0" borderId="0" xfId="0" applyFont="1"/>
    <xf numFmtId="167" fontId="12" fillId="0" borderId="0" xfId="0" applyFont="1" applyAlignment="1">
      <alignment horizontal="right"/>
    </xf>
    <xf numFmtId="167" fontId="11" fillId="0" borderId="0" xfId="0" applyFont="1" applyAlignment="1">
      <alignment horizontal="left" vertical="top" textRotation="180"/>
    </xf>
    <xf numFmtId="187" fontId="7" fillId="0" borderId="7" xfId="0" applyNumberFormat="1" applyFont="1" applyBorder="1" applyAlignment="1">
      <alignment horizontal="center"/>
    </xf>
    <xf numFmtId="7" fontId="7" fillId="0" borderId="7" xfId="0" applyNumberFormat="1" applyFont="1" applyBorder="1" applyAlignment="1">
      <alignment horizontal="center" wrapText="1"/>
    </xf>
    <xf numFmtId="49" fontId="7" fillId="0" borderId="0" xfId="0" applyNumberFormat="1" applyFont="1"/>
    <xf numFmtId="43" fontId="7" fillId="0" borderId="0" xfId="1" applyFont="1" applyFill="1"/>
    <xf numFmtId="187" fontId="7" fillId="0" borderId="0" xfId="0" quotePrefix="1" applyNumberFormat="1" applyFont="1" applyAlignment="1">
      <alignment horizontal="center"/>
    </xf>
    <xf numFmtId="7" fontId="7" fillId="0" borderId="0" xfId="0" applyNumberFormat="1" applyFont="1"/>
    <xf numFmtId="187" fontId="7" fillId="0" borderId="0" xfId="0" applyNumberFormat="1" applyFont="1" applyAlignment="1">
      <alignment horizontal="center"/>
    </xf>
    <xf numFmtId="177" fontId="7" fillId="0" borderId="0" xfId="1" applyNumberFormat="1" applyFont="1" applyFill="1" applyAlignment="1">
      <alignment horizontal="right"/>
    </xf>
    <xf numFmtId="177" fontId="7" fillId="0" borderId="0" xfId="1" applyNumberFormat="1" applyFont="1" applyFill="1" applyBorder="1"/>
    <xf numFmtId="167" fontId="7" fillId="0" borderId="0" xfId="0" applyFont="1" applyAlignment="1">
      <alignment horizontal="left" vertical="top"/>
    </xf>
    <xf numFmtId="7" fontId="7" fillId="0" borderId="0" xfId="0" applyNumberFormat="1" applyFont="1" applyAlignment="1">
      <alignment horizontal="center"/>
    </xf>
    <xf numFmtId="187" fontId="7" fillId="0" borderId="0" xfId="0" applyNumberFormat="1" applyFont="1" applyAlignment="1">
      <alignment horizontal="right"/>
    </xf>
    <xf numFmtId="167" fontId="12" fillId="0" borderId="0" xfId="0" applyFont="1" applyAlignment="1">
      <alignment horizontal="center"/>
    </xf>
    <xf numFmtId="0" fontId="19" fillId="0" borderId="0" xfId="5" applyFont="1"/>
    <xf numFmtId="43" fontId="7" fillId="0" borderId="0" xfId="0" applyNumberFormat="1" applyFont="1"/>
    <xf numFmtId="167" fontId="33" fillId="0" borderId="0" xfId="0" applyFont="1"/>
    <xf numFmtId="43" fontId="7" fillId="0" borderId="0" xfId="0" applyNumberFormat="1" applyFont="1" applyAlignment="1">
      <alignment horizontal="center"/>
    </xf>
    <xf numFmtId="43" fontId="7" fillId="0" borderId="7" xfId="0" applyNumberFormat="1" applyFont="1" applyBorder="1" applyAlignment="1">
      <alignment horizontal="center"/>
    </xf>
    <xf numFmtId="8" fontId="7" fillId="0" borderId="0" xfId="0" applyNumberFormat="1" applyFont="1" applyAlignment="1">
      <alignment horizontal="right"/>
    </xf>
    <xf numFmtId="194" fontId="7" fillId="0" borderId="0" xfId="0" applyNumberFormat="1" applyFont="1"/>
    <xf numFmtId="183" fontId="7" fillId="0" borderId="0" xfId="0" applyNumberFormat="1" applyFont="1"/>
    <xf numFmtId="193" fontId="7" fillId="0" borderId="0" xfId="0" applyNumberFormat="1" applyFont="1" applyAlignment="1">
      <alignment horizontal="center"/>
    </xf>
    <xf numFmtId="0" fontId="7" fillId="0" borderId="0" xfId="0" applyNumberFormat="1" applyFont="1"/>
    <xf numFmtId="183" fontId="7" fillId="0" borderId="29" xfId="0" applyNumberFormat="1" applyFont="1" applyBorder="1" applyAlignment="1">
      <alignment horizontal="right"/>
    </xf>
    <xf numFmtId="166" fontId="7" fillId="0" borderId="29" xfId="0" applyNumberFormat="1" applyFont="1" applyBorder="1" applyAlignment="1">
      <alignment horizontal="center"/>
    </xf>
    <xf numFmtId="183" fontId="7" fillId="0" borderId="29" xfId="0" applyNumberFormat="1" applyFont="1" applyBorder="1" applyAlignment="1">
      <alignment horizontal="center"/>
    </xf>
    <xf numFmtId="167" fontId="19" fillId="0" borderId="0" xfId="0" applyFont="1" applyAlignment="1">
      <alignment horizontal="centerContinuous"/>
    </xf>
    <xf numFmtId="167" fontId="7" fillId="0" borderId="0" xfId="0" applyFont="1" applyAlignment="1">
      <alignment horizontal="centerContinuous"/>
    </xf>
    <xf numFmtId="175" fontId="6" fillId="0" borderId="0" xfId="0" applyNumberFormat="1" applyFont="1"/>
    <xf numFmtId="7" fontId="6" fillId="0" borderId="0" xfId="0" applyNumberFormat="1" applyFont="1"/>
    <xf numFmtId="169" fontId="6" fillId="0" borderId="0" xfId="0" applyNumberFormat="1" applyFont="1"/>
    <xf numFmtId="188" fontId="6" fillId="0" borderId="0" xfId="2" applyNumberFormat="1" applyFont="1" applyFill="1"/>
    <xf numFmtId="169" fontId="6" fillId="0" borderId="0" xfId="0" applyNumberFormat="1" applyFont="1" applyAlignment="1">
      <alignment horizontal="centerContinuous"/>
    </xf>
    <xf numFmtId="167" fontId="29" fillId="0" borderId="0" xfId="0" applyFont="1"/>
    <xf numFmtId="167" fontId="17" fillId="0" borderId="0" xfId="0" applyFont="1" applyAlignment="1">
      <alignment horizontal="center"/>
    </xf>
    <xf numFmtId="173" fontId="6" fillId="0" borderId="0" xfId="0" applyNumberFormat="1" applyFont="1"/>
    <xf numFmtId="167" fontId="7" fillId="0" borderId="1" xfId="0" applyFont="1" applyBorder="1"/>
    <xf numFmtId="167" fontId="35" fillId="0" borderId="0" xfId="0" applyFont="1"/>
    <xf numFmtId="167" fontId="18" fillId="0" borderId="0" xfId="0" applyFont="1"/>
    <xf numFmtId="167" fontId="18" fillId="0" borderId="0" xfId="0" applyFont="1" applyAlignment="1">
      <alignment horizontal="left"/>
    </xf>
    <xf numFmtId="9" fontId="7" fillId="0" borderId="0" xfId="0" applyNumberFormat="1" applyFont="1"/>
    <xf numFmtId="167" fontId="7" fillId="0" borderId="7" xfId="0" quotePrefix="1" applyFont="1" applyBorder="1"/>
    <xf numFmtId="167" fontId="34" fillId="0" borderId="0" xfId="0" applyFont="1"/>
    <xf numFmtId="177" fontId="7" fillId="3" borderId="0" xfId="0" applyNumberFormat="1" applyFont="1" applyFill="1"/>
    <xf numFmtId="166" fontId="7" fillId="0" borderId="0" xfId="0" applyNumberFormat="1" applyFont="1"/>
    <xf numFmtId="7" fontId="16" fillId="0" borderId="0" xfId="0" applyNumberFormat="1" applyFont="1"/>
    <xf numFmtId="197" fontId="7" fillId="0" borderId="0" xfId="1" applyNumberFormat="1" applyFont="1" applyFill="1" applyBorder="1" applyAlignment="1" applyProtection="1">
      <alignment horizontal="center"/>
    </xf>
    <xf numFmtId="6" fontId="7" fillId="0" borderId="0" xfId="0" applyNumberFormat="1" applyFont="1" applyAlignment="1">
      <alignment horizontal="right"/>
    </xf>
    <xf numFmtId="6" fontId="7" fillId="0" borderId="29" xfId="0" applyNumberFormat="1" applyFont="1" applyBorder="1" applyAlignment="1">
      <alignment horizontal="right"/>
    </xf>
    <xf numFmtId="49" fontId="9" fillId="0" borderId="0" xfId="0" applyNumberFormat="1" applyFont="1" applyAlignment="1">
      <alignment horizontal="centerContinuous" vertical="center"/>
    </xf>
    <xf numFmtId="0" fontId="9" fillId="0" borderId="0" xfId="5" applyFont="1"/>
    <xf numFmtId="0" fontId="9" fillId="0" borderId="28" xfId="5" applyFont="1" applyBorder="1" applyAlignment="1">
      <alignment horizontal="center" wrapText="1"/>
    </xf>
    <xf numFmtId="0" fontId="14" fillId="0" borderId="0" xfId="5" applyFont="1"/>
    <xf numFmtId="177" fontId="5" fillId="0" borderId="0" xfId="1" applyNumberFormat="1" applyFont="1" applyFill="1" applyBorder="1"/>
    <xf numFmtId="177" fontId="14" fillId="0" borderId="0" xfId="5" applyNumberFormat="1" applyFont="1"/>
    <xf numFmtId="43" fontId="7" fillId="0" borderId="0" xfId="0" applyNumberFormat="1" applyFont="1" applyAlignment="1">
      <alignment horizontal="right"/>
    </xf>
    <xf numFmtId="192" fontId="7" fillId="0" borderId="0" xfId="0" quotePrefix="1" applyNumberFormat="1" applyFont="1"/>
    <xf numFmtId="0" fontId="30" fillId="0" borderId="0" xfId="0" applyNumberFormat="1" applyFont="1"/>
    <xf numFmtId="166" fontId="5" fillId="0" borderId="0" xfId="0" applyNumberFormat="1" applyFont="1"/>
    <xf numFmtId="167" fontId="38" fillId="0" borderId="0" xfId="0" applyFont="1"/>
    <xf numFmtId="8" fontId="12" fillId="0" borderId="0" xfId="0" applyNumberFormat="1" applyFont="1"/>
    <xf numFmtId="169" fontId="39" fillId="0" borderId="0" xfId="0" applyNumberFormat="1" applyFont="1"/>
    <xf numFmtId="2" fontId="12" fillId="0" borderId="0" xfId="0" applyNumberFormat="1" applyFont="1"/>
    <xf numFmtId="167" fontId="39" fillId="0" borderId="0" xfId="0" applyFont="1"/>
    <xf numFmtId="169" fontId="12" fillId="0" borderId="0" xfId="0" applyNumberFormat="1" applyFont="1"/>
    <xf numFmtId="198" fontId="39" fillId="0" borderId="0" xfId="0" applyNumberFormat="1" applyFont="1"/>
    <xf numFmtId="9" fontId="12" fillId="0" borderId="0" xfId="0" applyNumberFormat="1" applyFont="1"/>
    <xf numFmtId="2" fontId="11" fillId="0" borderId="25" xfId="0" applyNumberFormat="1" applyFont="1" applyBorder="1"/>
    <xf numFmtId="44" fontId="11" fillId="0" borderId="25" xfId="2" applyFont="1" applyFill="1" applyBorder="1"/>
    <xf numFmtId="10" fontId="11" fillId="0" borderId="25" xfId="0" quotePrefix="1" applyNumberFormat="1" applyFont="1" applyBorder="1"/>
    <xf numFmtId="10" fontId="11" fillId="0" borderId="25" xfId="7" applyNumberFormat="1" applyFont="1" applyFill="1" applyBorder="1"/>
    <xf numFmtId="185" fontId="12" fillId="0" borderId="0" xfId="0" applyNumberFormat="1" applyFont="1"/>
    <xf numFmtId="169" fontId="11" fillId="0" borderId="0" xfId="0" applyNumberFormat="1" applyFont="1"/>
    <xf numFmtId="10" fontId="11" fillId="0" borderId="0" xfId="7" applyNumberFormat="1" applyFont="1" applyFill="1"/>
    <xf numFmtId="10" fontId="11" fillId="5" borderId="0" xfId="7" applyNumberFormat="1" applyFont="1" applyFill="1"/>
    <xf numFmtId="199" fontId="11" fillId="0" borderId="0" xfId="0" applyNumberFormat="1" applyFont="1"/>
    <xf numFmtId="199" fontId="12" fillId="0" borderId="0" xfId="0" applyNumberFormat="1" applyFont="1"/>
    <xf numFmtId="44" fontId="11" fillId="5" borderId="0" xfId="2" applyFont="1" applyFill="1"/>
    <xf numFmtId="189" fontId="12" fillId="0" borderId="0" xfId="0" applyNumberFormat="1" applyFont="1"/>
    <xf numFmtId="10" fontId="12" fillId="0" borderId="0" xfId="0" applyNumberFormat="1" applyFont="1"/>
    <xf numFmtId="49" fontId="9" fillId="0" borderId="0" xfId="0" applyNumberFormat="1" applyFont="1" applyAlignment="1">
      <alignment horizontal="center" vertical="center"/>
    </xf>
    <xf numFmtId="167" fontId="7" fillId="0" borderId="0" xfId="0" applyFont="1" applyAlignment="1">
      <alignment wrapText="1"/>
    </xf>
    <xf numFmtId="187" fontId="7" fillId="0" borderId="2" xfId="5" applyNumberFormat="1" applyFont="1" applyBorder="1" applyAlignment="1">
      <alignment horizontal="center"/>
    </xf>
    <xf numFmtId="177" fontId="7" fillId="0" borderId="4" xfId="5" applyNumberFormat="1" applyFont="1" applyBorder="1" applyAlignment="1">
      <alignment horizontal="center"/>
    </xf>
    <xf numFmtId="177" fontId="7" fillId="0" borderId="6" xfId="5" applyNumberFormat="1" applyFont="1" applyBorder="1" applyAlignment="1">
      <alignment horizontal="center"/>
    </xf>
    <xf numFmtId="0" fontId="7" fillId="0" borderId="5" xfId="5" applyFont="1" applyBorder="1"/>
    <xf numFmtId="0" fontId="7" fillId="0" borderId="0" xfId="5" applyFont="1" applyAlignment="1">
      <alignment horizontal="center"/>
    </xf>
    <xf numFmtId="0" fontId="7" fillId="0" borderId="6" xfId="5" applyFont="1" applyBorder="1" applyAlignment="1">
      <alignment horizontal="center"/>
    </xf>
    <xf numFmtId="0" fontId="14" fillId="0" borderId="10" xfId="5" applyFont="1" applyBorder="1"/>
    <xf numFmtId="177" fontId="9" fillId="0" borderId="7" xfId="5" applyNumberFormat="1" applyFont="1" applyBorder="1" applyAlignment="1">
      <alignment horizontal="center"/>
    </xf>
    <xf numFmtId="177" fontId="9" fillId="0" borderId="25" xfId="5" applyNumberFormat="1" applyFont="1" applyBorder="1" applyAlignment="1">
      <alignment horizontal="center"/>
    </xf>
    <xf numFmtId="0" fontId="7" fillId="0" borderId="1" xfId="3" applyFont="1" applyBorder="1" applyAlignment="1">
      <alignment horizontal="center" wrapText="1"/>
    </xf>
    <xf numFmtId="0" fontId="9" fillId="0" borderId="12" xfId="5" applyFont="1" applyBorder="1" applyAlignment="1">
      <alignment horizontal="center" wrapText="1"/>
    </xf>
    <xf numFmtId="0" fontId="9" fillId="0" borderId="12" xfId="5" quotePrefix="1" applyFont="1" applyBorder="1" applyAlignment="1">
      <alignment horizontal="center" wrapText="1"/>
    </xf>
    <xf numFmtId="0" fontId="7" fillId="0" borderId="7" xfId="3" applyFont="1" applyBorder="1" applyAlignment="1">
      <alignment horizontal="center" wrapText="1"/>
    </xf>
    <xf numFmtId="167" fontId="7" fillId="0" borderId="1" xfId="3" applyNumberFormat="1" applyFont="1" applyBorder="1" applyAlignment="1">
      <alignment horizontal="center" wrapText="1"/>
    </xf>
    <xf numFmtId="0" fontId="9" fillId="0" borderId="0" xfId="3" applyFont="1"/>
    <xf numFmtId="0" fontId="9" fillId="0" borderId="0" xfId="3" applyFont="1" applyAlignment="1">
      <alignment horizontal="center"/>
    </xf>
    <xf numFmtId="37" fontId="9" fillId="0" borderId="0" xfId="4" applyNumberFormat="1" applyFont="1" applyAlignment="1">
      <alignment horizontal="center"/>
    </xf>
    <xf numFmtId="167" fontId="6" fillId="0" borderId="0" xfId="0" applyFont="1" applyAlignment="1">
      <alignment horizontal="center"/>
    </xf>
    <xf numFmtId="167" fontId="34" fillId="0" borderId="0" xfId="0" applyFont="1" applyAlignment="1">
      <alignment horizontal="left"/>
    </xf>
    <xf numFmtId="167" fontId="27" fillId="0" borderId="0" xfId="0" applyFont="1" applyAlignment="1">
      <alignment horizontal="centerContinuous"/>
    </xf>
    <xf numFmtId="167" fontId="40" fillId="0" borderId="0" xfId="0" applyFont="1" applyAlignment="1">
      <alignment horizontal="left"/>
    </xf>
    <xf numFmtId="167" fontId="32" fillId="0" borderId="0" xfId="0" applyFont="1"/>
    <xf numFmtId="0" fontId="7" fillId="0" borderId="0" xfId="0" applyNumberFormat="1" applyFont="1" applyAlignment="1">
      <alignment horizontal="center"/>
    </xf>
    <xf numFmtId="196" fontId="7" fillId="0" borderId="0" xfId="0" applyNumberFormat="1" applyFont="1"/>
    <xf numFmtId="196" fontId="7" fillId="0" borderId="0" xfId="0" applyNumberFormat="1" applyFont="1" applyAlignment="1">
      <alignment horizontal="center"/>
    </xf>
    <xf numFmtId="0" fontId="7" fillId="0" borderId="7" xfId="0" applyNumberFormat="1" applyFont="1" applyBorder="1" applyAlignment="1">
      <alignment horizontal="center"/>
    </xf>
    <xf numFmtId="196" fontId="7" fillId="0" borderId="7" xfId="0" applyNumberFormat="1" applyFont="1" applyBorder="1" applyAlignment="1">
      <alignment horizontal="center"/>
    </xf>
    <xf numFmtId="174" fontId="7" fillId="0" borderId="7" xfId="0" applyNumberFormat="1" applyFont="1" applyBorder="1" applyAlignment="1">
      <alignment horizontal="center"/>
    </xf>
    <xf numFmtId="174" fontId="7" fillId="0" borderId="0" xfId="0" applyNumberFormat="1" applyFont="1" applyAlignment="1">
      <alignment horizontal="center"/>
    </xf>
    <xf numFmtId="3" fontId="7" fillId="0" borderId="0" xfId="0" applyNumberFormat="1" applyFont="1"/>
    <xf numFmtId="176" fontId="7" fillId="0" borderId="0" xfId="0" applyNumberFormat="1" applyFont="1" applyAlignment="1">
      <alignment horizontal="center"/>
    </xf>
    <xf numFmtId="176" fontId="7" fillId="0" borderId="7" xfId="0" applyNumberFormat="1" applyFont="1" applyBorder="1" applyAlignment="1">
      <alignment horizontal="center"/>
    </xf>
    <xf numFmtId="37" fontId="7" fillId="0" borderId="0" xfId="0" applyNumberFormat="1" applyFont="1" applyAlignment="1">
      <alignment horizontal="center"/>
    </xf>
    <xf numFmtId="167" fontId="12" fillId="0" borderId="0" xfId="0" applyFont="1" applyAlignment="1" applyProtection="1">
      <alignment horizontal="center"/>
      <protection locked="0"/>
    </xf>
    <xf numFmtId="176" fontId="7" fillId="0" borderId="0" xfId="1" applyNumberFormat="1" applyFont="1" applyFill="1"/>
    <xf numFmtId="5" fontId="7" fillId="0" borderId="0" xfId="1" applyNumberFormat="1" applyFont="1" applyFill="1" applyAlignment="1" applyProtection="1">
      <alignment horizontal="center"/>
    </xf>
    <xf numFmtId="5" fontId="7" fillId="0" borderId="7" xfId="1" applyNumberFormat="1" applyFont="1" applyFill="1" applyBorder="1" applyAlignment="1" applyProtection="1">
      <alignment horizontal="center"/>
    </xf>
    <xf numFmtId="167" fontId="15" fillId="0" borderId="0" xfId="0" applyFont="1" applyAlignment="1">
      <alignment horizontal="center"/>
    </xf>
    <xf numFmtId="167" fontId="7" fillId="0" borderId="5" xfId="0" applyFont="1" applyBorder="1"/>
    <xf numFmtId="167" fontId="7" fillId="4" borderId="0" xfId="0" applyFont="1" applyFill="1" applyAlignment="1">
      <alignment horizontal="center"/>
    </xf>
    <xf numFmtId="43" fontId="7" fillId="4" borderId="0" xfId="0" applyNumberFormat="1" applyFont="1" applyFill="1" applyAlignment="1">
      <alignment horizontal="center"/>
    </xf>
    <xf numFmtId="49" fontId="12" fillId="0" borderId="0" xfId="0" applyNumberFormat="1" applyFont="1" applyProtection="1">
      <protection locked="0"/>
    </xf>
    <xf numFmtId="167" fontId="7" fillId="0" borderId="0" xfId="0" applyFont="1" applyProtection="1">
      <protection locked="0"/>
    </xf>
    <xf numFmtId="49" fontId="11" fillId="0" borderId="0" xfId="0" applyNumberFormat="1" applyFont="1" applyAlignment="1" applyProtection="1">
      <alignment horizontal="centerContinuous"/>
      <protection locked="0"/>
    </xf>
    <xf numFmtId="167" fontId="12" fillId="0" borderId="0" xfId="0" applyFont="1" applyAlignment="1" applyProtection="1">
      <alignment horizontal="centerContinuous"/>
      <protection locked="0"/>
    </xf>
    <xf numFmtId="167" fontId="7" fillId="0" borderId="0" xfId="0" applyFont="1" applyAlignment="1" applyProtection="1">
      <alignment horizontal="centerContinuous"/>
      <protection locked="0"/>
    </xf>
    <xf numFmtId="49" fontId="12" fillId="0" borderId="0" xfId="0" applyNumberFormat="1" applyFont="1" applyAlignment="1" applyProtection="1">
      <alignment horizontal="centerContinuous"/>
      <protection locked="0"/>
    </xf>
    <xf numFmtId="167" fontId="11" fillId="0" borderId="0" xfId="0" applyFont="1" applyAlignment="1" applyProtection="1">
      <alignment horizontal="centerContinuous"/>
      <protection locked="0"/>
    </xf>
    <xf numFmtId="167" fontId="27" fillId="0" borderId="0" xfId="0" applyFont="1" applyAlignment="1" applyProtection="1">
      <alignment horizontal="left"/>
      <protection locked="0"/>
    </xf>
    <xf numFmtId="185" fontId="11" fillId="0" borderId="1" xfId="0" applyNumberFormat="1" applyFont="1" applyBorder="1" applyAlignment="1" applyProtection="1">
      <alignment horizontal="center"/>
      <protection locked="0"/>
    </xf>
    <xf numFmtId="167" fontId="11" fillId="0" borderId="1" xfId="0" applyFont="1" applyBorder="1" applyAlignment="1" applyProtection="1">
      <alignment horizontal="center"/>
      <protection locked="0"/>
    </xf>
    <xf numFmtId="0" fontId="12" fillId="0" borderId="0" xfId="0" applyNumberFormat="1" applyFont="1" applyAlignment="1" applyProtection="1">
      <alignment horizontal="center"/>
      <protection locked="0"/>
    </xf>
    <xf numFmtId="167" fontId="12" fillId="0" borderId="0" xfId="0" applyFont="1" applyAlignment="1" applyProtection="1">
      <alignment horizontal="left"/>
      <protection locked="0"/>
    </xf>
    <xf numFmtId="37" fontId="12" fillId="0" borderId="0" xfId="0" applyNumberFormat="1" applyFont="1" applyProtection="1">
      <protection locked="0"/>
    </xf>
    <xf numFmtId="167" fontId="9" fillId="0" borderId="0" xfId="0" applyFont="1" applyProtection="1">
      <protection locked="0"/>
    </xf>
    <xf numFmtId="37" fontId="12" fillId="0" borderId="7" xfId="0" applyNumberFormat="1" applyFont="1" applyBorder="1"/>
    <xf numFmtId="37" fontId="12" fillId="0" borderId="1" xfId="0" applyNumberFormat="1" applyFont="1" applyBorder="1"/>
    <xf numFmtId="5" fontId="12" fillId="0" borderId="0" xfId="0" applyNumberFormat="1" applyFont="1"/>
    <xf numFmtId="5" fontId="12" fillId="0" borderId="0" xfId="0" applyNumberFormat="1" applyFont="1" applyProtection="1">
      <protection locked="0"/>
    </xf>
    <xf numFmtId="5" fontId="11" fillId="0" borderId="0" xfId="0" applyNumberFormat="1" applyFont="1"/>
    <xf numFmtId="173" fontId="12" fillId="0" borderId="0" xfId="0" applyNumberFormat="1" applyFont="1" applyProtection="1">
      <protection locked="0"/>
    </xf>
    <xf numFmtId="173" fontId="12" fillId="0" borderId="0" xfId="0" applyNumberFormat="1" applyFont="1"/>
    <xf numFmtId="166" fontId="12" fillId="0" borderId="0" xfId="0" applyNumberFormat="1" applyFont="1" applyProtection="1">
      <protection locked="0"/>
    </xf>
    <xf numFmtId="190" fontId="7" fillId="0" borderId="0" xfId="1" applyNumberFormat="1" applyFont="1" applyFill="1" applyProtection="1">
      <protection locked="0"/>
    </xf>
    <xf numFmtId="39" fontId="12" fillId="0" borderId="0" xfId="0" applyNumberFormat="1" applyFont="1" applyProtection="1">
      <protection locked="0"/>
    </xf>
    <xf numFmtId="37" fontId="11" fillId="0" borderId="0" xfId="0" applyNumberFormat="1" applyFont="1"/>
    <xf numFmtId="167" fontId="12" fillId="0" borderId="0" xfId="0" quotePrefix="1" applyFont="1" applyAlignment="1" applyProtection="1">
      <alignment horizontal="left"/>
      <protection locked="0"/>
    </xf>
    <xf numFmtId="173" fontId="41" fillId="0" borderId="0" xfId="0" applyNumberFormat="1" applyFont="1"/>
    <xf numFmtId="49" fontId="7" fillId="0" borderId="0" xfId="0" applyNumberFormat="1" applyFont="1" applyProtection="1">
      <protection locked="0"/>
    </xf>
    <xf numFmtId="167" fontId="6" fillId="0" borderId="7" xfId="0" applyFont="1" applyBorder="1" applyAlignment="1">
      <alignment horizontal="center" wrapText="1"/>
    </xf>
    <xf numFmtId="167" fontId="6" fillId="0" borderId="0" xfId="0" quotePrefix="1" applyFont="1" applyAlignment="1">
      <alignment horizontal="center"/>
    </xf>
    <xf numFmtId="185" fontId="5" fillId="0" borderId="0" xfId="0" applyNumberFormat="1" applyFont="1" applyAlignment="1">
      <alignment horizontal="right"/>
    </xf>
    <xf numFmtId="176" fontId="7" fillId="0" borderId="0" xfId="1" applyNumberFormat="1" applyFont="1" applyFill="1" applyAlignment="1">
      <alignment horizontal="center"/>
    </xf>
    <xf numFmtId="167" fontId="30" fillId="0" borderId="0" xfId="0" applyFont="1" applyAlignment="1">
      <alignment horizontal="left" vertical="top"/>
    </xf>
    <xf numFmtId="176" fontId="7" fillId="0" borderId="0" xfId="0" applyNumberFormat="1" applyFont="1" applyAlignment="1">
      <alignment horizontal="right"/>
    </xf>
    <xf numFmtId="173" fontId="7" fillId="0" borderId="0" xfId="6" applyNumberFormat="1" applyFont="1" applyFill="1" applyAlignment="1">
      <alignment horizontal="center"/>
    </xf>
    <xf numFmtId="177" fontId="30" fillId="0" borderId="0" xfId="0" applyNumberFormat="1" applyFont="1" applyAlignment="1">
      <alignment horizontal="left"/>
    </xf>
    <xf numFmtId="176" fontId="7" fillId="0" borderId="7" xfId="0" applyNumberFormat="1" applyFont="1" applyBorder="1" applyAlignment="1">
      <alignment horizontal="right"/>
    </xf>
    <xf numFmtId="6" fontId="6" fillId="0" borderId="7" xfId="0" applyNumberFormat="1" applyFont="1" applyBorder="1"/>
    <xf numFmtId="5" fontId="7" fillId="0" borderId="7" xfId="0" applyNumberFormat="1" applyFont="1" applyBorder="1" applyAlignment="1">
      <alignment horizontal="right"/>
    </xf>
    <xf numFmtId="183" fontId="7" fillId="0" borderId="0" xfId="0" applyNumberFormat="1" applyFont="1" applyAlignment="1">
      <alignment horizontal="right"/>
    </xf>
    <xf numFmtId="167" fontId="5" fillId="0" borderId="0" xfId="0" applyFont="1" applyAlignment="1">
      <alignment horizontal="right"/>
    </xf>
    <xf numFmtId="0" fontId="7" fillId="0" borderId="0" xfId="3" quotePrefix="1" applyFont="1" applyAlignment="1">
      <alignment horizontal="center" wrapText="1"/>
    </xf>
    <xf numFmtId="5" fontId="7" fillId="0" borderId="7" xfId="6" applyNumberFormat="1" applyFont="1" applyFill="1" applyBorder="1" applyAlignment="1">
      <alignment horizontal="right"/>
    </xf>
    <xf numFmtId="5" fontId="7" fillId="0" borderId="0" xfId="6" applyNumberFormat="1" applyFont="1" applyFill="1" applyBorder="1" applyAlignment="1">
      <alignment horizontal="right"/>
    </xf>
    <xf numFmtId="7" fontId="7" fillId="0" borderId="7" xfId="6" applyNumberFormat="1" applyFont="1" applyFill="1" applyBorder="1" applyAlignment="1">
      <alignment horizontal="right"/>
    </xf>
    <xf numFmtId="5" fontId="6" fillId="0" borderId="0" xfId="0" applyNumberFormat="1" applyFont="1"/>
    <xf numFmtId="3" fontId="7" fillId="0" borderId="0" xfId="0" applyNumberFormat="1" applyFont="1" applyAlignment="1">
      <alignment horizontal="center"/>
    </xf>
    <xf numFmtId="167" fontId="30" fillId="0" borderId="0" xfId="0" applyFont="1" applyAlignment="1">
      <alignment horizontal="right"/>
    </xf>
    <xf numFmtId="180" fontId="7" fillId="0" borderId="0" xfId="3" applyNumberFormat="1" applyFont="1" applyAlignment="1">
      <alignment horizontal="center"/>
    </xf>
    <xf numFmtId="180" fontId="7" fillId="0" borderId="0" xfId="3" quotePrefix="1" applyNumberFormat="1" applyFont="1" applyAlignment="1">
      <alignment horizontal="center"/>
    </xf>
    <xf numFmtId="180" fontId="7" fillId="0" borderId="0" xfId="3" applyNumberFormat="1" applyFont="1" applyAlignment="1">
      <alignment horizontal="center" wrapText="1"/>
    </xf>
    <xf numFmtId="196" fontId="7" fillId="0" borderId="0" xfId="2" applyNumberFormat="1" applyFont="1" applyFill="1" applyAlignment="1" applyProtection="1">
      <alignment horizontal="center"/>
    </xf>
    <xf numFmtId="6" fontId="7" fillId="0" borderId="0" xfId="1" applyNumberFormat="1" applyFont="1" applyFill="1" applyAlignment="1" applyProtection="1">
      <alignment horizontal="center"/>
    </xf>
    <xf numFmtId="5" fontId="7" fillId="0" borderId="0" xfId="2" applyNumberFormat="1" applyFont="1" applyFill="1" applyAlignment="1" applyProtection="1">
      <alignment horizontal="right"/>
    </xf>
    <xf numFmtId="176" fontId="7" fillId="0" borderId="0" xfId="1" applyNumberFormat="1" applyFont="1" applyFill="1" applyAlignment="1" applyProtection="1">
      <alignment horizontal="right"/>
    </xf>
    <xf numFmtId="5" fontId="7" fillId="0" borderId="0" xfId="3" applyNumberFormat="1" applyFont="1" applyAlignment="1">
      <alignment horizontal="right"/>
    </xf>
    <xf numFmtId="193" fontId="7" fillId="0" borderId="0" xfId="1" applyNumberFormat="1" applyFont="1" applyFill="1" applyAlignment="1" applyProtection="1">
      <alignment horizontal="center" vertical="center"/>
    </xf>
    <xf numFmtId="196" fontId="7" fillId="0" borderId="7" xfId="2" applyNumberFormat="1" applyFont="1" applyFill="1" applyBorder="1" applyAlignment="1" applyProtection="1">
      <alignment horizontal="center"/>
    </xf>
    <xf numFmtId="193" fontId="7" fillId="0" borderId="7" xfId="1" applyNumberFormat="1" applyFont="1" applyFill="1" applyBorder="1" applyAlignment="1" applyProtection="1">
      <alignment horizontal="center"/>
    </xf>
    <xf numFmtId="6" fontId="7" fillId="0" borderId="7" xfId="1" applyNumberFormat="1" applyFont="1" applyFill="1" applyBorder="1" applyAlignment="1" applyProtection="1">
      <alignment horizontal="center"/>
    </xf>
    <xf numFmtId="183" fontId="7" fillId="0" borderId="7" xfId="0" applyNumberFormat="1" applyFont="1" applyBorder="1" applyAlignment="1">
      <alignment horizontal="right"/>
    </xf>
    <xf numFmtId="5" fontId="7" fillId="0" borderId="7" xfId="2" applyNumberFormat="1" applyFont="1" applyFill="1" applyBorder="1" applyAlignment="1" applyProtection="1">
      <alignment horizontal="right"/>
    </xf>
    <xf numFmtId="176" fontId="7" fillId="0" borderId="7" xfId="1" applyNumberFormat="1" applyFont="1" applyFill="1" applyBorder="1" applyAlignment="1" applyProtection="1">
      <alignment horizontal="right"/>
    </xf>
    <xf numFmtId="5" fontId="7" fillId="0" borderId="7" xfId="3" applyNumberFormat="1" applyFont="1" applyBorder="1" applyAlignment="1">
      <alignment horizontal="right"/>
    </xf>
    <xf numFmtId="197" fontId="7" fillId="0" borderId="7" xfId="1" applyNumberFormat="1" applyFont="1" applyFill="1" applyBorder="1" applyAlignment="1" applyProtection="1">
      <alignment horizontal="center"/>
    </xf>
    <xf numFmtId="176" fontId="7" fillId="0" borderId="0" xfId="1" applyNumberFormat="1" applyFont="1" applyFill="1" applyAlignment="1" applyProtection="1">
      <alignment horizontal="center"/>
    </xf>
    <xf numFmtId="7" fontId="7" fillId="0" borderId="0" xfId="2" applyNumberFormat="1" applyFont="1" applyFill="1" applyAlignment="1" applyProtection="1">
      <alignment horizontal="center"/>
    </xf>
    <xf numFmtId="44" fontId="7" fillId="0" borderId="0" xfId="2" applyFont="1" applyFill="1" applyAlignment="1" applyProtection="1">
      <alignment horizontal="center"/>
    </xf>
    <xf numFmtId="173" fontId="7" fillId="0" borderId="0" xfId="2" applyNumberFormat="1" applyFont="1" applyFill="1" applyAlignment="1" applyProtection="1">
      <alignment horizontal="center"/>
    </xf>
    <xf numFmtId="173" fontId="7" fillId="0" borderId="7" xfId="2" applyNumberFormat="1" applyFont="1" applyFill="1" applyBorder="1" applyAlignment="1" applyProtection="1">
      <alignment horizontal="center"/>
    </xf>
    <xf numFmtId="176" fontId="7" fillId="0" borderId="7" xfId="1" applyNumberFormat="1" applyFont="1" applyFill="1" applyBorder="1" applyAlignment="1" applyProtection="1">
      <alignment horizontal="center"/>
    </xf>
    <xf numFmtId="37" fontId="6" fillId="0" borderId="7" xfId="4" applyNumberFormat="1" applyFont="1" applyBorder="1" applyAlignment="1">
      <alignment horizontal="center"/>
    </xf>
    <xf numFmtId="37" fontId="6" fillId="0" borderId="1" xfId="4" applyNumberFormat="1" applyFont="1" applyBorder="1" applyAlignment="1">
      <alignment horizontal="center"/>
    </xf>
    <xf numFmtId="37" fontId="6" fillId="0" borderId="0" xfId="4" quotePrefix="1" applyNumberFormat="1" applyFont="1" applyAlignment="1">
      <alignment horizontal="center"/>
    </xf>
    <xf numFmtId="37" fontId="6" fillId="0" borderId="0" xfId="4" quotePrefix="1" applyNumberFormat="1" applyFont="1" applyAlignment="1">
      <alignment horizontal="center" wrapText="1"/>
    </xf>
    <xf numFmtId="37" fontId="7" fillId="0" borderId="7" xfId="1" applyNumberFormat="1" applyFont="1" applyFill="1" applyBorder="1" applyAlignment="1"/>
    <xf numFmtId="5" fontId="7" fillId="0" borderId="7" xfId="4" applyNumberFormat="1" applyFont="1" applyBorder="1"/>
    <xf numFmtId="5" fontId="7" fillId="0" borderId="0" xfId="4" applyNumberFormat="1" applyFont="1" applyAlignment="1">
      <alignment horizontal="right"/>
    </xf>
    <xf numFmtId="187" fontId="7" fillId="0" borderId="7" xfId="0" applyNumberFormat="1" applyFont="1" applyBorder="1" applyAlignment="1">
      <alignment horizontal="center" wrapText="1"/>
    </xf>
    <xf numFmtId="167" fontId="45" fillId="0" borderId="0" xfId="0" applyFont="1"/>
    <xf numFmtId="167" fontId="44" fillId="0" borderId="0" xfId="0" applyFont="1" applyAlignment="1">
      <alignment horizontal="left"/>
    </xf>
    <xf numFmtId="181" fontId="44" fillId="0" borderId="0" xfId="0" applyNumberFormat="1" applyFont="1" applyAlignment="1">
      <alignment horizontal="left"/>
    </xf>
    <xf numFmtId="176" fontId="44" fillId="0" borderId="0" xfId="0" applyNumberFormat="1" applyFont="1"/>
    <xf numFmtId="167" fontId="7" fillId="4" borderId="0" xfId="0" applyFont="1" applyFill="1"/>
    <xf numFmtId="0" fontId="9" fillId="0" borderId="9" xfId="5" applyFont="1" applyBorder="1" applyAlignment="1">
      <alignment horizontal="center" wrapText="1"/>
    </xf>
    <xf numFmtId="0" fontId="9" fillId="0" borderId="9" xfId="5" quotePrefix="1" applyFont="1" applyBorder="1" applyAlignment="1">
      <alignment horizontal="center" wrapText="1"/>
    </xf>
    <xf numFmtId="0" fontId="9" fillId="0" borderId="21" xfId="5" applyFont="1" applyBorder="1" applyAlignment="1">
      <alignment horizontal="center" wrapText="1"/>
    </xf>
    <xf numFmtId="187" fontId="7" fillId="0" borderId="22" xfId="5" applyNumberFormat="1" applyFont="1" applyBorder="1" applyAlignment="1">
      <alignment horizontal="center"/>
    </xf>
    <xf numFmtId="177" fontId="7" fillId="0" borderId="23" xfId="5" applyNumberFormat="1" applyFont="1" applyBorder="1"/>
    <xf numFmtId="0" fontId="7" fillId="0" borderId="22" xfId="5" applyFont="1" applyBorder="1"/>
    <xf numFmtId="0" fontId="7" fillId="0" borderId="23" xfId="5" applyFont="1" applyBorder="1"/>
    <xf numFmtId="0" fontId="14" fillId="0" borderId="24" xfId="5" applyFont="1" applyBorder="1"/>
    <xf numFmtId="0" fontId="5" fillId="0" borderId="8" xfId="5" applyFont="1" applyBorder="1"/>
    <xf numFmtId="177" fontId="9" fillId="0" borderId="8" xfId="5" applyNumberFormat="1" applyFont="1" applyBorder="1"/>
    <xf numFmtId="177" fontId="9" fillId="0" borderId="25" xfId="5" applyNumberFormat="1" applyFont="1" applyBorder="1"/>
    <xf numFmtId="201" fontId="7" fillId="0" borderId="0" xfId="1" applyNumberFormat="1" applyFont="1" applyFill="1" applyAlignment="1" applyProtection="1">
      <alignment horizontal="right"/>
    </xf>
    <xf numFmtId="201" fontId="7" fillId="0" borderId="7" xfId="1" applyNumberFormat="1" applyFont="1" applyFill="1" applyBorder="1" applyAlignment="1" applyProtection="1">
      <alignment horizontal="right"/>
    </xf>
    <xf numFmtId="167" fontId="44" fillId="0" borderId="0" xfId="0" applyFont="1"/>
    <xf numFmtId="176" fontId="7" fillId="0" borderId="0" xfId="1" applyNumberFormat="1" applyFont="1" applyFill="1" applyAlignment="1">
      <alignment horizontal="right"/>
    </xf>
    <xf numFmtId="167" fontId="7" fillId="0" borderId="6" xfId="0" applyFont="1" applyBorder="1"/>
    <xf numFmtId="167" fontId="6" fillId="0" borderId="7" xfId="0" applyFont="1" applyBorder="1" applyAlignment="1">
      <alignment horizontal="centerContinuous"/>
    </xf>
    <xf numFmtId="167" fontId="12" fillId="0" borderId="0" xfId="0" applyFont="1" applyAlignment="1">
      <alignment wrapText="1"/>
    </xf>
    <xf numFmtId="176" fontId="44" fillId="0" borderId="0" xfId="1" applyNumberFormat="1" applyFont="1"/>
    <xf numFmtId="176" fontId="44" fillId="0" borderId="0" xfId="1" applyNumberFormat="1" applyFont="1" applyFill="1"/>
    <xf numFmtId="195" fontId="44" fillId="0" borderId="0" xfId="0" applyNumberFormat="1" applyFont="1"/>
    <xf numFmtId="167" fontId="7" fillId="0" borderId="16" xfId="0" applyFont="1" applyBorder="1"/>
    <xf numFmtId="167" fontId="7" fillId="0" borderId="17" xfId="0" applyFont="1" applyBorder="1"/>
    <xf numFmtId="43" fontId="44" fillId="0" borderId="0" xfId="0" applyNumberFormat="1" applyFont="1" applyAlignment="1">
      <alignment horizontal="center"/>
    </xf>
    <xf numFmtId="176" fontId="44" fillId="0" borderId="0" xfId="0" applyNumberFormat="1" applyFont="1" applyAlignment="1">
      <alignment horizontal="center"/>
    </xf>
    <xf numFmtId="0" fontId="44" fillId="0" borderId="0" xfId="0" applyNumberFormat="1" applyFont="1" applyAlignment="1">
      <alignment horizontal="center"/>
    </xf>
    <xf numFmtId="167" fontId="6" fillId="0" borderId="7" xfId="0" applyFont="1" applyBorder="1" applyAlignment="1">
      <alignment horizontal="left"/>
    </xf>
    <xf numFmtId="167" fontId="6" fillId="0" borderId="7" xfId="0" applyFont="1" applyBorder="1"/>
    <xf numFmtId="172" fontId="42" fillId="0" borderId="0" xfId="1" applyNumberFormat="1" applyFont="1" applyFill="1" applyBorder="1"/>
    <xf numFmtId="167" fontId="15" fillId="0" borderId="2" xfId="0" applyFont="1" applyBorder="1" applyAlignment="1">
      <alignment horizontal="centerContinuous"/>
    </xf>
    <xf numFmtId="167" fontId="6" fillId="0" borderId="3" xfId="0" applyFont="1" applyBorder="1" applyAlignment="1">
      <alignment horizontal="centerContinuous"/>
    </xf>
    <xf numFmtId="167" fontId="7" fillId="0" borderId="4" xfId="0" applyFont="1" applyBorder="1" applyAlignment="1">
      <alignment horizontal="centerContinuous"/>
    </xf>
    <xf numFmtId="167" fontId="6" fillId="0" borderId="10" xfId="0" applyFont="1" applyBorder="1" applyAlignment="1">
      <alignment horizontal="left"/>
    </xf>
    <xf numFmtId="167" fontId="6" fillId="0" borderId="5" xfId="0" applyFont="1" applyBorder="1" applyAlignment="1">
      <alignment horizontal="left"/>
    </xf>
    <xf numFmtId="37" fontId="6" fillId="0" borderId="0" xfId="0" applyNumberFormat="1" applyFont="1"/>
    <xf numFmtId="167" fontId="6" fillId="0" borderId="33" xfId="0" applyFont="1" applyBorder="1"/>
    <xf numFmtId="167" fontId="6" fillId="0" borderId="33" xfId="0" applyFont="1" applyBorder="1" applyAlignment="1">
      <alignment horizontal="center"/>
    </xf>
    <xf numFmtId="167" fontId="7" fillId="0" borderId="33" xfId="0" applyFont="1" applyBorder="1"/>
    <xf numFmtId="167" fontId="7" fillId="0" borderId="28" xfId="0" applyFont="1" applyBorder="1" applyAlignment="1">
      <alignment horizontal="center"/>
    </xf>
    <xf numFmtId="167" fontId="6" fillId="0" borderId="32" xfId="0" applyFont="1" applyBorder="1"/>
    <xf numFmtId="167" fontId="6" fillId="0" borderId="32" xfId="0" applyFont="1" applyBorder="1" applyAlignment="1">
      <alignment horizontal="center"/>
    </xf>
    <xf numFmtId="167" fontId="7" fillId="0" borderId="32" xfId="0" applyFont="1" applyBorder="1"/>
    <xf numFmtId="167" fontId="6" fillId="0" borderId="2" xfId="0" applyFont="1" applyBorder="1" applyAlignment="1">
      <alignment horizontal="left"/>
    </xf>
    <xf numFmtId="167" fontId="6" fillId="0" borderId="3" xfId="0" applyFont="1" applyBorder="1"/>
    <xf numFmtId="167" fontId="6" fillId="0" borderId="3" xfId="0" applyFont="1" applyBorder="1" applyAlignment="1">
      <alignment horizontal="center"/>
    </xf>
    <xf numFmtId="172" fontId="6" fillId="0" borderId="3" xfId="1" applyNumberFormat="1" applyFont="1" applyFill="1" applyBorder="1"/>
    <xf numFmtId="170" fontId="6" fillId="0" borderId="33" xfId="0" applyNumberFormat="1" applyFont="1" applyBorder="1"/>
    <xf numFmtId="167" fontId="11" fillId="0" borderId="0" xfId="0" applyFont="1" applyAlignment="1">
      <alignment horizontal="centerContinuous"/>
    </xf>
    <xf numFmtId="167" fontId="7" fillId="0" borderId="3" xfId="0" applyFont="1" applyBorder="1"/>
    <xf numFmtId="165" fontId="6" fillId="0" borderId="32" xfId="0" applyNumberFormat="1" applyFont="1" applyBorder="1"/>
    <xf numFmtId="165" fontId="6" fillId="0" borderId="3" xfId="0" applyNumberFormat="1" applyFont="1" applyBorder="1"/>
    <xf numFmtId="167" fontId="15" fillId="0" borderId="10" xfId="0" applyFont="1" applyBorder="1" applyAlignment="1">
      <alignment horizontal="left"/>
    </xf>
    <xf numFmtId="165" fontId="15" fillId="0" borderId="7" xfId="0" applyNumberFormat="1" applyFont="1" applyBorder="1"/>
    <xf numFmtId="167" fontId="7" fillId="0" borderId="34" xfId="0" applyFont="1" applyBorder="1" applyAlignment="1">
      <alignment horizontal="center"/>
    </xf>
    <xf numFmtId="164" fontId="6" fillId="0" borderId="33" xfId="0" applyNumberFormat="1" applyFont="1" applyBorder="1"/>
    <xf numFmtId="202" fontId="6" fillId="0" borderId="11" xfId="0" applyNumberFormat="1" applyFont="1" applyBorder="1"/>
    <xf numFmtId="167" fontId="7" fillId="0" borderId="11" xfId="0" applyFont="1" applyBorder="1" applyAlignment="1">
      <alignment horizontal="center"/>
    </xf>
    <xf numFmtId="203" fontId="6" fillId="0" borderId="3" xfId="1" applyNumberFormat="1" applyFont="1" applyFill="1" applyBorder="1"/>
    <xf numFmtId="191" fontId="6" fillId="0" borderId="4" xfId="1" applyNumberFormat="1" applyFont="1" applyFill="1" applyBorder="1"/>
    <xf numFmtId="171" fontId="6" fillId="0" borderId="33" xfId="0" applyNumberFormat="1" applyFont="1" applyBorder="1"/>
    <xf numFmtId="166" fontId="6" fillId="0" borderId="32" xfId="0" applyNumberFormat="1" applyFont="1" applyBorder="1"/>
    <xf numFmtId="168" fontId="6" fillId="0" borderId="17" xfId="0" applyNumberFormat="1" applyFont="1" applyBorder="1"/>
    <xf numFmtId="166" fontId="6" fillId="0" borderId="3" xfId="0" applyNumberFormat="1" applyFont="1" applyBorder="1"/>
    <xf numFmtId="168" fontId="6" fillId="0" borderId="4" xfId="0" applyNumberFormat="1" applyFont="1" applyBorder="1"/>
    <xf numFmtId="166" fontId="6" fillId="0" borderId="0" xfId="0" applyNumberFormat="1" applyFont="1"/>
    <xf numFmtId="168" fontId="6" fillId="0" borderId="6" xfId="0" applyNumberFormat="1" applyFont="1" applyBorder="1"/>
    <xf numFmtId="166" fontId="6" fillId="0" borderId="33" xfId="0" applyNumberFormat="1" applyFont="1" applyBorder="1"/>
    <xf numFmtId="168" fontId="6" fillId="0" borderId="11" xfId="0" applyNumberFormat="1" applyFont="1" applyBorder="1"/>
    <xf numFmtId="166" fontId="6" fillId="0" borderId="7" xfId="0" applyNumberFormat="1" applyFont="1" applyBorder="1"/>
    <xf numFmtId="203" fontId="7" fillId="0" borderId="0" xfId="1" applyNumberFormat="1" applyFont="1" applyFill="1"/>
    <xf numFmtId="174" fontId="7" fillId="0" borderId="33" xfId="0" applyNumberFormat="1" applyFont="1" applyBorder="1" applyAlignment="1">
      <alignment horizontal="center"/>
    </xf>
    <xf numFmtId="169" fontId="11" fillId="5" borderId="0" xfId="0" applyNumberFormat="1" applyFont="1" applyFill="1"/>
    <xf numFmtId="0" fontId="7" fillId="0" borderId="33" xfId="0" applyNumberFormat="1" applyFont="1" applyBorder="1" applyAlignment="1">
      <alignment horizontal="center"/>
    </xf>
    <xf numFmtId="2" fontId="44" fillId="0" borderId="0" xfId="0" applyNumberFormat="1" applyFont="1" applyAlignment="1">
      <alignment horizontal="center"/>
    </xf>
    <xf numFmtId="177" fontId="7" fillId="0" borderId="33" xfId="1" applyNumberFormat="1" applyFont="1" applyFill="1" applyBorder="1" applyAlignment="1">
      <alignment horizontal="center"/>
    </xf>
    <xf numFmtId="43" fontId="44" fillId="0" borderId="0" xfId="0" applyNumberFormat="1" applyFont="1"/>
    <xf numFmtId="0" fontId="44" fillId="0" borderId="0" xfId="0" applyNumberFormat="1" applyFont="1"/>
    <xf numFmtId="203" fontId="44" fillId="0" borderId="0" xfId="1" applyNumberFormat="1" applyFont="1" applyFill="1" applyAlignment="1">
      <alignment horizontal="left"/>
    </xf>
    <xf numFmtId="191" fontId="44" fillId="0" borderId="0" xfId="1" applyNumberFormat="1" applyFont="1" applyFill="1" applyAlignment="1">
      <alignment horizontal="left"/>
    </xf>
    <xf numFmtId="203" fontId="6" fillId="0" borderId="0" xfId="1" applyNumberFormat="1" applyFont="1" applyFill="1" applyBorder="1"/>
    <xf numFmtId="203" fontId="6" fillId="0" borderId="33" xfId="1" applyNumberFormat="1" applyFont="1" applyFill="1" applyBorder="1"/>
    <xf numFmtId="167" fontId="7" fillId="0" borderId="0" xfId="0" applyFont="1" applyAlignment="1">
      <alignment horizontal="justify" vertical="center"/>
    </xf>
    <xf numFmtId="167" fontId="40" fillId="0" borderId="0" xfId="0" applyFont="1" applyAlignment="1">
      <alignment horizontal="center" wrapText="1"/>
    </xf>
    <xf numFmtId="188" fontId="7" fillId="0" borderId="0" xfId="2" applyNumberFormat="1" applyFont="1"/>
    <xf numFmtId="167" fontId="7" fillId="0" borderId="0" xfId="0" applyFont="1" applyAlignment="1" applyProtection="1">
      <alignment horizontal="left"/>
      <protection locked="0"/>
    </xf>
    <xf numFmtId="167" fontId="7" fillId="0" borderId="33" xfId="0" applyFont="1" applyBorder="1" applyAlignment="1">
      <alignment horizontal="center" vertical="center" wrapText="1"/>
    </xf>
    <xf numFmtId="167" fontId="7" fillId="0" borderId="33" xfId="0" applyFont="1" applyBorder="1" applyAlignment="1">
      <alignment horizontal="center" vertical="center"/>
    </xf>
    <xf numFmtId="177" fontId="7" fillId="0" borderId="0" xfId="1" applyNumberFormat="1" applyFont="1"/>
    <xf numFmtId="167" fontId="7" fillId="20" borderId="0" xfId="0" applyFont="1" applyFill="1"/>
    <xf numFmtId="167" fontId="34" fillId="20" borderId="0" xfId="0" applyFont="1" applyFill="1"/>
    <xf numFmtId="167" fontId="67" fillId="0" borderId="0" xfId="0" applyFont="1"/>
    <xf numFmtId="167" fontId="27" fillId="0" borderId="0" xfId="0" applyFont="1"/>
    <xf numFmtId="167" fontId="68" fillId="0" borderId="0" xfId="0" applyFont="1" applyAlignment="1">
      <alignment horizontal="center"/>
    </xf>
    <xf numFmtId="167" fontId="20" fillId="0" borderId="33" xfId="0" applyFont="1" applyBorder="1" applyAlignment="1">
      <alignment horizontal="center"/>
    </xf>
    <xf numFmtId="167" fontId="9" fillId="0" borderId="12" xfId="0" applyFont="1" applyBorder="1" applyAlignment="1">
      <alignment horizontal="center" vertical="center"/>
    </xf>
    <xf numFmtId="167" fontId="9" fillId="0" borderId="0" xfId="0" applyFont="1" applyAlignment="1">
      <alignment horizontal="center" vertical="center"/>
    </xf>
    <xf numFmtId="167" fontId="9" fillId="0" borderId="0" xfId="0" applyFont="1" applyAlignment="1">
      <alignment horizontal="center" vertical="center" wrapText="1"/>
    </xf>
    <xf numFmtId="208" fontId="7" fillId="0" borderId="0" xfId="2" applyNumberFormat="1" applyFont="1" applyFill="1"/>
    <xf numFmtId="177" fontId="7" fillId="0" borderId="17" xfId="1" applyNumberFormat="1" applyFont="1" applyFill="1" applyBorder="1"/>
    <xf numFmtId="208" fontId="7" fillId="0" borderId="33" xfId="2" applyNumberFormat="1" applyFont="1" applyBorder="1"/>
    <xf numFmtId="167" fontId="7" fillId="0" borderId="0" xfId="0" applyFont="1" applyAlignment="1">
      <alignment vertical="center" wrapText="1"/>
    </xf>
    <xf numFmtId="188" fontId="9" fillId="0" borderId="0" xfId="2" applyNumberFormat="1" applyFont="1"/>
    <xf numFmtId="167" fontId="7" fillId="0" borderId="0" xfId="0" applyFont="1" applyAlignment="1">
      <alignment vertical="justify" wrapText="1"/>
    </xf>
    <xf numFmtId="167" fontId="7" fillId="0" borderId="33" xfId="0" applyFont="1" applyBorder="1" applyAlignment="1">
      <alignment horizontal="justify" vertical="justify" wrapText="1"/>
    </xf>
    <xf numFmtId="191" fontId="6" fillId="0" borderId="6" xfId="1" applyNumberFormat="1" applyFont="1" applyFill="1" applyBorder="1"/>
    <xf numFmtId="191" fontId="6" fillId="0" borderId="34" xfId="1" applyNumberFormat="1" applyFont="1" applyFill="1" applyBorder="1"/>
    <xf numFmtId="204" fontId="6" fillId="0" borderId="34" xfId="0" applyNumberFormat="1" applyFont="1" applyBorder="1"/>
    <xf numFmtId="167" fontId="69" fillId="0" borderId="0" xfId="0" applyFont="1"/>
    <xf numFmtId="167" fontId="9" fillId="0" borderId="0" xfId="0" applyFont="1" applyAlignment="1">
      <alignment horizontal="center"/>
    </xf>
    <xf numFmtId="207" fontId="7" fillId="0" borderId="0" xfId="2" quotePrefix="1" applyNumberFormat="1" applyFont="1" applyAlignment="1">
      <alignment horizontal="left" vertical="center"/>
    </xf>
    <xf numFmtId="179" fontId="7" fillId="0" borderId="0" xfId="2" applyNumberFormat="1" applyFont="1"/>
    <xf numFmtId="177" fontId="7" fillId="0" borderId="6" xfId="1" applyNumberFormat="1" applyFont="1" applyFill="1" applyBorder="1"/>
    <xf numFmtId="173" fontId="7" fillId="0" borderId="0" xfId="1" applyNumberFormat="1" applyFont="1" applyFill="1" applyAlignment="1" applyProtection="1">
      <alignment horizontal="center"/>
    </xf>
    <xf numFmtId="5" fontId="7" fillId="0" borderId="0" xfId="2" applyNumberFormat="1" applyFont="1" applyFill="1" applyAlignment="1"/>
    <xf numFmtId="177" fontId="12" fillId="0" borderId="0" xfId="1" applyNumberFormat="1" applyFont="1" applyFill="1" applyBorder="1"/>
    <xf numFmtId="167" fontId="70" fillId="0" borderId="0" xfId="0" applyFont="1"/>
    <xf numFmtId="0" fontId="14" fillId="0" borderId="0" xfId="5" applyFont="1" applyAlignment="1">
      <alignment wrapText="1"/>
    </xf>
    <xf numFmtId="187" fontId="5" fillId="0" borderId="0" xfId="5" applyNumberFormat="1" applyFont="1" applyAlignment="1">
      <alignment horizontal="center"/>
    </xf>
    <xf numFmtId="193" fontId="7" fillId="0" borderId="0" xfId="0" quotePrefix="1" applyNumberFormat="1" applyFont="1" applyAlignment="1">
      <alignment horizontal="center"/>
    </xf>
    <xf numFmtId="167" fontId="7" fillId="0" borderId="0" xfId="0" applyFont="1" applyAlignment="1">
      <alignment horizontal="center" vertical="center"/>
    </xf>
    <xf numFmtId="203" fontId="69" fillId="0" borderId="0" xfId="1" applyNumberFormat="1" applyFont="1"/>
    <xf numFmtId="191" fontId="69" fillId="0" borderId="0" xfId="1" applyNumberFormat="1" applyFont="1"/>
    <xf numFmtId="177" fontId="44" fillId="25" borderId="0" xfId="1" applyNumberFormat="1" applyFont="1" applyFill="1"/>
    <xf numFmtId="187" fontId="7" fillId="0" borderId="0" xfId="0" quotePrefix="1" applyNumberFormat="1" applyFont="1"/>
    <xf numFmtId="167" fontId="7" fillId="0" borderId="0" xfId="0" quotePrefix="1" applyFont="1" applyAlignment="1">
      <alignment horizontal="center" vertical="center"/>
    </xf>
    <xf numFmtId="167" fontId="34" fillId="0" borderId="0" xfId="0" applyFont="1" applyAlignment="1">
      <alignment horizontal="center" vertical="center"/>
    </xf>
    <xf numFmtId="187" fontId="9" fillId="0" borderId="0" xfId="0" quotePrefix="1" applyNumberFormat="1" applyFont="1" applyAlignment="1">
      <alignment horizontal="right"/>
    </xf>
    <xf numFmtId="167" fontId="18" fillId="0" borderId="0" xfId="0" applyFont="1" applyAlignment="1">
      <alignment horizontal="center" vertical="center" wrapText="1"/>
    </xf>
    <xf numFmtId="177" fontId="44" fillId="25" borderId="25" xfId="1" applyNumberFormat="1" applyFont="1" applyFill="1" applyBorder="1"/>
    <xf numFmtId="167" fontId="13" fillId="25" borderId="0" xfId="0" applyFont="1" applyFill="1"/>
    <xf numFmtId="181" fontId="71" fillId="25" borderId="0" xfId="0" applyNumberFormat="1" applyFont="1" applyFill="1"/>
    <xf numFmtId="182" fontId="44" fillId="25" borderId="0" xfId="5" quotePrefix="1" applyNumberFormat="1" applyFont="1" applyFill="1"/>
    <xf numFmtId="192" fontId="44" fillId="25" borderId="0" xfId="0" applyNumberFormat="1" applyFont="1" applyFill="1"/>
    <xf numFmtId="167" fontId="71" fillId="25" borderId="0" xfId="0" applyFont="1" applyFill="1"/>
    <xf numFmtId="192" fontId="71" fillId="25" borderId="0" xfId="0" applyNumberFormat="1" applyFont="1" applyFill="1"/>
    <xf numFmtId="167" fontId="72" fillId="25" borderId="0" xfId="0" applyFont="1" applyFill="1" applyAlignment="1">
      <alignment horizontal="center"/>
    </xf>
    <xf numFmtId="177" fontId="44" fillId="0" borderId="0" xfId="1" applyNumberFormat="1" applyFont="1" applyFill="1"/>
    <xf numFmtId="167" fontId="7" fillId="0" borderId="0" xfId="0" applyFont="1" applyAlignment="1">
      <alignment vertical="top"/>
    </xf>
    <xf numFmtId="185" fontId="7" fillId="0" borderId="0" xfId="0" applyNumberFormat="1" applyFont="1" applyAlignment="1">
      <alignment vertical="center" wrapText="1"/>
    </xf>
    <xf numFmtId="167" fontId="7" fillId="0" borderId="0" xfId="0" applyFont="1" applyAlignment="1">
      <alignment vertical="center"/>
    </xf>
    <xf numFmtId="177" fontId="7" fillId="0" borderId="0" xfId="2" applyNumberFormat="1" applyFont="1" applyFill="1"/>
    <xf numFmtId="167" fontId="7" fillId="0" borderId="0" xfId="0" applyFont="1" applyAlignment="1">
      <alignment horizontal="justify" vertical="justify" wrapText="1"/>
    </xf>
    <xf numFmtId="167" fontId="7" fillId="0" borderId="0" xfId="0" applyFont="1" applyAlignment="1">
      <alignment horizontal="justify" vertical="justify"/>
    </xf>
    <xf numFmtId="167" fontId="7" fillId="0" borderId="0" xfId="0" applyFont="1" applyAlignment="1">
      <alignment horizontal="center" vertical="center" wrapText="1"/>
    </xf>
    <xf numFmtId="167" fontId="7" fillId="0" borderId="33" xfId="0" applyFont="1" applyBorder="1" applyAlignment="1">
      <alignment horizontal="right"/>
    </xf>
    <xf numFmtId="188" fontId="11" fillId="0" borderId="0" xfId="2" applyNumberFormat="1" applyFont="1" applyFill="1"/>
    <xf numFmtId="10" fontId="12" fillId="0" borderId="0" xfId="7" applyNumberFormat="1" applyFont="1" applyFill="1"/>
    <xf numFmtId="167" fontId="7" fillId="0" borderId="0" xfId="3" applyNumberFormat="1" applyFont="1"/>
    <xf numFmtId="177" fontId="10" fillId="0" borderId="0" xfId="1" applyNumberFormat="1" applyFont="1" applyFill="1"/>
    <xf numFmtId="43" fontId="7" fillId="0" borderId="0" xfId="3" applyNumberFormat="1" applyFont="1"/>
    <xf numFmtId="0" fontId="73" fillId="0" borderId="0" xfId="3" applyFont="1" applyAlignment="1">
      <alignment horizontal="right" vertical="top"/>
    </xf>
    <xf numFmtId="173" fontId="18" fillId="0" borderId="0" xfId="0" applyNumberFormat="1" applyFont="1"/>
    <xf numFmtId="167" fontId="7" fillId="0" borderId="0" xfId="0" applyFont="1" applyAlignment="1">
      <alignment horizontal="right" vertical="top"/>
    </xf>
    <xf numFmtId="43" fontId="7" fillId="0" borderId="0" xfId="1" applyFont="1"/>
    <xf numFmtId="176" fontId="7" fillId="0" borderId="0" xfId="1" applyNumberFormat="1" applyFont="1"/>
    <xf numFmtId="167" fontId="11" fillId="0" borderId="0" xfId="0" applyFont="1" applyAlignment="1">
      <alignment horizontal="center"/>
    </xf>
    <xf numFmtId="167" fontId="7" fillId="0" borderId="7" xfId="0" applyFont="1" applyBorder="1" applyAlignment="1">
      <alignment horizontal="center" wrapText="1"/>
    </xf>
    <xf numFmtId="167" fontId="34" fillId="0" borderId="0" xfId="0" applyFont="1" applyAlignment="1">
      <alignment horizontal="justify" vertical="justify"/>
    </xf>
    <xf numFmtId="167" fontId="9" fillId="0" borderId="0" xfId="0" applyFont="1" applyAlignment="1">
      <alignment vertical="center"/>
    </xf>
    <xf numFmtId="0" fontId="12" fillId="0" borderId="0" xfId="0" applyNumberFormat="1" applyFont="1"/>
    <xf numFmtId="0" fontId="20" fillId="0" borderId="0" xfId="0" applyNumberFormat="1" applyFont="1"/>
    <xf numFmtId="9" fontId="7" fillId="0" borderId="0" xfId="7" applyFont="1" applyFill="1"/>
    <xf numFmtId="167" fontId="75" fillId="0" borderId="0" xfId="0" applyFont="1" applyAlignment="1">
      <alignment horizontal="left" vertical="top"/>
    </xf>
    <xf numFmtId="191" fontId="12" fillId="0" borderId="0" xfId="1" applyNumberFormat="1" applyFont="1" applyFill="1"/>
    <xf numFmtId="167" fontId="43" fillId="26" borderId="0" xfId="0" applyFont="1" applyFill="1"/>
    <xf numFmtId="187" fontId="44" fillId="0" borderId="0" xfId="0" quotePrefix="1" applyNumberFormat="1" applyFont="1"/>
    <xf numFmtId="167" fontId="12" fillId="27" borderId="0" xfId="0" applyFont="1" applyFill="1"/>
    <xf numFmtId="10" fontId="12" fillId="27" borderId="0" xfId="7" applyNumberFormat="1" applyFont="1" applyFill="1"/>
    <xf numFmtId="167" fontId="0" fillId="27" borderId="0" xfId="0" applyFill="1"/>
    <xf numFmtId="198" fontId="12" fillId="0" borderId="0" xfId="0" applyNumberFormat="1" applyFont="1"/>
    <xf numFmtId="187" fontId="7" fillId="28" borderId="0" xfId="0" applyNumberFormat="1" applyFont="1" applyFill="1"/>
    <xf numFmtId="3" fontId="7" fillId="28" borderId="0" xfId="0" applyNumberFormat="1" applyFont="1" applyFill="1" applyAlignment="1">
      <alignment horizontal="right"/>
    </xf>
    <xf numFmtId="177" fontId="7" fillId="28" borderId="0" xfId="1" applyNumberFormat="1" applyFont="1" applyFill="1"/>
    <xf numFmtId="43" fontId="7" fillId="28" borderId="0" xfId="1" applyFont="1" applyFill="1"/>
    <xf numFmtId="177" fontId="7" fillId="28" borderId="0" xfId="0" applyNumberFormat="1" applyFont="1" applyFill="1"/>
    <xf numFmtId="167" fontId="76" fillId="0" borderId="0" xfId="0" applyFont="1"/>
    <xf numFmtId="167" fontId="0" fillId="0" borderId="0" xfId="0" applyAlignment="1">
      <alignment horizontal="center"/>
    </xf>
    <xf numFmtId="188" fontId="76" fillId="0" borderId="0" xfId="2" applyNumberFormat="1" applyFont="1" applyAlignment="1"/>
    <xf numFmtId="167" fontId="77" fillId="0" borderId="0" xfId="0" applyFont="1"/>
    <xf numFmtId="17" fontId="7" fillId="0" borderId="0" xfId="0" applyNumberFormat="1" applyFont="1" applyAlignment="1">
      <alignment horizontal="center"/>
    </xf>
    <xf numFmtId="188" fontId="15" fillId="0" borderId="0" xfId="2" applyNumberFormat="1" applyFont="1"/>
    <xf numFmtId="167" fontId="15" fillId="0" borderId="0" xfId="0" applyFont="1"/>
    <xf numFmtId="188" fontId="78" fillId="0" borderId="0" xfId="2" applyNumberFormat="1" applyFont="1" applyAlignment="1"/>
    <xf numFmtId="167" fontId="19" fillId="0" borderId="0" xfId="0" applyFont="1"/>
    <xf numFmtId="181" fontId="44" fillId="0" borderId="0" xfId="0" applyNumberFormat="1" applyFont="1" applyAlignment="1">
      <alignment horizontal="center"/>
    </xf>
    <xf numFmtId="43" fontId="12" fillId="0" borderId="0" xfId="1" applyFont="1" applyFill="1"/>
    <xf numFmtId="43" fontId="0" fillId="0" borderId="0" xfId="1" applyFont="1"/>
    <xf numFmtId="167" fontId="28" fillId="0" borderId="0" xfId="0" applyFont="1" applyAlignment="1">
      <alignment horizontal="center"/>
    </xf>
    <xf numFmtId="177" fontId="7" fillId="5" borderId="0" xfId="1" applyNumberFormat="1" applyFont="1" applyFill="1"/>
    <xf numFmtId="0" fontId="7" fillId="0" borderId="0" xfId="0" applyNumberFormat="1" applyFont="1" applyProtection="1">
      <protection locked="0"/>
    </xf>
    <xf numFmtId="177" fontId="7" fillId="27" borderId="0" xfId="1" applyNumberFormat="1" applyFont="1" applyFill="1"/>
    <xf numFmtId="187" fontId="7" fillId="5" borderId="0" xfId="0" applyNumberFormat="1" applyFont="1" applyFill="1"/>
    <xf numFmtId="187" fontId="7" fillId="27" borderId="0" xfId="0" applyNumberFormat="1" applyFont="1" applyFill="1"/>
    <xf numFmtId="167" fontId="7" fillId="0" borderId="33" xfId="0" applyFont="1" applyBorder="1" applyAlignment="1">
      <alignment horizontal="center" wrapText="1"/>
    </xf>
    <xf numFmtId="37" fontId="12" fillId="0" borderId="7" xfId="0" applyNumberFormat="1" applyFont="1" applyBorder="1" applyProtection="1">
      <protection locked="0"/>
    </xf>
    <xf numFmtId="37" fontId="12" fillId="0" borderId="1" xfId="0" applyNumberFormat="1" applyFont="1" applyBorder="1" applyProtection="1">
      <protection locked="0"/>
    </xf>
    <xf numFmtId="37" fontId="28" fillId="0" borderId="0" xfId="0" applyNumberFormat="1" applyFont="1" applyProtection="1">
      <protection locked="0"/>
    </xf>
    <xf numFmtId="37" fontId="12" fillId="0" borderId="33" xfId="0" applyNumberFormat="1" applyFont="1" applyBorder="1"/>
    <xf numFmtId="167" fontId="35" fillId="0" borderId="0" xfId="0" applyFont="1" applyAlignment="1">
      <alignment horizontal="left"/>
    </xf>
    <xf numFmtId="167" fontId="36" fillId="0" borderId="0" xfId="0" applyFont="1"/>
    <xf numFmtId="181" fontId="7" fillId="0" borderId="0" xfId="0" applyNumberFormat="1" applyFont="1" applyAlignment="1">
      <alignment horizontal="center"/>
    </xf>
    <xf numFmtId="173" fontId="7" fillId="0" borderId="0" xfId="0" applyNumberFormat="1" applyFont="1" applyAlignment="1">
      <alignment horizontal="center"/>
    </xf>
    <xf numFmtId="167" fontId="40" fillId="0" borderId="0" xfId="0" applyFont="1"/>
    <xf numFmtId="181" fontId="7" fillId="0" borderId="0" xfId="0" applyNumberFormat="1" applyFont="1"/>
    <xf numFmtId="207" fontId="7" fillId="0" borderId="0" xfId="2" quotePrefix="1" applyNumberFormat="1" applyFont="1" applyFill="1" applyAlignment="1">
      <alignment horizontal="left" vertical="center"/>
    </xf>
    <xf numFmtId="5" fontId="7" fillId="0" borderId="0" xfId="5" applyNumberFormat="1" applyFont="1" applyAlignment="1">
      <alignment horizontal="center"/>
    </xf>
    <xf numFmtId="3" fontId="7" fillId="0" borderId="0" xfId="5" applyNumberFormat="1" applyFont="1" applyAlignment="1">
      <alignment horizontal="center"/>
    </xf>
    <xf numFmtId="0" fontId="7" fillId="0" borderId="0" xfId="5" quotePrefix="1" applyFont="1" applyAlignment="1">
      <alignment horizontal="right"/>
    </xf>
    <xf numFmtId="181" fontId="7" fillId="0" borderId="0" xfId="5" applyNumberFormat="1" applyFont="1"/>
    <xf numFmtId="178" fontId="7" fillId="0" borderId="0" xfId="5" applyNumberFormat="1" applyFont="1" applyAlignment="1">
      <alignment horizontal="center"/>
    </xf>
    <xf numFmtId="184" fontId="7" fillId="0" borderId="0" xfId="5" applyNumberFormat="1" applyFont="1" applyAlignment="1">
      <alignment horizontal="center"/>
    </xf>
    <xf numFmtId="177" fontId="7" fillId="0" borderId="0" xfId="0" applyNumberFormat="1" applyFont="1"/>
    <xf numFmtId="177" fontId="7" fillId="0" borderId="0" xfId="0" applyNumberFormat="1" applyFont="1" applyAlignment="1">
      <alignment horizontal="right"/>
    </xf>
    <xf numFmtId="185" fontId="7" fillId="0" borderId="0" xfId="0" quotePrefix="1" applyNumberFormat="1" applyFont="1" applyAlignment="1">
      <alignment horizontal="center"/>
    </xf>
    <xf numFmtId="196" fontId="7" fillId="0" borderId="0" xfId="0" applyNumberFormat="1" applyFont="1" applyAlignment="1">
      <alignment horizontal="right"/>
    </xf>
    <xf numFmtId="49" fontId="7" fillId="0" borderId="0" xfId="0" applyNumberFormat="1" applyFont="1" applyAlignment="1">
      <alignment horizontal="right" vertical="top"/>
    </xf>
    <xf numFmtId="5" fontId="7" fillId="0" borderId="3" xfId="0" applyNumberFormat="1" applyFont="1" applyBorder="1" applyAlignment="1">
      <alignment horizontal="right"/>
    </xf>
    <xf numFmtId="37" fontId="7" fillId="0" borderId="0" xfId="0" applyNumberFormat="1" applyFont="1" applyAlignment="1">
      <alignment horizontal="right"/>
    </xf>
    <xf numFmtId="208" fontId="7" fillId="0" borderId="33" xfId="2" applyNumberFormat="1" applyFont="1" applyFill="1" applyBorder="1" applyAlignment="1">
      <alignment vertical="justify"/>
    </xf>
    <xf numFmtId="188" fontId="7" fillId="0" borderId="33" xfId="2" applyNumberFormat="1" applyFont="1" applyFill="1" applyBorder="1" applyAlignment="1">
      <alignment horizontal="justify" vertical="justify" wrapText="1"/>
    </xf>
    <xf numFmtId="185" fontId="7" fillId="0" borderId="0" xfId="4" applyNumberFormat="1" applyFont="1"/>
    <xf numFmtId="185" fontId="7" fillId="0" borderId="0" xfId="3" applyNumberFormat="1" applyFont="1" applyAlignment="1">
      <alignment horizontal="center"/>
    </xf>
    <xf numFmtId="185" fontId="7" fillId="0" borderId="7" xfId="3" applyNumberFormat="1" applyFont="1" applyBorder="1" applyAlignment="1">
      <alignment horizontal="center"/>
    </xf>
    <xf numFmtId="0" fontId="7" fillId="0" borderId="7" xfId="3" applyFont="1" applyBorder="1" applyAlignment="1">
      <alignment horizontal="center"/>
    </xf>
    <xf numFmtId="0" fontId="7" fillId="0" borderId="0" xfId="3" quotePrefix="1" applyFont="1" applyAlignment="1">
      <alignment horizontal="center"/>
    </xf>
    <xf numFmtId="187" fontId="7" fillId="0" borderId="0" xfId="3" applyNumberFormat="1" applyFont="1" applyAlignment="1">
      <alignment vertical="top"/>
    </xf>
    <xf numFmtId="189" fontId="7" fillId="0" borderId="0" xfId="3" applyNumberFormat="1" applyFont="1"/>
    <xf numFmtId="187" fontId="7" fillId="0" borderId="0" xfId="3" applyNumberFormat="1" applyFont="1"/>
    <xf numFmtId="0" fontId="7" fillId="0" borderId="0" xfId="3" applyFont="1" applyAlignment="1">
      <alignment horizontal="left"/>
    </xf>
    <xf numFmtId="37" fontId="7" fillId="0" borderId="0" xfId="3" applyNumberFormat="1" applyFont="1" applyAlignment="1">
      <alignment horizontal="center"/>
    </xf>
    <xf numFmtId="183" fontId="7" fillId="0" borderId="0" xfId="3" applyNumberFormat="1" applyFont="1"/>
    <xf numFmtId="3" fontId="7" fillId="0" borderId="7" xfId="0" applyNumberFormat="1" applyFont="1" applyBorder="1" applyAlignment="1">
      <alignment horizontal="right"/>
    </xf>
    <xf numFmtId="185" fontId="7" fillId="0" borderId="0" xfId="5" applyNumberFormat="1" applyFont="1" applyAlignment="1">
      <alignment horizontal="center"/>
    </xf>
    <xf numFmtId="5" fontId="7" fillId="0" borderId="7" xfId="0" applyNumberFormat="1" applyFont="1" applyBorder="1"/>
    <xf numFmtId="187" fontId="7" fillId="0" borderId="0" xfId="5" applyNumberFormat="1" applyFont="1" applyAlignment="1">
      <alignment horizontal="center"/>
    </xf>
    <xf numFmtId="185" fontId="5" fillId="0" borderId="0" xfId="0" applyNumberFormat="1" applyFont="1" applyAlignment="1">
      <alignment horizontal="left"/>
    </xf>
    <xf numFmtId="0" fontId="7" fillId="0" borderId="0" xfId="0" applyNumberFormat="1" applyFont="1" applyAlignment="1">
      <alignment horizontal="left"/>
    </xf>
    <xf numFmtId="200" fontId="5" fillId="0" borderId="0" xfId="0" applyNumberFormat="1" applyFont="1"/>
    <xf numFmtId="165" fontId="7" fillId="0" borderId="0" xfId="0" applyNumberFormat="1" applyFont="1"/>
    <xf numFmtId="167" fontId="30" fillId="0" borderId="0" xfId="0" applyFont="1" applyAlignment="1">
      <alignment horizontal="left"/>
    </xf>
    <xf numFmtId="188" fontId="7" fillId="0" borderId="33" xfId="2" applyNumberFormat="1" applyFont="1" applyFill="1" applyBorder="1"/>
    <xf numFmtId="167" fontId="7" fillId="0" borderId="7" xfId="0" applyFont="1" applyBorder="1" applyAlignment="1">
      <alignment horizontal="left"/>
    </xf>
    <xf numFmtId="6" fontId="9" fillId="0" borderId="0" xfId="0" applyNumberFormat="1" applyFont="1"/>
    <xf numFmtId="193" fontId="9" fillId="0" borderId="0" xfId="0" applyNumberFormat="1" applyFont="1"/>
    <xf numFmtId="171" fontId="7" fillId="0" borderId="7" xfId="0" applyNumberFormat="1" applyFont="1" applyBorder="1"/>
    <xf numFmtId="173" fontId="9" fillId="0" borderId="0" xfId="0" applyNumberFormat="1" applyFont="1"/>
    <xf numFmtId="167" fontId="6" fillId="0" borderId="5" xfId="0" quotePrefix="1" applyFont="1" applyBorder="1" applyAlignment="1">
      <alignment horizontal="left"/>
    </xf>
    <xf numFmtId="167" fontId="6" fillId="0" borderId="33" xfId="0" applyFont="1" applyBorder="1" applyAlignment="1">
      <alignment horizontal="left"/>
    </xf>
    <xf numFmtId="167" fontId="6" fillId="0" borderId="3" xfId="0" applyFont="1" applyBorder="1" applyAlignment="1">
      <alignment horizontal="right"/>
    </xf>
    <xf numFmtId="181" fontId="6" fillId="0" borderId="3" xfId="0" applyNumberFormat="1" applyFont="1" applyBorder="1" applyAlignment="1">
      <alignment horizontal="left"/>
    </xf>
    <xf numFmtId="167" fontId="6" fillId="0" borderId="0" xfId="0" applyFont="1" applyAlignment="1">
      <alignment horizontal="right"/>
    </xf>
    <xf numFmtId="181" fontId="6" fillId="0" borderId="0" xfId="0" applyNumberFormat="1" applyFont="1" applyAlignment="1">
      <alignment horizontal="left"/>
    </xf>
    <xf numFmtId="167" fontId="6" fillId="0" borderId="16" xfId="0" applyFont="1" applyBorder="1" applyAlignment="1">
      <alignment horizontal="left"/>
    </xf>
    <xf numFmtId="167" fontId="6" fillId="0" borderId="32" xfId="0" quotePrefix="1" applyFont="1" applyBorder="1" applyAlignment="1">
      <alignment horizontal="left"/>
    </xf>
    <xf numFmtId="167" fontId="22" fillId="0" borderId="0" xfId="0" applyFont="1"/>
    <xf numFmtId="181" fontId="7" fillId="51" borderId="0" xfId="0" applyNumberFormat="1" applyFont="1" applyFill="1"/>
    <xf numFmtId="167" fontId="7" fillId="51" borderId="0" xfId="0" quotePrefix="1" applyFont="1" applyFill="1" applyAlignment="1">
      <alignment horizontal="right"/>
    </xf>
    <xf numFmtId="177" fontId="7" fillId="51" borderId="0" xfId="1" applyNumberFormat="1" applyFont="1" applyFill="1" applyAlignment="1"/>
    <xf numFmtId="177" fontId="7" fillId="51" borderId="0" xfId="1" applyNumberFormat="1" applyFont="1" applyFill="1"/>
    <xf numFmtId="167" fontId="7" fillId="51" borderId="0" xfId="0" quotePrefix="1" applyFont="1" applyFill="1"/>
    <xf numFmtId="177" fontId="71" fillId="51" borderId="0" xfId="1" applyNumberFormat="1" applyFont="1" applyFill="1"/>
    <xf numFmtId="177" fontId="44" fillId="51" borderId="0" xfId="1" applyNumberFormat="1" applyFont="1" applyFill="1"/>
    <xf numFmtId="167" fontId="13" fillId="0" borderId="0" xfId="0" applyFont="1"/>
    <xf numFmtId="182" fontId="7" fillId="51" borderId="0" xfId="5" quotePrefix="1" applyNumberFormat="1" applyFont="1" applyFill="1"/>
    <xf numFmtId="44" fontId="7" fillId="51" borderId="0" xfId="2" applyFont="1" applyFill="1" applyAlignment="1">
      <alignment horizontal="right"/>
    </xf>
    <xf numFmtId="167" fontId="7" fillId="51" borderId="0" xfId="0" applyFont="1" applyFill="1"/>
    <xf numFmtId="179" fontId="7" fillId="51" borderId="0" xfId="2" applyNumberFormat="1" applyFont="1" applyFill="1"/>
    <xf numFmtId="188" fontId="76" fillId="51" borderId="0" xfId="2" applyNumberFormat="1" applyFont="1" applyFill="1" applyAlignment="1"/>
    <xf numFmtId="188" fontId="78" fillId="51" borderId="0" xfId="2" applyNumberFormat="1" applyFont="1" applyFill="1" applyAlignment="1"/>
    <xf numFmtId="189" fontId="6" fillId="0" borderId="32" xfId="0" applyNumberFormat="1" applyFont="1" applyBorder="1"/>
    <xf numFmtId="189" fontId="6" fillId="0" borderId="17" xfId="0" applyNumberFormat="1" applyFont="1" applyBorder="1"/>
    <xf numFmtId="8" fontId="43" fillId="51" borderId="0" xfId="0" applyNumberFormat="1" applyFont="1" applyFill="1"/>
    <xf numFmtId="169" fontId="39" fillId="51" borderId="0" xfId="0" applyNumberFormat="1" applyFont="1" applyFill="1"/>
    <xf numFmtId="2" fontId="43" fillId="51" borderId="0" xfId="0" applyNumberFormat="1" applyFont="1" applyFill="1"/>
    <xf numFmtId="167" fontId="12" fillId="51" borderId="0" xfId="0" applyFont="1" applyFill="1"/>
    <xf numFmtId="203" fontId="7" fillId="51" borderId="0" xfId="1" applyNumberFormat="1" applyFont="1" applyFill="1"/>
    <xf numFmtId="44" fontId="7" fillId="51" borderId="0" xfId="2" applyFont="1" applyFill="1"/>
    <xf numFmtId="167" fontId="12" fillId="0" borderId="0" xfId="0" applyFont="1" applyAlignment="1">
      <alignment horizontal="center"/>
    </xf>
    <xf numFmtId="167" fontId="21" fillId="21" borderId="0" xfId="0" applyFont="1" applyFill="1" applyAlignment="1">
      <alignment horizontal="center"/>
    </xf>
    <xf numFmtId="167" fontId="21" fillId="22" borderId="0" xfId="0" applyFont="1" applyFill="1" applyAlignment="1">
      <alignment horizontal="center"/>
    </xf>
    <xf numFmtId="167" fontId="20" fillId="5" borderId="0" xfId="0" applyFont="1" applyFill="1" applyAlignment="1">
      <alignment horizontal="center"/>
    </xf>
    <xf numFmtId="167" fontId="20" fillId="23" borderId="0" xfId="0" applyFont="1" applyFill="1" applyAlignment="1">
      <alignment horizontal="center"/>
    </xf>
    <xf numFmtId="167" fontId="7" fillId="24" borderId="0" xfId="0" applyFont="1" applyFill="1" applyAlignment="1">
      <alignment horizontal="center"/>
    </xf>
    <xf numFmtId="167" fontId="7" fillId="0" borderId="0" xfId="0" applyFont="1" applyAlignment="1">
      <alignment horizontal="center"/>
    </xf>
    <xf numFmtId="167" fontId="7" fillId="0" borderId="16" xfId="0" applyFont="1" applyBorder="1" applyAlignment="1">
      <alignment horizontal="center"/>
    </xf>
    <xf numFmtId="167" fontId="7" fillId="0" borderId="13" xfId="0" applyFont="1" applyBorder="1" applyAlignment="1">
      <alignment horizontal="center"/>
    </xf>
    <xf numFmtId="167" fontId="7" fillId="0" borderId="17" xfId="0" applyFont="1" applyBorder="1" applyAlignment="1">
      <alignment horizontal="center"/>
    </xf>
    <xf numFmtId="167" fontId="34" fillId="0" borderId="0" xfId="0" applyFont="1" applyAlignment="1">
      <alignment horizontal="center"/>
    </xf>
    <xf numFmtId="196" fontId="7" fillId="0" borderId="7" xfId="0" applyNumberFormat="1" applyFont="1" applyBorder="1" applyAlignment="1">
      <alignment horizontal="center"/>
    </xf>
    <xf numFmtId="167" fontId="11" fillId="0" borderId="0" xfId="0" applyFont="1" applyAlignment="1">
      <alignment horizontal="center"/>
    </xf>
    <xf numFmtId="167" fontId="11" fillId="0" borderId="0" xfId="0" quotePrefix="1" applyFont="1" applyAlignment="1">
      <alignment horizontal="center"/>
    </xf>
    <xf numFmtId="167" fontId="7" fillId="0" borderId="0" xfId="0" applyFont="1" applyAlignment="1">
      <alignment horizontal="justify" vertical="justify" wrapText="1"/>
    </xf>
    <xf numFmtId="167" fontId="19" fillId="0" borderId="0" xfId="0" applyFont="1" applyAlignment="1">
      <alignment horizontal="left" vertical="center"/>
    </xf>
    <xf numFmtId="167" fontId="9" fillId="0" borderId="0" xfId="0" applyFont="1" applyAlignment="1">
      <alignment horizontal="center"/>
    </xf>
    <xf numFmtId="167" fontId="9" fillId="0" borderId="0" xfId="0" applyFont="1" applyAlignment="1">
      <alignment horizontal="center" vertical="center"/>
    </xf>
    <xf numFmtId="167" fontId="66" fillId="0" borderId="0" xfId="0" applyFont="1" applyAlignment="1">
      <alignment horizontal="justify" vertical="justify" wrapText="1"/>
    </xf>
    <xf numFmtId="167" fontId="7" fillId="0" borderId="0" xfId="0" applyFont="1" applyAlignment="1">
      <alignment horizontal="justify" vertical="justify"/>
    </xf>
    <xf numFmtId="178" fontId="7" fillId="0" borderId="0" xfId="2" applyNumberFormat="1" applyFont="1" applyFill="1" applyAlignment="1">
      <alignment horizontal="center" vertical="center" wrapText="1"/>
    </xf>
    <xf numFmtId="10" fontId="7" fillId="0" borderId="0" xfId="7" applyNumberFormat="1" applyFont="1" applyFill="1" applyAlignment="1">
      <alignment horizontal="center" vertical="center" wrapText="1"/>
    </xf>
    <xf numFmtId="167" fontId="18" fillId="0" borderId="0" xfId="0" applyFont="1" applyAlignment="1">
      <alignment horizontal="center" vertical="center"/>
    </xf>
    <xf numFmtId="167" fontId="7" fillId="0" borderId="0" xfId="0" applyFont="1" applyAlignment="1">
      <alignment horizontal="center" vertical="center"/>
    </xf>
    <xf numFmtId="167" fontId="7" fillId="0" borderId="0" xfId="0" applyFont="1" applyAlignment="1">
      <alignment horizontal="center" wrapText="1"/>
    </xf>
    <xf numFmtId="167" fontId="7" fillId="0" borderId="0" xfId="0" applyFont="1" applyAlignment="1">
      <alignment horizontal="center" vertical="center" wrapText="1"/>
    </xf>
    <xf numFmtId="167" fontId="18" fillId="0" borderId="0" xfId="0" applyFont="1" applyAlignment="1">
      <alignment horizontal="left" vertical="center"/>
    </xf>
    <xf numFmtId="167" fontId="9" fillId="0" borderId="0" xfId="0" applyFont="1" applyAlignment="1">
      <alignment horizontal="left" vertical="center"/>
    </xf>
    <xf numFmtId="167" fontId="9" fillId="0" borderId="0" xfId="0" applyFont="1" applyAlignment="1">
      <alignment horizontal="left"/>
    </xf>
    <xf numFmtId="167" fontId="9" fillId="0" borderId="18" xfId="0" applyFont="1" applyBorder="1" applyAlignment="1">
      <alignment horizontal="center"/>
    </xf>
    <xf numFmtId="167" fontId="9" fillId="0" borderId="15" xfId="0" applyFont="1" applyBorder="1" applyAlignment="1">
      <alignment horizontal="center"/>
    </xf>
    <xf numFmtId="167" fontId="9" fillId="0" borderId="19" xfId="0" applyFont="1" applyBorder="1" applyAlignment="1">
      <alignment horizontal="center"/>
    </xf>
    <xf numFmtId="167" fontId="11" fillId="0" borderId="20" xfId="0" applyFont="1" applyBorder="1" applyAlignment="1">
      <alignment horizontal="center" vertical="center"/>
    </xf>
    <xf numFmtId="167" fontId="11" fillId="0" borderId="9" xfId="0" applyFont="1" applyBorder="1" applyAlignment="1">
      <alignment horizontal="center" vertical="center"/>
    </xf>
    <xf numFmtId="167" fontId="11" fillId="0" borderId="21" xfId="0" applyFont="1" applyBorder="1" applyAlignment="1">
      <alignment horizontal="center" vertical="center"/>
    </xf>
    <xf numFmtId="167" fontId="28" fillId="0" borderId="0" xfId="0" applyFont="1" applyAlignment="1">
      <alignment horizontal="center"/>
    </xf>
    <xf numFmtId="49" fontId="11" fillId="0" borderId="0" xfId="0" applyNumberFormat="1" applyFont="1" applyAlignment="1">
      <alignment horizontal="center" vertical="center"/>
    </xf>
    <xf numFmtId="49" fontId="12" fillId="0" borderId="0" xfId="0" applyNumberFormat="1" applyFont="1" applyAlignment="1">
      <alignment horizontal="center" vertical="center"/>
    </xf>
    <xf numFmtId="0" fontId="37" fillId="0" borderId="18" xfId="5" applyFont="1" applyBorder="1" applyAlignment="1">
      <alignment horizontal="center"/>
    </xf>
    <xf numFmtId="0" fontId="37" fillId="0" borderId="15" xfId="5" applyFont="1" applyBorder="1" applyAlignment="1">
      <alignment horizontal="center"/>
    </xf>
    <xf numFmtId="0" fontId="37" fillId="0" borderId="19" xfId="5" applyFont="1" applyBorder="1" applyAlignment="1">
      <alignment horizontal="center"/>
    </xf>
    <xf numFmtId="0" fontId="11" fillId="0" borderId="0" xfId="3" applyFont="1" applyAlignment="1">
      <alignment horizontal="center"/>
    </xf>
    <xf numFmtId="0" fontId="12" fillId="0" borderId="0" xfId="3" applyFont="1" applyAlignment="1">
      <alignment horizontal="center"/>
    </xf>
    <xf numFmtId="37" fontId="15" fillId="0" borderId="8" xfId="4" applyNumberFormat="1" applyFont="1" applyBorder="1" applyAlignment="1">
      <alignment horizontal="center"/>
    </xf>
    <xf numFmtId="37" fontId="11" fillId="0" borderId="0" xfId="4" applyNumberFormat="1" applyFont="1" applyAlignment="1">
      <alignment horizontal="center"/>
    </xf>
    <xf numFmtId="37" fontId="12" fillId="0" borderId="0" xfId="4" applyNumberFormat="1" applyFont="1" applyAlignment="1">
      <alignment horizontal="center"/>
    </xf>
    <xf numFmtId="167" fontId="74" fillId="0" borderId="0" xfId="0" applyFont="1" applyAlignment="1">
      <alignment horizontal="center" vertical="center" wrapText="1"/>
    </xf>
    <xf numFmtId="167" fontId="7" fillId="0" borderId="0" xfId="0" applyFont="1" applyAlignment="1">
      <alignment horizontal="justify" vertical="center"/>
    </xf>
    <xf numFmtId="167" fontId="7" fillId="0" borderId="0" xfId="0" applyFont="1" applyAlignment="1">
      <alignment horizontal="left" vertical="justify"/>
    </xf>
    <xf numFmtId="167" fontId="7" fillId="0" borderId="0" xfId="0" applyFont="1" applyAlignment="1">
      <alignment horizontal="left" vertical="justify" wrapText="1"/>
    </xf>
    <xf numFmtId="167" fontId="7" fillId="0" borderId="7" xfId="0" applyFont="1" applyBorder="1" applyAlignment="1">
      <alignment horizontal="center"/>
    </xf>
    <xf numFmtId="167" fontId="7" fillId="0" borderId="0" xfId="0" applyFont="1" applyAlignment="1">
      <alignment horizontal="left" vertical="center"/>
    </xf>
    <xf numFmtId="167" fontId="7" fillId="0" borderId="7" xfId="0" applyFont="1" applyBorder="1" applyAlignment="1">
      <alignment horizontal="center" wrapText="1"/>
    </xf>
    <xf numFmtId="0" fontId="37" fillId="0" borderId="2" xfId="5" applyFont="1" applyBorder="1" applyAlignment="1">
      <alignment horizontal="center"/>
    </xf>
    <xf numFmtId="0" fontId="37" fillId="0" borderId="3" xfId="5" applyFont="1" applyBorder="1" applyAlignment="1">
      <alignment horizontal="center"/>
    </xf>
    <xf numFmtId="0" fontId="37" fillId="0" borderId="4" xfId="5" applyFont="1" applyBorder="1" applyAlignment="1">
      <alignment horizontal="center"/>
    </xf>
    <xf numFmtId="0" fontId="11" fillId="0" borderId="0" xfId="5" applyFont="1" applyAlignment="1">
      <alignment horizontal="center"/>
    </xf>
    <xf numFmtId="167" fontId="9" fillId="0" borderId="16" xfId="0" applyFont="1" applyBorder="1" applyAlignment="1">
      <alignment horizontal="center"/>
    </xf>
    <xf numFmtId="167" fontId="9" fillId="0" borderId="13" xfId="0" applyFont="1" applyBorder="1" applyAlignment="1">
      <alignment horizontal="center"/>
    </xf>
    <xf numFmtId="167" fontId="9" fillId="0" borderId="17" xfId="0" applyFont="1" applyBorder="1" applyAlignment="1">
      <alignment horizontal="center"/>
    </xf>
    <xf numFmtId="0" fontId="12" fillId="0" borderId="0" xfId="5" applyFont="1" applyAlignment="1">
      <alignment horizontal="center"/>
    </xf>
    <xf numFmtId="167" fontId="7" fillId="0" borderId="0" xfId="0" applyFont="1" applyAlignment="1">
      <alignment horizontal="justify" vertical="center" wrapText="1"/>
    </xf>
    <xf numFmtId="0" fontId="27" fillId="0" borderId="0" xfId="5" applyFont="1" applyAlignment="1">
      <alignment horizontal="center"/>
    </xf>
    <xf numFmtId="167" fontId="18" fillId="0" borderId="0" xfId="0" applyFont="1" applyAlignment="1">
      <alignment horizontal="center"/>
    </xf>
    <xf numFmtId="167" fontId="40" fillId="0" borderId="33" xfId="0" applyFont="1" applyBorder="1" applyAlignment="1">
      <alignment horizontal="center" wrapText="1"/>
    </xf>
    <xf numFmtId="167" fontId="7" fillId="0" borderId="33" xfId="0" applyFont="1" applyBorder="1" applyAlignment="1">
      <alignment horizontal="center"/>
    </xf>
    <xf numFmtId="167" fontId="27" fillId="0" borderId="0" xfId="0" applyFont="1" applyAlignment="1">
      <alignment horizontal="center"/>
    </xf>
  </cellXfs>
  <cellStyles count="1017">
    <cellStyle name="20% - Accent1 2" xfId="270" xr:uid="{E9DAFEF8-50EB-4CAD-AC0A-36E460C69359}"/>
    <cellStyle name="20% - Accent1 3" xfId="271" xr:uid="{85EAEB0D-540E-461D-BA93-7AFDE15C1FDA}"/>
    <cellStyle name="20% - Accent2 2" xfId="272" xr:uid="{A6313DDB-3E6E-4315-B6B7-FD4771758DBB}"/>
    <cellStyle name="20% - Accent2 3" xfId="273" xr:uid="{B0875C27-285E-438C-B26F-20D644BDCFD6}"/>
    <cellStyle name="20% - Accent3 2" xfId="274" xr:uid="{CA03E7E4-887E-40D8-9335-CEE160EE2152}"/>
    <cellStyle name="20% - Accent3 3" xfId="275" xr:uid="{3615F1C8-1448-494D-8F73-7B147C64C7E5}"/>
    <cellStyle name="20% - Accent4 2" xfId="276" xr:uid="{5B35F776-1EF6-4EAA-A8F3-C4C97B41179D}"/>
    <cellStyle name="20% - Accent4 3" xfId="277" xr:uid="{1EA9648D-3C15-4678-AA95-02BD340BF3E0}"/>
    <cellStyle name="20% - Accent5 2" xfId="278" xr:uid="{124EF626-D388-4BA4-BBA8-D625C5429D06}"/>
    <cellStyle name="20% - Accent5 3" xfId="279" xr:uid="{CDCF41E8-944B-4B99-8B38-AE349898534D}"/>
    <cellStyle name="20% - Accent6 2" xfId="280" xr:uid="{216C03FE-0296-40B7-B2C8-1C259C38A905}"/>
    <cellStyle name="20% - Accent6 3" xfId="281" xr:uid="{B89D6643-4117-4FFF-A777-2A6B3CB68A1A}"/>
    <cellStyle name="40% - Accent1 2" xfId="282" xr:uid="{75856726-3C95-4FEE-BC8A-61CF7A101983}"/>
    <cellStyle name="40% - Accent1 3" xfId="283" xr:uid="{A492AA48-ED16-483E-8066-BD7B702F1F08}"/>
    <cellStyle name="40% - Accent2 2" xfId="284" xr:uid="{665AD6FC-D20A-40A0-8C04-EAB8FC7318B2}"/>
    <cellStyle name="40% - Accent2 3" xfId="285" xr:uid="{B598E8CE-7904-4D3D-BE81-69066F54B872}"/>
    <cellStyle name="40% - Accent3 2" xfId="286" xr:uid="{387BEB7D-7FF3-4154-A285-BF160F8CED24}"/>
    <cellStyle name="40% - Accent3 3" xfId="287" xr:uid="{66730F61-8349-490D-8FEF-1BC16BA929E8}"/>
    <cellStyle name="40% - Accent4 2" xfId="288" xr:uid="{E8F84B6B-64C7-42E1-80D7-80E1CBADE50D}"/>
    <cellStyle name="40% - Accent4 3" xfId="289" xr:uid="{C831F543-C7CB-4082-A39F-BEA02C1E943C}"/>
    <cellStyle name="40% - Accent5 2" xfId="290" xr:uid="{09D80469-0B6A-4376-8D8E-AFEF0089D680}"/>
    <cellStyle name="40% - Accent5 3" xfId="291" xr:uid="{C97B8998-C5DC-464D-BE47-EEDFD7896397}"/>
    <cellStyle name="40% - Accent6 2" xfId="292" xr:uid="{E70E2496-A2FD-4C36-9421-221A1F1715DC}"/>
    <cellStyle name="40% - Accent6 3" xfId="293" xr:uid="{6472427E-08CB-4104-9311-6D0BED3A9EA1}"/>
    <cellStyle name="60% - Accent1 2" xfId="11" xr:uid="{12ADE6A4-F979-4B2A-989B-6A210C732258}"/>
    <cellStyle name="60% - Accent1 2 2" xfId="294" xr:uid="{82FDEE35-321E-4F41-8704-F4C3416F810A}"/>
    <cellStyle name="60% - Accent1 3" xfId="295" xr:uid="{714BD6AA-A91C-4E13-81B5-F3C951C95F8E}"/>
    <cellStyle name="60% - Accent1 4" xfId="296" xr:uid="{D0D0CAE0-D480-405A-A319-CE3BA36C6167}"/>
    <cellStyle name="60% - Accent2 2" xfId="12" xr:uid="{A39A1E71-30D7-4598-8773-C6535F67E98E}"/>
    <cellStyle name="60% - Accent2 2 2" xfId="297" xr:uid="{2DA8A385-8CF1-4FF2-AA85-9341C6663D89}"/>
    <cellStyle name="60% - Accent2 3" xfId="298" xr:uid="{CD0E2F99-1217-497E-89A4-D408963CA12E}"/>
    <cellStyle name="60% - Accent2 4" xfId="299" xr:uid="{C8B5944A-2923-446F-B0C5-CB7FFC527C3B}"/>
    <cellStyle name="60% - Accent3 2" xfId="13" xr:uid="{7F621B70-4830-45F0-8506-55EDB3077993}"/>
    <cellStyle name="60% - Accent3 2 2" xfId="300" xr:uid="{EF07CF50-843A-463F-B87A-3B6917DEAC9B}"/>
    <cellStyle name="60% - Accent3 3" xfId="301" xr:uid="{D47D027C-340B-4013-9B15-362AA3C3CCB1}"/>
    <cellStyle name="60% - Accent3 4" xfId="302" xr:uid="{003401C1-CF67-4CD7-B790-C954B6F92053}"/>
    <cellStyle name="60% - Accent4 2" xfId="14" xr:uid="{69015D0E-EE30-4F40-ADE8-AD2E5E11BAD1}"/>
    <cellStyle name="60% - Accent4 2 2" xfId="303" xr:uid="{8E85A810-D6F9-4E04-A1C7-8125D538EB46}"/>
    <cellStyle name="60% - Accent4 3" xfId="304" xr:uid="{70EE724B-85E7-4CDC-82DC-95756D3BF95B}"/>
    <cellStyle name="60% - Accent4 4" xfId="305" xr:uid="{141FABAF-84B1-466E-A775-2E82F4713BFA}"/>
    <cellStyle name="60% - Accent5 2" xfId="15" xr:uid="{B0911A3E-1C26-480B-B41A-6327BCF9624B}"/>
    <cellStyle name="60% - Accent5 2 2" xfId="306" xr:uid="{1BDBA6BE-F2FF-435D-AE4C-41B5F1CFF7F4}"/>
    <cellStyle name="60% - Accent5 3" xfId="307" xr:uid="{58FD49F9-EAE4-443F-ACD9-8D94DFED55FC}"/>
    <cellStyle name="60% - Accent5 4" xfId="308" xr:uid="{658D4377-AF6F-4268-BF7C-0B4146D7FB70}"/>
    <cellStyle name="60% - Accent6 2" xfId="16" xr:uid="{C353E166-4452-4900-A8CA-5390D0B9AA12}"/>
    <cellStyle name="60% - Accent6 2 2" xfId="309" xr:uid="{AB1A2CC7-E082-4CB7-ACC6-1FFC285F7494}"/>
    <cellStyle name="60% - Accent6 3" xfId="310" xr:uid="{C0ECA7EF-0D86-4811-AFFA-410EFDF45878}"/>
    <cellStyle name="60% - Accent6 4" xfId="311" xr:uid="{AABD234A-95EC-45C2-80E1-9E1174A55A6D}"/>
    <cellStyle name="Accent1 2" xfId="17" xr:uid="{9024F31B-E063-4271-A7A6-C56689748E35}"/>
    <cellStyle name="Accent1 2 2" xfId="312" xr:uid="{EF9E6047-B854-42C7-9DFC-0136817DC91A}"/>
    <cellStyle name="Accent1 3" xfId="313" xr:uid="{196F3003-B7DD-4B1B-B184-C511BC62BBCA}"/>
    <cellStyle name="Accent1 4" xfId="314" xr:uid="{6FB5CDE6-83DD-49F5-9F98-71639960BA64}"/>
    <cellStyle name="Accent2 2" xfId="18" xr:uid="{02C60E8E-A309-40CE-9550-7BF71C4E7E19}"/>
    <cellStyle name="Accent2 2 2" xfId="315" xr:uid="{323D5941-4761-48BC-86FD-DF523696DF9A}"/>
    <cellStyle name="Accent2 3" xfId="316" xr:uid="{540F5130-22E2-4CFF-A036-7441843B0FE5}"/>
    <cellStyle name="Accent2 4" xfId="317" xr:uid="{65171C3F-768B-4188-8189-5CB202569289}"/>
    <cellStyle name="Accent3 2" xfId="19" xr:uid="{E6BCDE2B-001A-48D8-A673-6BEF95E8B3DE}"/>
    <cellStyle name="Accent3 2 2" xfId="318" xr:uid="{29E8CD35-B98B-4542-B9FB-772B0D476789}"/>
    <cellStyle name="Accent3 3" xfId="319" xr:uid="{6ED5A32C-680E-49A2-BC63-DF2D05F30254}"/>
    <cellStyle name="Accent3 4" xfId="320" xr:uid="{6711BA9A-2C4A-4D06-943C-177E941BF203}"/>
    <cellStyle name="Accent4 2" xfId="20" xr:uid="{E5765C6A-999C-412C-AB89-15CAD8AA415A}"/>
    <cellStyle name="Accent4 2 2" xfId="321" xr:uid="{85425CBA-6D0E-4D29-9DB4-3A2D5DF94BBC}"/>
    <cellStyle name="Accent4 3" xfId="322" xr:uid="{EA57DC92-EA4F-4F8D-A66A-AD4F62D0E935}"/>
    <cellStyle name="Accent4 4" xfId="323" xr:uid="{0D2D37AB-063B-4C14-8668-3BC5C938E206}"/>
    <cellStyle name="Accent5 2" xfId="21" xr:uid="{015C8EE3-5525-4D4A-8428-1B3D25205EF8}"/>
    <cellStyle name="Accent5 2 2" xfId="324" xr:uid="{3E303EAF-E3C0-4F2B-9CA4-157676BBC39D}"/>
    <cellStyle name="Accent5 3" xfId="325" xr:uid="{1E2ED584-A3C7-43B7-8AC9-584012B36223}"/>
    <cellStyle name="Accent5 4" xfId="326" xr:uid="{EF07181A-539D-4CAF-B3A7-8B84E3F9F991}"/>
    <cellStyle name="Accent6" xfId="6" builtinId="49"/>
    <cellStyle name="Accent6 2" xfId="22" xr:uid="{E7CB5D19-44DA-44DD-9A01-69F5EB136D83}"/>
    <cellStyle name="Accent6 2 2" xfId="327" xr:uid="{04423D92-EB52-4BFC-9525-F9FF01A36104}"/>
    <cellStyle name="Accent6 3" xfId="328" xr:uid="{607D4A5C-A766-4523-B720-A6B768203C86}"/>
    <cellStyle name="Accent6 4" xfId="329" xr:uid="{F72F7CD6-BF14-4573-862F-DBD88E6F0145}"/>
    <cellStyle name="Bad 2" xfId="330" xr:uid="{6533D966-E549-4EDB-8A4F-5279B7516E9B}"/>
    <cellStyle name="Bad 3" xfId="331" xr:uid="{6DF93733-DFA8-4B62-B3A9-7FCD77725352}"/>
    <cellStyle name="Calculation 2" xfId="332" xr:uid="{2550FD6B-48FE-4972-9E20-FACF6FD89F8D}"/>
    <cellStyle name="Calculation 3" xfId="333" xr:uid="{3CC347AD-52F7-4C29-8A6B-81B92B96DBFF}"/>
    <cellStyle name="Check Cell 2" xfId="334" xr:uid="{82640DF3-6FA2-4B40-88B1-9411E5E62FFF}"/>
    <cellStyle name="Check Cell 3" xfId="335" xr:uid="{79413EC4-E5A7-4B8F-A00D-6F088DD501B8}"/>
    <cellStyle name="ColumnAttributeAbovePrompt" xfId="23" xr:uid="{A8C55E9E-C3C4-4E9B-A2F4-76399AA8CC4C}"/>
    <cellStyle name="ColumnAttributeAbovePrompt 2" xfId="336" xr:uid="{FD63E8FF-83A0-495E-AE3F-1CAB46E110B9}"/>
    <cellStyle name="ColumnAttributePrompt" xfId="24" xr:uid="{560D5248-7CA3-44E7-AAD2-FC5E94BB50AF}"/>
    <cellStyle name="ColumnAttributePrompt 2" xfId="337" xr:uid="{9DE2B8B6-7600-4524-B394-1A3F6CE85152}"/>
    <cellStyle name="ColumnAttributeValue" xfId="25" xr:uid="{F01BD1F9-B274-4AE5-A9C2-ED9C4EAFF75C}"/>
    <cellStyle name="ColumnAttributeValue 2" xfId="338" xr:uid="{F8EB51CC-3646-4811-A91D-75FA2FB228B8}"/>
    <cellStyle name="ColumnHeadingPrompt" xfId="26" xr:uid="{F398932C-4ADE-4FF5-BAFB-6DE3DD0E6498}"/>
    <cellStyle name="ColumnHeadingPrompt 2" xfId="339" xr:uid="{EB7ACE6F-FB70-4B17-91DB-7ED5D13237C1}"/>
    <cellStyle name="ColumnHeadingValue" xfId="27" xr:uid="{D3D61D66-61D5-4050-8870-E478BF45EC87}"/>
    <cellStyle name="ColumnHeadingValue 2" xfId="340" xr:uid="{786793F5-F5DB-4763-B39B-CCFFE5CBD66F}"/>
    <cellStyle name="Comma" xfId="1" builtinId="3"/>
    <cellStyle name="Comma [0] 2" xfId="28" xr:uid="{6E815DBD-F12F-40DD-8E0F-6AC0E76D21A0}"/>
    <cellStyle name="Comma [0] 2 2" xfId="29" xr:uid="{D6A1B4A8-6073-431F-A8CE-9D459570D531}"/>
    <cellStyle name="Comma 2" xfId="30" xr:uid="{88DF8700-89DA-4EB5-B2BD-5B53B9CB955F}"/>
    <cellStyle name="Comma 2 2" xfId="31" xr:uid="{B3E65732-B8E3-4320-8573-78CA86E5F593}"/>
    <cellStyle name="Comma 2 2 2" xfId="32" xr:uid="{D272BE20-E5A3-4F56-890E-A3384C46C7FA}"/>
    <cellStyle name="Comma 2 2 3" xfId="341" xr:uid="{B9BE496E-58D9-45A3-A7DB-EE999258D5F7}"/>
    <cellStyle name="Comma 2 3" xfId="33" xr:uid="{B2764138-4631-48CF-8D69-F44785257D96}"/>
    <cellStyle name="Comma 2 3 2" xfId="34" xr:uid="{BD78E7E0-F8E8-458B-BA52-DFB0D2F65359}"/>
    <cellStyle name="Comma 2 3 3" xfId="342" xr:uid="{9DDB6F11-79A9-4519-A131-1070BE14E25A}"/>
    <cellStyle name="Comma 3" xfId="35" xr:uid="{CAD80239-15BD-4FD3-996D-1A387B488447}"/>
    <cellStyle name="Comma 3 10" xfId="343" xr:uid="{84283F1B-A5A2-4ACC-A96B-9CF69453BA72}"/>
    <cellStyle name="Comma 3 2" xfId="36" xr:uid="{582D31E2-BB91-4EA0-B422-38D5FF784EFF}"/>
    <cellStyle name="Comma 3 2 2" xfId="37" xr:uid="{4FA146C6-2898-40E1-A27C-E61A507DF5AC}"/>
    <cellStyle name="Comma 3 2 2 2" xfId="38" xr:uid="{93E38FF9-9FA0-43DA-873B-D59137D35DB2}"/>
    <cellStyle name="Comma 3 2 2 2 2" xfId="39" xr:uid="{9FEBF199-7BF3-4296-839D-2FC9204B0D35}"/>
    <cellStyle name="Comma 3 2 2 2 2 2" xfId="348" xr:uid="{F9322761-FFAC-412F-A1DA-FBA9FFDE6C84}"/>
    <cellStyle name="Comma 3 2 2 2 2 2 2" xfId="349" xr:uid="{8452B339-70FB-4D61-BD9E-DDC88DD3941E}"/>
    <cellStyle name="Comma 3 2 2 2 2 3" xfId="350" xr:uid="{74B92980-E322-42D9-B11D-39E5F4A6DE7B}"/>
    <cellStyle name="Comma 3 2 2 2 2 4" xfId="347" xr:uid="{FD874D58-73F2-4DBB-BC7E-12C8E83F60F5}"/>
    <cellStyle name="Comma 3 2 2 2 3" xfId="351" xr:uid="{FD225078-747C-4D52-B570-4A41DBD74D02}"/>
    <cellStyle name="Comma 3 2 2 2 3 2" xfId="352" xr:uid="{C425FFFD-C286-49AF-9E60-A86513D91A43}"/>
    <cellStyle name="Comma 3 2 2 2 4" xfId="353" xr:uid="{08129406-5365-4EB1-AA0D-C44B26C857FB}"/>
    <cellStyle name="Comma 3 2 2 2 5" xfId="346" xr:uid="{15024023-7D37-47BE-B1B3-215E5C84FAE2}"/>
    <cellStyle name="Comma 3 2 2 3" xfId="40" xr:uid="{881AD442-3B56-4F44-8959-1E3F6C71AC78}"/>
    <cellStyle name="Comma 3 2 2 3 2" xfId="355" xr:uid="{DFFF2FA9-08BD-4271-A10B-F436AE7A0F3F}"/>
    <cellStyle name="Comma 3 2 2 3 2 2" xfId="356" xr:uid="{56FB7254-41A8-4FC0-961E-1458AC23C955}"/>
    <cellStyle name="Comma 3 2 2 3 3" xfId="357" xr:uid="{7AE01435-DB9A-4E83-BF5E-F45D92700FAE}"/>
    <cellStyle name="Comma 3 2 2 3 4" xfId="354" xr:uid="{17C15232-59F8-4DC5-B921-571A1038CFE9}"/>
    <cellStyle name="Comma 3 2 2 4" xfId="358" xr:uid="{AC506CF4-51CC-458E-848C-B23188815F22}"/>
    <cellStyle name="Comma 3 2 2 4 2" xfId="359" xr:uid="{20649141-A481-4F89-BFED-5526ACFDA8B0}"/>
    <cellStyle name="Comma 3 2 2 5" xfId="360" xr:uid="{E518683C-37C7-439B-AF8E-D2FDA5137BF7}"/>
    <cellStyle name="Comma 3 2 2 6" xfId="345" xr:uid="{79A62B4B-7013-40B7-A6C0-82D4410028CA}"/>
    <cellStyle name="Comma 3 2 3" xfId="41" xr:uid="{9EC71C14-E579-4422-88A5-03B55D4F10CF}"/>
    <cellStyle name="Comma 3 2 3 2" xfId="42" xr:uid="{1CF3E6E6-F3FC-4446-AFFC-C8695EB461DF}"/>
    <cellStyle name="Comma 3 2 3 2 2" xfId="43" xr:uid="{3729C977-07D8-4973-A5BD-90A4DD78B5E1}"/>
    <cellStyle name="Comma 3 2 3 2 2 2" xfId="364" xr:uid="{597ADB70-824D-474D-8496-554F1D36D4D4}"/>
    <cellStyle name="Comma 3 2 3 2 2 3" xfId="363" xr:uid="{6B60DBD4-2C03-4BE8-ABA5-EBDE5D1A87C0}"/>
    <cellStyle name="Comma 3 2 3 2 3" xfId="365" xr:uid="{35E0F8FC-6A92-438E-9D03-F2A65D17A529}"/>
    <cellStyle name="Comma 3 2 3 2 4" xfId="362" xr:uid="{D798564E-38CA-45FE-9E6A-F24FA33FBF3E}"/>
    <cellStyle name="Comma 3 2 3 3" xfId="44" xr:uid="{3809AD1A-C117-49E3-9AC7-83D2D002F1DE}"/>
    <cellStyle name="Comma 3 2 3 3 2" xfId="367" xr:uid="{AAAF29E3-2D4A-4D25-94A3-3FA2332CBB48}"/>
    <cellStyle name="Comma 3 2 3 3 3" xfId="366" xr:uid="{CA3941F3-8C39-4795-9358-A7C4BDC5A6DE}"/>
    <cellStyle name="Comma 3 2 3 4" xfId="368" xr:uid="{AE7D3014-CD44-4856-BC22-0BBDE6127D56}"/>
    <cellStyle name="Comma 3 2 3 5" xfId="361" xr:uid="{E3593914-02A5-4755-AC0A-A3E17D580595}"/>
    <cellStyle name="Comma 3 2 4" xfId="45" xr:uid="{E8795255-BB67-4E99-B7AF-762CA4F6597C}"/>
    <cellStyle name="Comma 3 2 4 2" xfId="46" xr:uid="{38B8D600-F002-47B3-BD72-9FF0E9F625E9}"/>
    <cellStyle name="Comma 3 2 4 2 2" xfId="371" xr:uid="{510ADF6F-B8B1-4FA5-9414-BD7DBE75EC3F}"/>
    <cellStyle name="Comma 3 2 4 2 2 2" xfId="372" xr:uid="{E2EB5DC6-34F8-48C2-A933-16169A1B0671}"/>
    <cellStyle name="Comma 3 2 4 2 3" xfId="373" xr:uid="{B3321C8C-44C9-479F-9B1B-D06BF4440328}"/>
    <cellStyle name="Comma 3 2 4 2 4" xfId="370" xr:uid="{994F2588-AE9B-4D6A-8BB2-15D524B8D766}"/>
    <cellStyle name="Comma 3 2 4 3" xfId="374" xr:uid="{B5EAC0AB-C12B-45C7-BDDC-5E71B744F9CE}"/>
    <cellStyle name="Comma 3 2 4 3 2" xfId="375" xr:uid="{477D3B85-94E2-4211-B591-AC2748A3BDA0}"/>
    <cellStyle name="Comma 3 2 4 4" xfId="376" xr:uid="{7D016C06-2A3B-4C2E-BAE3-AA6167052684}"/>
    <cellStyle name="Comma 3 2 4 5" xfId="369" xr:uid="{A0418AC5-53C7-4F71-8D82-B04BF432371C}"/>
    <cellStyle name="Comma 3 2 5" xfId="47" xr:uid="{6CF4A9F0-F8B0-4CF4-B8C0-42C43DEAC02E}"/>
    <cellStyle name="Comma 3 2 5 2" xfId="378" xr:uid="{844972B4-1602-4BCF-B5FC-C59C94195E1A}"/>
    <cellStyle name="Comma 3 2 5 2 2" xfId="379" xr:uid="{E99A6376-0F9C-4C8B-BE25-22FF3B14D228}"/>
    <cellStyle name="Comma 3 2 5 3" xfId="380" xr:uid="{BD8CCE9E-02C5-43EB-BA5B-21F9AE3A1E6D}"/>
    <cellStyle name="Comma 3 2 5 4" xfId="377" xr:uid="{DAF1C337-4AB6-4F22-8402-558A32F7EA9E}"/>
    <cellStyle name="Comma 3 2 6" xfId="381" xr:uid="{25603FB8-F043-4512-914E-64F12CDA724E}"/>
    <cellStyle name="Comma 3 2 6 2" xfId="382" xr:uid="{D199E752-FD53-4F4D-8591-DFD82CADBDDF}"/>
    <cellStyle name="Comma 3 2 7" xfId="383" xr:uid="{B8AAB277-6FD3-4085-817F-393C6BA45D3C}"/>
    <cellStyle name="Comma 3 2 8" xfId="344" xr:uid="{1BA5AE13-2C99-430E-824C-8638E6FEA109}"/>
    <cellStyle name="Comma 3 3" xfId="48" xr:uid="{C1449348-8F80-44DB-A636-F9D89FFA2C49}"/>
    <cellStyle name="Comma 3 3 2" xfId="49" xr:uid="{B0391DA5-0988-4D1A-BDAD-06416F0F90F9}"/>
    <cellStyle name="Comma 3 3 2 2" xfId="50" xr:uid="{71EE0B1B-77E8-4B15-B096-89203BE763EA}"/>
    <cellStyle name="Comma 3 3 2 2 2" xfId="387" xr:uid="{CA3C5792-6358-4D4B-8294-5EE88BB75B54}"/>
    <cellStyle name="Comma 3 3 2 2 2 2" xfId="388" xr:uid="{82DCCC17-B2B1-4C54-BC20-F6BBAEB09217}"/>
    <cellStyle name="Comma 3 3 2 2 3" xfId="389" xr:uid="{929F45B8-7D05-4DD9-8E0D-44AA19B33E7B}"/>
    <cellStyle name="Comma 3 3 2 2 4" xfId="386" xr:uid="{17C74336-3A5E-468D-AEC8-1EA9ECA78D81}"/>
    <cellStyle name="Comma 3 3 2 3" xfId="390" xr:uid="{B03FE0E7-4030-4B8E-8177-940733445F46}"/>
    <cellStyle name="Comma 3 3 2 3 2" xfId="391" xr:uid="{62C0E98C-699B-4DD9-AAC5-560431D9C984}"/>
    <cellStyle name="Comma 3 3 2 4" xfId="392" xr:uid="{F358C605-477C-42A6-980C-2EE7A35202E7}"/>
    <cellStyle name="Comma 3 3 2 5" xfId="385" xr:uid="{6DDF4990-2F19-45BA-90AA-1210A3FA861F}"/>
    <cellStyle name="Comma 3 3 3" xfId="51" xr:uid="{D75B2DED-C574-4C01-93DA-5B807988E99E}"/>
    <cellStyle name="Comma 3 3 3 2" xfId="394" xr:uid="{72A68240-EEC0-4553-9260-E28C96DF7116}"/>
    <cellStyle name="Comma 3 3 3 2 2" xfId="395" xr:uid="{5FE010C1-F084-4C73-B0F9-C3459D9A92E7}"/>
    <cellStyle name="Comma 3 3 3 3" xfId="396" xr:uid="{816B4B89-B97B-46D0-95B6-D02FE5E3C933}"/>
    <cellStyle name="Comma 3 3 3 4" xfId="393" xr:uid="{274D290F-9515-41FF-A5E7-3781657A5BC3}"/>
    <cellStyle name="Comma 3 3 4" xfId="397" xr:uid="{9ADB0176-C63B-48C8-B570-7ACD3FBF8186}"/>
    <cellStyle name="Comma 3 3 4 2" xfId="398" xr:uid="{521467AF-B871-4D37-91EB-9642E9AA8B6D}"/>
    <cellStyle name="Comma 3 3 5" xfId="399" xr:uid="{4F065CDF-4612-4A7F-9A39-C0A0F9300B29}"/>
    <cellStyle name="Comma 3 3 6" xfId="384" xr:uid="{96533210-874F-4FDC-9701-37F146FBE716}"/>
    <cellStyle name="Comma 3 4" xfId="52" xr:uid="{AA80FBCC-3146-490D-8A5A-0C83F8643743}"/>
    <cellStyle name="Comma 3 4 2" xfId="53" xr:uid="{84A78E92-A3A7-457A-9F84-A21639896B5A}"/>
    <cellStyle name="Comma 3 4 2 2" xfId="54" xr:uid="{5CE56E3E-C533-4C34-A11C-E963BC326B8E}"/>
    <cellStyle name="Comma 3 4 2 2 2" xfId="403" xr:uid="{0ECBA2D1-15DD-4DE3-8B40-83EEB28BE3E8}"/>
    <cellStyle name="Comma 3 4 2 2 3" xfId="402" xr:uid="{DE4678E3-A54A-45B5-8C2E-A27D77F3E9E5}"/>
    <cellStyle name="Comma 3 4 2 3" xfId="404" xr:uid="{CB79C015-46E3-460A-8D4A-722499D8D32B}"/>
    <cellStyle name="Comma 3 4 2 4" xfId="401" xr:uid="{503B1BBF-214C-4DD1-828E-0107B80754BB}"/>
    <cellStyle name="Comma 3 4 3" xfId="55" xr:uid="{9C3F5F39-E28C-456E-A38C-9B73F8CE4EC5}"/>
    <cellStyle name="Comma 3 4 3 2" xfId="406" xr:uid="{F85EFE69-57CE-4A4E-A613-6389503CE272}"/>
    <cellStyle name="Comma 3 4 3 3" xfId="405" xr:uid="{8BD5F652-EFC1-427A-9D96-3624DB818029}"/>
    <cellStyle name="Comma 3 4 4" xfId="407" xr:uid="{6CE3F2C2-A838-4300-A3E9-31481987FFB2}"/>
    <cellStyle name="Comma 3 4 5" xfId="400" xr:uid="{4CF48DAF-113F-49D7-ABEB-42A56D371910}"/>
    <cellStyle name="Comma 3 5" xfId="56" xr:uid="{A6822816-BA74-4753-A1B1-95136D882E0E}"/>
    <cellStyle name="Comma 3 5 2" xfId="57" xr:uid="{08536284-0287-4C5D-886E-0AC64CDEFF10}"/>
    <cellStyle name="Comma 3 5 2 2" xfId="410" xr:uid="{97CC374E-C0F0-4743-BF37-DE5967AAB52D}"/>
    <cellStyle name="Comma 3 5 2 2 2" xfId="411" xr:uid="{212AD3A7-96A0-4CE7-A0C7-D17E36C52A27}"/>
    <cellStyle name="Comma 3 5 2 3" xfId="412" xr:uid="{D84F92D0-B83F-49A7-AD41-9D512BCE279E}"/>
    <cellStyle name="Comma 3 5 2 4" xfId="409" xr:uid="{55287D99-9A51-4DEF-9C31-668DF10A2E0D}"/>
    <cellStyle name="Comma 3 5 3" xfId="413" xr:uid="{F4D5766A-1F7F-49F3-83BE-F6954053020B}"/>
    <cellStyle name="Comma 3 5 3 2" xfId="414" xr:uid="{0BC8C881-02C7-4BDB-A51D-459F4A70CD17}"/>
    <cellStyle name="Comma 3 5 4" xfId="415" xr:uid="{46CA46D2-2EFA-407A-9A01-8A7E2CC8E31A}"/>
    <cellStyle name="Comma 3 5 5" xfId="408" xr:uid="{30970891-C8E8-4905-BACC-5496EC810CA1}"/>
    <cellStyle name="Comma 3 6" xfId="58" xr:uid="{AE92EE1E-3E8A-4BB3-9CCE-B5E040C0EA0C}"/>
    <cellStyle name="Comma 3 6 2" xfId="417" xr:uid="{8F315992-7609-4427-8F06-6DBE3FA9FB66}"/>
    <cellStyle name="Comma 3 6 2 2" xfId="418" xr:uid="{3A43C2A1-D58F-46B1-9E92-4F558977CCB1}"/>
    <cellStyle name="Comma 3 6 3" xfId="419" xr:uid="{9B5CF669-78BA-4007-8E03-355615C0D5A2}"/>
    <cellStyle name="Comma 3 6 4" xfId="416" xr:uid="{5BA9F067-490C-428A-AB13-DED96D8A6DA2}"/>
    <cellStyle name="Comma 3 7" xfId="420" xr:uid="{53B28B53-865D-4B40-8DB4-8025FB2EE1C4}"/>
    <cellStyle name="Comma 3 7 2" xfId="421" xr:uid="{9536F725-B374-4344-8F87-FF4A0179AD32}"/>
    <cellStyle name="Comma 3 8" xfId="422" xr:uid="{64ACBE3B-9C67-4DFB-A867-868BE680116C}"/>
    <cellStyle name="Comma 3 8 2" xfId="423" xr:uid="{135F67E1-36FC-4DA8-87D2-CF44359C4559}"/>
    <cellStyle name="Comma 3 9" xfId="424" xr:uid="{F4E1F18F-CC10-4165-9967-EBB961EEEF2A}"/>
    <cellStyle name="Comma 4" xfId="425" xr:uid="{96B43338-FD70-4FE3-AB7A-D182E53772C4}"/>
    <cellStyle name="Comma 5" xfId="426" xr:uid="{933138AD-E079-43D2-89DA-8E6FF0BF7785}"/>
    <cellStyle name="Comma 5 2" xfId="427" xr:uid="{F76EF1E6-408C-4F9A-B13A-F4E1875BF8BC}"/>
    <cellStyle name="Comma 6" xfId="428" xr:uid="{F2171209-1B94-4BEB-865A-10E015093B4A}"/>
    <cellStyle name="Comma 7" xfId="265" xr:uid="{08EFCFD3-5B3D-415B-A232-BC795E0CFF31}"/>
    <cellStyle name="Comma0" xfId="59" xr:uid="{9996F1A3-ED07-478D-8569-FCBA31721114}"/>
    <cellStyle name="Comma0 2" xfId="60" xr:uid="{12B0CD6C-152D-4E0B-8A89-413966D49629}"/>
    <cellStyle name="Currency" xfId="2" builtinId="4"/>
    <cellStyle name="Currency 2" xfId="61" xr:uid="{A952B595-8105-4811-952E-DB99ACF9C5C2}"/>
    <cellStyle name="Currency 2 2" xfId="62" xr:uid="{B3C94BA8-4A11-41C3-B6A1-BF40987F531F}"/>
    <cellStyle name="Currency 2 3" xfId="63" xr:uid="{9B177855-621D-449A-B76D-5A90008FEB60}"/>
    <cellStyle name="Currency 3" xfId="429" xr:uid="{8F950FE6-9780-4773-ADAB-E003F90A01D4}"/>
    <cellStyle name="Currency 4" xfId="430" xr:uid="{75303187-FA4E-4D82-81D0-44C7DB72F4DF}"/>
    <cellStyle name="Currency 5" xfId="266" xr:uid="{03317605-8EF9-410F-8F16-BFC9441879FF}"/>
    <cellStyle name="Currency0" xfId="64" xr:uid="{AC2C8178-BC57-4C6F-AA92-D63E156DF39B}"/>
    <cellStyle name="Currency0 2" xfId="65" xr:uid="{BC8F336D-5013-47F1-A3CF-EBA354A48CD4}"/>
    <cellStyle name="Date" xfId="66" xr:uid="{DDD45CDD-1034-4546-80C9-E1986FDAE732}"/>
    <cellStyle name="Date 2" xfId="67" xr:uid="{0D877B4F-8915-44F6-9AB6-81002E79774D}"/>
    <cellStyle name="Date 2 2" xfId="432" xr:uid="{7F0424B8-F426-4C74-BCB8-6AEFE9ECA7E8}"/>
    <cellStyle name="Date 3" xfId="431" xr:uid="{533DAB9E-FEE6-4FBE-8895-E260C3474FE0}"/>
    <cellStyle name="Euro" xfId="68" xr:uid="{273354AC-68EA-4591-B5F2-4A277415A68E}"/>
    <cellStyle name="Euro 2" xfId="69" xr:uid="{E891C0E8-B2EE-4246-A91B-5EFCF1E88C86}"/>
    <cellStyle name="Euro 2 2" xfId="434" xr:uid="{BEF4B515-193E-4326-8D7D-33BA2C254D2C}"/>
    <cellStyle name="Euro 3" xfId="433" xr:uid="{8ADEC08B-F744-45B0-9840-DD51D7CBAEA1}"/>
    <cellStyle name="Explanatory Text 2" xfId="435" xr:uid="{473B78DF-350B-4E05-8274-98E281473F94}"/>
    <cellStyle name="Explanatory Text 3" xfId="436" xr:uid="{C240577C-EE59-479F-903B-FC808849D679}"/>
    <cellStyle name="F2" xfId="70" xr:uid="{DDE5DA05-4B05-494C-A7FB-255B2EA8BF29}"/>
    <cellStyle name="F2 2" xfId="437" xr:uid="{0D918EC9-EB7D-47EA-997A-2136F0CF8C0E}"/>
    <cellStyle name="F3" xfId="71" xr:uid="{B2C4109B-0CE6-4120-8AF7-CD3E68D95B4B}"/>
    <cellStyle name="F3 2" xfId="438" xr:uid="{29D11B2C-C42A-47AA-8EEF-C38CC981018E}"/>
    <cellStyle name="F4" xfId="72" xr:uid="{D7C83728-5BE9-4354-A775-A857DA4EA031}"/>
    <cellStyle name="F4 2" xfId="439" xr:uid="{DB552F2A-118C-4788-8884-59CD8DC75C14}"/>
    <cellStyle name="F5" xfId="73" xr:uid="{76A3E15D-1339-4D08-82AA-45A14CFBDC76}"/>
    <cellStyle name="F5 2" xfId="74" xr:uid="{33A34216-EA9D-4AC1-839A-79AF2561FF6D}"/>
    <cellStyle name="F5 2 2" xfId="441" xr:uid="{B8EB755B-5CE2-4CA2-B796-2EE6FA75C65A}"/>
    <cellStyle name="F5 3" xfId="440" xr:uid="{B73AFB29-1038-457F-B6FB-EFA67DEA7F46}"/>
    <cellStyle name="F6" xfId="75" xr:uid="{35E4D043-9A30-4CD5-95E4-C92E6858485F}"/>
    <cellStyle name="F6 2" xfId="76" xr:uid="{33878AA0-4D05-4BF1-89DB-0D367B798CFB}"/>
    <cellStyle name="F6 2 2" xfId="443" xr:uid="{0C2B1680-43BD-44FC-A9E9-89E7871131C8}"/>
    <cellStyle name="F6 3" xfId="442" xr:uid="{E31744CA-BA67-4D9A-870D-4BBF75B30391}"/>
    <cellStyle name="F7" xfId="77" xr:uid="{34D55D29-1EC7-4044-A2D2-7ADCB6CEA3C5}"/>
    <cellStyle name="F7 2" xfId="444" xr:uid="{820543AE-566A-42EF-BDF8-9DFDC02CA22A}"/>
    <cellStyle name="F8" xfId="78" xr:uid="{F212159B-A8D6-4416-9FF5-278027B981F9}"/>
    <cellStyle name="F8 2" xfId="445" xr:uid="{4FBD1D61-D997-4C24-B6C7-DB0AF3E5782B}"/>
    <cellStyle name="Fixed" xfId="79" xr:uid="{C458B05C-A0B4-4686-BB8F-E9ACDFB3AB7C}"/>
    <cellStyle name="Fixed 2" xfId="80" xr:uid="{F2CBE2BD-24C0-4639-A7FC-03C917AF5A39}"/>
    <cellStyle name="Good 2" xfId="446" xr:uid="{59E97788-24EC-4E67-91A7-17B4F99E5A3F}"/>
    <cellStyle name="Good 3" xfId="447" xr:uid="{DE8B70B3-2145-4BE7-A9D9-50ED59C75175}"/>
    <cellStyle name="Heading 1 2" xfId="448" xr:uid="{7C0964AB-5776-4A85-B78B-E050E50846EB}"/>
    <cellStyle name="Heading 1 3" xfId="449" xr:uid="{39D88424-3988-44EC-B987-54905071B45C}"/>
    <cellStyle name="Heading 2 2" xfId="450" xr:uid="{97E4A968-F10D-411F-AE27-E5D49C3F2B7C}"/>
    <cellStyle name="Heading 2 3" xfId="451" xr:uid="{1FE45855-2E23-4F30-B85C-0D6A9A2FAA17}"/>
    <cellStyle name="Heading 3 2" xfId="81" xr:uid="{F9626932-2ECE-4D09-A429-DA5CDA3209C3}"/>
    <cellStyle name="Heading 3 2 2" xfId="453" xr:uid="{8B3A1B61-1610-4603-822B-FDA3110B4C59}"/>
    <cellStyle name="Heading 3 2 3" xfId="452" xr:uid="{6E1A7A6D-664A-4014-A059-24C36BCE6EE2}"/>
    <cellStyle name="Heading 3 3" xfId="454" xr:uid="{7457150D-8D32-41BF-A872-F7E5952E3C1C}"/>
    <cellStyle name="Heading 3 4" xfId="455" xr:uid="{82C2F4A0-38E2-42F9-B62F-25C24CC47378}"/>
    <cellStyle name="Heading 3 5" xfId="456" xr:uid="{10C30369-DCBB-4192-8EBF-F03693942457}"/>
    <cellStyle name="Heading 4 2" xfId="457" xr:uid="{0DF2CFE1-A2ED-4535-9CCC-64E330AD1D8A}"/>
    <cellStyle name="Heading 4 3" xfId="458" xr:uid="{9AF643F2-0C56-4633-A934-C8368D2BB65F}"/>
    <cellStyle name="Input 2" xfId="459" xr:uid="{42D1146F-E771-4B3D-9644-495DDD9E8EB6}"/>
    <cellStyle name="Input 3" xfId="460" xr:uid="{FCF2FD28-2624-4BA3-9E15-75062D428A49}"/>
    <cellStyle name="LineItemPrompt" xfId="82" xr:uid="{E8FA0E50-D9ED-4544-85CB-AB118E88C3AD}"/>
    <cellStyle name="LineItemPrompt 2" xfId="461" xr:uid="{90A56172-FB5D-412A-91D3-14DF40CE510B}"/>
    <cellStyle name="LineItemValue" xfId="83" xr:uid="{76B4CA20-E57D-4900-ADA2-80F995D76E25}"/>
    <cellStyle name="LineItemValue 2" xfId="462" xr:uid="{43EAED07-027E-47A9-926E-04D9F6245BEC}"/>
    <cellStyle name="Linked Cell 2" xfId="463" xr:uid="{D38425B2-52BB-4E8A-8287-9951CDB4C591}"/>
    <cellStyle name="Linked Cell 3" xfId="464" xr:uid="{DAFDF2DF-D448-460C-9324-5097E38EEE12}"/>
    <cellStyle name="Neutral 2" xfId="465" xr:uid="{8557B93E-69F3-47F1-9C77-862970A664A0}"/>
    <cellStyle name="Neutral 3" xfId="466" xr:uid="{7108B6F3-2E86-4958-96E9-E458A96EEDB2}"/>
    <cellStyle name="Normal" xfId="0" builtinId="0"/>
    <cellStyle name="Normal 10" xfId="269" xr:uid="{292DC4B0-CC2A-4DBC-92B4-6B0B352CFA93}"/>
    <cellStyle name="Normal 11" xfId="467" xr:uid="{3EFDB333-26D7-4022-AEC5-A189ABC29F68}"/>
    <cellStyle name="Normal 12" xfId="468" xr:uid="{2BD1A2A7-E28F-4351-A78D-1BB2C28CF10F}"/>
    <cellStyle name="Normal 13" xfId="1016" xr:uid="{FC8053A9-36C7-462B-B8DD-B62A4CA14DF9}"/>
    <cellStyle name="Normal 14" xfId="264" xr:uid="{4B7DEB3C-8C83-4DB3-BE14-C7BC0FFFBDD8}"/>
    <cellStyle name="Normal 2" xfId="84" xr:uid="{1FD1893D-5B77-44DD-A88F-4A8F99FE967A}"/>
    <cellStyle name="Normal 2 2" xfId="10" xr:uid="{1EA31B90-6195-4EE3-8915-AF0BDDD1D092}"/>
    <cellStyle name="Normal 2 2 2" xfId="85" xr:uid="{EAFBA7AA-C0B0-46B0-9453-AC8465D89FA7}"/>
    <cellStyle name="Normal 2 2 2 2" xfId="268" xr:uid="{BF213BC9-A5EA-4D4B-A15E-D179CC8A64F8}"/>
    <cellStyle name="Normal 2 2 3" xfId="469" xr:uid="{B3E10887-8234-425F-BDEF-F6679EE4D7E4}"/>
    <cellStyle name="Normal 2 3" xfId="86" xr:uid="{8CC7F699-ED84-4DD7-861C-AC4660E345AD}"/>
    <cellStyle name="Normal 2 3 2" xfId="470" xr:uid="{B682FEC3-03AE-449B-9C51-3316B80525B6}"/>
    <cellStyle name="Normal 2 4" xfId="267" xr:uid="{590E2155-8F49-48AB-9D46-52B3B56F7CAF}"/>
    <cellStyle name="Normal 29" xfId="471" xr:uid="{74B603B8-EBCF-4BCE-81D8-898AB133AAE2}"/>
    <cellStyle name="Normal 3" xfId="9" xr:uid="{266E4333-2D64-4000-871A-F0BFAD4F4074}"/>
    <cellStyle name="Normal 3 2" xfId="87" xr:uid="{73E0330F-1E31-4E78-A4E9-C5522FC34821}"/>
    <cellStyle name="Normal 3 2 2" xfId="473" xr:uid="{F0076792-A47F-49DC-AA2D-8F0FAB7FBE76}"/>
    <cellStyle name="Normal 3 3" xfId="472" xr:uid="{83F3622A-EF29-484E-95C8-7059A8CCD4AD}"/>
    <cellStyle name="Normal 34" xfId="1015" xr:uid="{38E5FD0A-7D3E-4CE8-B7ED-E6EC2E69ED57}"/>
    <cellStyle name="Normal 4" xfId="88" xr:uid="{0271D027-C4C0-476A-B8D1-310C132D26DB}"/>
    <cellStyle name="Normal 4 2" xfId="474" xr:uid="{BD38FB06-5F4A-419B-A23E-7C7FCD10331E}"/>
    <cellStyle name="Normal 5" xfId="89" xr:uid="{722408BD-6520-428A-9519-05DF95D53D6B}"/>
    <cellStyle name="Normal 5 10" xfId="476" xr:uid="{A29654D8-78A7-45BB-B1AB-E7AB85651084}"/>
    <cellStyle name="Normal 5 10 2" xfId="477" xr:uid="{C1093D73-3819-4397-8B6B-6CE3A6CCC2DE}"/>
    <cellStyle name="Normal 5 10 2 2" xfId="478" xr:uid="{D66F220B-C612-4715-936C-FD9D1682DAAA}"/>
    <cellStyle name="Normal 5 10 3" xfId="479" xr:uid="{BE72AA97-0AF0-4E6B-B31D-77E08D2BB77F}"/>
    <cellStyle name="Normal 5 11" xfId="480" xr:uid="{3CDD3447-90C3-4E04-9D22-CAE147F1A333}"/>
    <cellStyle name="Normal 5 11 2" xfId="481" xr:uid="{8162B6F7-B50E-4288-BC77-BBF492D54F93}"/>
    <cellStyle name="Normal 5 12" xfId="482" xr:uid="{85FE2104-3E56-4FE8-8CAF-9CA434F9C6D9}"/>
    <cellStyle name="Normal 5 13" xfId="475" xr:uid="{301699DB-C459-4792-AF43-592DC9F1DF9C}"/>
    <cellStyle name="Normal 5 2" xfId="90" xr:uid="{FB0AFFA4-BE85-45CB-B188-06CE77385AF2}"/>
    <cellStyle name="Normal 5 2 2" xfId="91" xr:uid="{A391B750-BB57-4705-88BB-CA58760907FA}"/>
    <cellStyle name="Normal 5 2 2 2" xfId="92" xr:uid="{508FACF9-8BEA-4498-A012-5CA681C2578D}"/>
    <cellStyle name="Normal 5 2 2 2 2" xfId="93" xr:uid="{68608E44-1057-489B-84CC-6E4EA6044DED}"/>
    <cellStyle name="Normal 5 2 2 2 2 2" xfId="94" xr:uid="{B6814A2E-6082-4A5C-BBA7-0AF4F05280D6}"/>
    <cellStyle name="Normal 5 2 2 2 2 2 2" xfId="488" xr:uid="{96CD2261-CC12-48D3-B48E-ECF4AA86304D}"/>
    <cellStyle name="Normal 5 2 2 2 2 2 2 2" xfId="489" xr:uid="{41578F81-3142-413C-9165-F8DB4DC0D514}"/>
    <cellStyle name="Normal 5 2 2 2 2 2 3" xfId="490" xr:uid="{71F4EF80-A688-47E6-BDF1-A16B06EBEE21}"/>
    <cellStyle name="Normal 5 2 2 2 2 2 4" xfId="487" xr:uid="{ACC6647E-8362-4EC6-AAE0-21FECD5EF2A6}"/>
    <cellStyle name="Normal 5 2 2 2 2 3" xfId="491" xr:uid="{FF7C105C-8FEB-4D1D-8CAB-AAF5581DCFF2}"/>
    <cellStyle name="Normal 5 2 2 2 2 3 2" xfId="492" xr:uid="{A1BA464B-E953-4F4A-BA96-99B60C9C6E46}"/>
    <cellStyle name="Normal 5 2 2 2 2 4" xfId="493" xr:uid="{BC7F83D7-2BAC-41B4-8483-24870299253B}"/>
    <cellStyle name="Normal 5 2 2 2 2 5" xfId="486" xr:uid="{0B7931FD-9E32-4C2D-9A68-3EA28F4C5F46}"/>
    <cellStyle name="Normal 5 2 2 2 3" xfId="95" xr:uid="{69168A61-E450-4C18-805B-F51D2C0076ED}"/>
    <cellStyle name="Normal 5 2 2 2 3 2" xfId="495" xr:uid="{DB36C6F6-F812-4D12-82CD-3A851651BF93}"/>
    <cellStyle name="Normal 5 2 2 2 3 2 2" xfId="496" xr:uid="{4D94B4D0-4F3C-4593-A5F8-B96F05D64438}"/>
    <cellStyle name="Normal 5 2 2 2 3 3" xfId="497" xr:uid="{AD22A484-51DC-475B-832A-D3CF36174D95}"/>
    <cellStyle name="Normal 5 2 2 2 3 4" xfId="494" xr:uid="{91D44FDB-C47C-4480-9AF7-6A355F0BAF55}"/>
    <cellStyle name="Normal 5 2 2 2 4" xfId="498" xr:uid="{A8CD3E98-FA35-4844-80D6-4EF3995F6C02}"/>
    <cellStyle name="Normal 5 2 2 2 4 2" xfId="499" xr:uid="{F4310D0D-CAA4-4FC8-B0BC-3B837B09E6B9}"/>
    <cellStyle name="Normal 5 2 2 2 5" xfId="500" xr:uid="{E728C003-DAE5-48F9-A66F-1808E0F20AB3}"/>
    <cellStyle name="Normal 5 2 2 2 6" xfId="485" xr:uid="{750F7AFE-EEA0-4DA5-8E0C-0E6437318F9B}"/>
    <cellStyle name="Normal 5 2 2 3" xfId="96" xr:uid="{7C513F1E-511A-424E-A8E7-7A8F5B9904B6}"/>
    <cellStyle name="Normal 5 2 2 3 2" xfId="97" xr:uid="{3938CF8F-E706-458B-AE4B-1E220648ED8F}"/>
    <cellStyle name="Normal 5 2 2 3 2 2" xfId="98" xr:uid="{70D3EA3B-D701-4B27-BAB2-6E09458CA9E3}"/>
    <cellStyle name="Normal 5 2 2 3 2 2 2" xfId="504" xr:uid="{4B104D37-5313-4E5C-A81A-1B172EAD7B1F}"/>
    <cellStyle name="Normal 5 2 2 3 2 2 3" xfId="503" xr:uid="{1F2EC935-2F32-492C-9209-F4438F207BC6}"/>
    <cellStyle name="Normal 5 2 2 3 2 3" xfId="505" xr:uid="{5D6F9655-4AC8-4BCB-983E-F042F9530A37}"/>
    <cellStyle name="Normal 5 2 2 3 2 4" xfId="502" xr:uid="{47C0B9BF-DAC8-42A1-8127-35061D8D65BD}"/>
    <cellStyle name="Normal 5 2 2 3 3" xfId="99" xr:uid="{2EBD1A7E-73F7-4DDF-8294-3125DA9FCA52}"/>
    <cellStyle name="Normal 5 2 2 3 3 2" xfId="507" xr:uid="{C769D0DD-ECCB-47A4-AD8A-AF426B2DEE31}"/>
    <cellStyle name="Normal 5 2 2 3 3 3" xfId="506" xr:uid="{403052EB-9618-49F4-A03C-3D8BE9C7AD0A}"/>
    <cellStyle name="Normal 5 2 2 3 4" xfId="508" xr:uid="{1F7E0590-94A9-4071-A812-DCFF690C8AFC}"/>
    <cellStyle name="Normal 5 2 2 3 5" xfId="501" xr:uid="{DA3FC980-A8E3-4B1D-90FD-2D654723758F}"/>
    <cellStyle name="Normal 5 2 2 4" xfId="100" xr:uid="{BFFDA7A0-835F-4D4B-B71F-41A02CE34EAA}"/>
    <cellStyle name="Normal 5 2 2 4 2" xfId="101" xr:uid="{2E388571-D8C0-453F-852E-E111EC2E7024}"/>
    <cellStyle name="Normal 5 2 2 4 2 2" xfId="511" xr:uid="{7B421C8E-F59D-4349-9F3A-00EFCC03A737}"/>
    <cellStyle name="Normal 5 2 2 4 2 2 2" xfId="512" xr:uid="{E7524EAD-986C-4023-B802-AE16FE9AE394}"/>
    <cellStyle name="Normal 5 2 2 4 2 3" xfId="513" xr:uid="{D7EB15D2-E0E5-4342-9EB4-61A042F2356B}"/>
    <cellStyle name="Normal 5 2 2 4 2 4" xfId="510" xr:uid="{4429C078-E1E3-427E-88AF-C03E828093B5}"/>
    <cellStyle name="Normal 5 2 2 4 3" xfId="514" xr:uid="{BE11F865-1AB8-454A-935B-4FCB9987839F}"/>
    <cellStyle name="Normal 5 2 2 4 3 2" xfId="515" xr:uid="{232F5027-CE7C-4999-8D6C-EDDA04651C2E}"/>
    <cellStyle name="Normal 5 2 2 4 4" xfId="516" xr:uid="{F70A53DF-EE07-4EAA-BBDC-AE97D6303EDF}"/>
    <cellStyle name="Normal 5 2 2 4 5" xfId="509" xr:uid="{DCCD3F4F-CB05-4DB3-AB9E-2270B0FF952E}"/>
    <cellStyle name="Normal 5 2 2 5" xfId="102" xr:uid="{08B85AA5-6FF4-4F99-AF86-C43CB5696E62}"/>
    <cellStyle name="Normal 5 2 2 5 2" xfId="518" xr:uid="{0C7DBE6D-4F71-4793-AC58-0ACAA58E7C91}"/>
    <cellStyle name="Normal 5 2 2 5 2 2" xfId="519" xr:uid="{0D620121-49AF-4D6E-9632-CC8714C7ECAA}"/>
    <cellStyle name="Normal 5 2 2 5 3" xfId="520" xr:uid="{DB82001D-85FE-44B8-8715-746458C9C71F}"/>
    <cellStyle name="Normal 5 2 2 5 4" xfId="517" xr:uid="{87DD2199-033C-4791-A485-84867EC23E74}"/>
    <cellStyle name="Normal 5 2 2 6" xfId="521" xr:uid="{E7149E6C-484D-4309-BE41-DF0C872148FD}"/>
    <cellStyle name="Normal 5 2 2 6 2" xfId="522" xr:uid="{438F272D-33C5-49E2-8364-9637934940B7}"/>
    <cellStyle name="Normal 5 2 2 7" xfId="523" xr:uid="{AAB85735-6905-42DE-9232-B51D43605843}"/>
    <cellStyle name="Normal 5 2 2 8" xfId="484" xr:uid="{88B79E6E-1038-440B-8C00-2404DA50B17E}"/>
    <cellStyle name="Normal 5 2 3" xfId="103" xr:uid="{E09415D2-D51F-46B6-9153-3462DE63616C}"/>
    <cellStyle name="Normal 5 2 3 2" xfId="104" xr:uid="{8692E9E7-5939-48AB-8854-C92AEC2DB590}"/>
    <cellStyle name="Normal 5 2 3 2 2" xfId="105" xr:uid="{2F0DAB38-60FE-4B36-B074-7D30C1953877}"/>
    <cellStyle name="Normal 5 2 3 2 2 2" xfId="527" xr:uid="{60DFCA55-C5C6-48D7-A8CD-EA1960D1A59A}"/>
    <cellStyle name="Normal 5 2 3 2 2 2 2" xfId="528" xr:uid="{404DE7A1-C5B3-428C-B8E6-253BC93824B2}"/>
    <cellStyle name="Normal 5 2 3 2 2 3" xfId="529" xr:uid="{FEB59100-FABC-4680-8E80-CD30AADE742D}"/>
    <cellStyle name="Normal 5 2 3 2 2 4" xfId="526" xr:uid="{3C0E3B6B-1EF7-4BD2-A639-C72AD51E594D}"/>
    <cellStyle name="Normal 5 2 3 2 3" xfId="530" xr:uid="{CC2635AF-8849-42B0-AF37-BE2E72A34558}"/>
    <cellStyle name="Normal 5 2 3 2 3 2" xfId="531" xr:uid="{3957DECA-03EB-4305-A5FA-69EFECC790A1}"/>
    <cellStyle name="Normal 5 2 3 2 4" xfId="532" xr:uid="{4E3A08E9-C750-490E-920D-8A44C3B91A2E}"/>
    <cellStyle name="Normal 5 2 3 2 5" xfId="525" xr:uid="{1AD144D1-390D-4485-996C-6D5D4C9AC2E5}"/>
    <cellStyle name="Normal 5 2 3 3" xfId="106" xr:uid="{9095BBAC-2C77-4D36-96A8-BF3D02BA22D5}"/>
    <cellStyle name="Normal 5 2 3 3 2" xfId="534" xr:uid="{15E3D225-AFDB-441B-9CA9-50A8E9E0578A}"/>
    <cellStyle name="Normal 5 2 3 3 2 2" xfId="535" xr:uid="{591CF2AC-1C83-458F-897A-D3C0932B0BD9}"/>
    <cellStyle name="Normal 5 2 3 3 3" xfId="536" xr:uid="{38E6935E-7624-41A3-A096-A294A37C5DFF}"/>
    <cellStyle name="Normal 5 2 3 3 4" xfId="533" xr:uid="{653B9ED1-2A76-4640-825D-04F91536E5DF}"/>
    <cellStyle name="Normal 5 2 3 4" xfId="537" xr:uid="{6482F6DB-EC48-457B-8685-25A2C736C40E}"/>
    <cellStyle name="Normal 5 2 3 4 2" xfId="538" xr:uid="{9234B287-BA4E-4B54-BD7A-53978C3F21AF}"/>
    <cellStyle name="Normal 5 2 3 5" xfId="539" xr:uid="{C42C4E93-E21C-4E3A-B9ED-AA4BA1F04572}"/>
    <cellStyle name="Normal 5 2 3 6" xfId="524" xr:uid="{2F6A0CAD-5830-46C4-B117-CF493ADFCE2D}"/>
    <cellStyle name="Normal 5 2 4" xfId="107" xr:uid="{4F4DAC71-04DA-45E3-85C3-12F021A7FA17}"/>
    <cellStyle name="Normal 5 2 4 2" xfId="108" xr:uid="{A747B767-D9EE-4A78-9500-775D6F297AA3}"/>
    <cellStyle name="Normal 5 2 4 2 2" xfId="109" xr:uid="{5E3AEBE5-82FF-421C-B86F-B9B98D2C95AE}"/>
    <cellStyle name="Normal 5 2 4 2 2 2" xfId="543" xr:uid="{6E750988-C9F2-4C06-842F-BE223544F606}"/>
    <cellStyle name="Normal 5 2 4 2 2 3" xfId="542" xr:uid="{77D0568F-E8DC-479B-9FB4-49BD1B8643E0}"/>
    <cellStyle name="Normal 5 2 4 2 3" xfId="544" xr:uid="{A07FC759-86EB-4535-9AE6-E67E3C451B94}"/>
    <cellStyle name="Normal 5 2 4 2 4" xfId="541" xr:uid="{7ED8F7D5-F9CD-46D5-AAE7-B0E507D245F0}"/>
    <cellStyle name="Normal 5 2 4 3" xfId="110" xr:uid="{B6976626-4FE2-4211-B21F-E1386DA787DC}"/>
    <cellStyle name="Normal 5 2 4 3 2" xfId="546" xr:uid="{CCECA007-8B89-4447-BA21-7D79ACEF0F5C}"/>
    <cellStyle name="Normal 5 2 4 3 3" xfId="545" xr:uid="{BD3E9750-AD56-4193-81F3-4D752A22C232}"/>
    <cellStyle name="Normal 5 2 4 4" xfId="547" xr:uid="{91D6F720-E7C0-4E12-ADD8-63FDD3466BD7}"/>
    <cellStyle name="Normal 5 2 4 5" xfId="540" xr:uid="{3D3E3884-D8F5-4A34-B7C9-236FA9A190C2}"/>
    <cellStyle name="Normal 5 2 5" xfId="111" xr:uid="{B3E9694F-6936-4A4C-8FA9-89319BCA0592}"/>
    <cellStyle name="Normal 5 2 5 2" xfId="112" xr:uid="{0E50B0CE-19AC-4768-8768-726E4B6C98CF}"/>
    <cellStyle name="Normal 5 2 5 2 2" xfId="550" xr:uid="{8B56308A-0D24-4605-81AB-BC4B3C1FA067}"/>
    <cellStyle name="Normal 5 2 5 2 2 2" xfId="551" xr:uid="{653650C2-E3D0-4046-885F-1441C4D63190}"/>
    <cellStyle name="Normal 5 2 5 2 3" xfId="552" xr:uid="{DA98E4DF-3FA2-4093-928F-CAADA64BDD39}"/>
    <cellStyle name="Normal 5 2 5 2 4" xfId="549" xr:uid="{003C69C8-0B7F-4661-BE15-214C58A170CF}"/>
    <cellStyle name="Normal 5 2 5 3" xfId="553" xr:uid="{908A9C2F-D130-4E21-BFB7-D2C7BA2077DE}"/>
    <cellStyle name="Normal 5 2 5 3 2" xfId="554" xr:uid="{836EF606-99B1-4A9A-B1FC-8B4A8EE24803}"/>
    <cellStyle name="Normal 5 2 5 4" xfId="555" xr:uid="{B7DD7ADD-2391-42B3-AD3C-10CD602BABAE}"/>
    <cellStyle name="Normal 5 2 5 5" xfId="548" xr:uid="{70618623-D055-4FB8-B832-138910E6E2AD}"/>
    <cellStyle name="Normal 5 2 6" xfId="113" xr:uid="{FD2E8E66-DAFE-41DD-AD77-9EE5136B8B6E}"/>
    <cellStyle name="Normal 5 2 6 2" xfId="557" xr:uid="{924EFBF2-95E9-4681-AD30-A77368006337}"/>
    <cellStyle name="Normal 5 2 6 2 2" xfId="558" xr:uid="{E17465BB-289F-4765-9734-10D5E7655AC3}"/>
    <cellStyle name="Normal 5 2 6 3" xfId="559" xr:uid="{4171B350-A565-40FB-B043-07A39179B658}"/>
    <cellStyle name="Normal 5 2 6 4" xfId="556" xr:uid="{877BF1BA-3A09-42D4-8AA3-73D88E4E123A}"/>
    <cellStyle name="Normal 5 2 7" xfId="560" xr:uid="{D8D6FD84-6C19-43BD-BFB9-6330E94F8265}"/>
    <cellStyle name="Normal 5 2 7 2" xfId="561" xr:uid="{238CC66E-711F-4D39-89AB-A546228C7049}"/>
    <cellStyle name="Normal 5 2 8" xfId="562" xr:uid="{1E74D473-785C-4B7C-9F22-9EBBFB3A7F1C}"/>
    <cellStyle name="Normal 5 2 9" xfId="483" xr:uid="{E80D8B2D-AF34-46E7-AE60-B558E3F50D25}"/>
    <cellStyle name="Normal 5 3" xfId="114" xr:uid="{7FAA6274-BC78-459C-B978-579508BD5008}"/>
    <cellStyle name="Normal 5 3 2" xfId="115" xr:uid="{8542614B-5911-43D6-BF7E-76A51A343C1E}"/>
    <cellStyle name="Normal 5 3 2 2" xfId="116" xr:uid="{098559A3-7965-43CE-AC61-E296838BBBC1}"/>
    <cellStyle name="Normal 5 3 2 2 2" xfId="117" xr:uid="{45853BB9-DACF-4422-84C5-932A9B91950D}"/>
    <cellStyle name="Normal 5 3 2 2 2 2" xfId="118" xr:uid="{61FFCF7D-9DEF-48A5-BECF-F0A7B867226C}"/>
    <cellStyle name="Normal 5 3 2 2 2 2 2" xfId="568" xr:uid="{767CD0F0-CB40-4199-8AA0-B58B60904931}"/>
    <cellStyle name="Normal 5 3 2 2 2 2 2 2" xfId="569" xr:uid="{2F20B418-94F9-46DE-B0B2-889A635FB6D1}"/>
    <cellStyle name="Normal 5 3 2 2 2 2 3" xfId="570" xr:uid="{07C78B19-507C-4259-B4A1-BB9F10562E6A}"/>
    <cellStyle name="Normal 5 3 2 2 2 2 4" xfId="567" xr:uid="{A4381666-6A92-43FD-AF34-CC391F7D95B7}"/>
    <cellStyle name="Normal 5 3 2 2 2 3" xfId="571" xr:uid="{D1FE1B0F-E0D5-40B5-A172-B5BF57426D18}"/>
    <cellStyle name="Normal 5 3 2 2 2 3 2" xfId="572" xr:uid="{A6674CEB-794F-4867-9B07-EEFC0ED4639F}"/>
    <cellStyle name="Normal 5 3 2 2 2 4" xfId="573" xr:uid="{CE96FEEE-1A3A-4CAB-BAAA-6ECEEF853AEF}"/>
    <cellStyle name="Normal 5 3 2 2 2 5" xfId="566" xr:uid="{D5503066-FF5A-4555-984D-AFEB5DFF14EF}"/>
    <cellStyle name="Normal 5 3 2 2 3" xfId="119" xr:uid="{40D8DB61-0817-49D9-9A39-64E8CE8CD11F}"/>
    <cellStyle name="Normal 5 3 2 2 3 2" xfId="575" xr:uid="{C47F49EE-451A-4360-A841-749815F936D2}"/>
    <cellStyle name="Normal 5 3 2 2 3 2 2" xfId="576" xr:uid="{4C06ACE0-5305-433E-A2A7-75686AB5D781}"/>
    <cellStyle name="Normal 5 3 2 2 3 3" xfId="577" xr:uid="{DDBC5D42-A55E-4208-83E6-A589B9EDFB3F}"/>
    <cellStyle name="Normal 5 3 2 2 3 4" xfId="574" xr:uid="{B0381165-D26D-4D5B-BA06-902759DFD4FF}"/>
    <cellStyle name="Normal 5 3 2 2 4" xfId="578" xr:uid="{C394BA61-5202-406C-A173-DF5F408D27FB}"/>
    <cellStyle name="Normal 5 3 2 2 4 2" xfId="579" xr:uid="{CE7BE2D3-7052-4124-9306-F22E73503E86}"/>
    <cellStyle name="Normal 5 3 2 2 5" xfId="580" xr:uid="{37B007CF-E802-4F8D-BAA4-1BB9DAE1CFE5}"/>
    <cellStyle name="Normal 5 3 2 2 6" xfId="565" xr:uid="{4E575D51-980F-4651-9B93-3C16DEC28A32}"/>
    <cellStyle name="Normal 5 3 2 3" xfId="120" xr:uid="{0B4FA53C-DBB4-40C2-BE74-CB9942213AD5}"/>
    <cellStyle name="Normal 5 3 2 3 2" xfId="121" xr:uid="{EA23D662-0E3D-4DE6-A037-5CD605E361E6}"/>
    <cellStyle name="Normal 5 3 2 3 2 2" xfId="122" xr:uid="{5367DA6A-63C5-4A67-AF9C-93445B91F2DE}"/>
    <cellStyle name="Normal 5 3 2 3 2 2 2" xfId="584" xr:uid="{4B28FB5F-01A8-41DB-A5DD-41213EBC3004}"/>
    <cellStyle name="Normal 5 3 2 3 2 2 3" xfId="583" xr:uid="{2043F7A6-628B-44B9-BA51-8A77E4102D76}"/>
    <cellStyle name="Normal 5 3 2 3 2 3" xfId="585" xr:uid="{9C058CA8-EA2C-49E5-AF83-236953811AAD}"/>
    <cellStyle name="Normal 5 3 2 3 2 4" xfId="582" xr:uid="{07F4F69A-129B-45CC-9A2D-421F489C6F86}"/>
    <cellStyle name="Normal 5 3 2 3 3" xfId="123" xr:uid="{DE33AB1C-BA81-4472-9C70-C1EED05ADFEC}"/>
    <cellStyle name="Normal 5 3 2 3 3 2" xfId="587" xr:uid="{BDC85247-0834-4A9A-9458-9AE6C70DD619}"/>
    <cellStyle name="Normal 5 3 2 3 3 3" xfId="586" xr:uid="{9597AE53-CC28-474A-BFC9-9C9AC117EEEE}"/>
    <cellStyle name="Normal 5 3 2 3 4" xfId="588" xr:uid="{494AE8DA-80D4-40C8-ADEC-17D8D5268AD6}"/>
    <cellStyle name="Normal 5 3 2 3 5" xfId="581" xr:uid="{1E2D3152-1870-47B5-8B67-269C6F2AD318}"/>
    <cellStyle name="Normal 5 3 2 4" xfId="124" xr:uid="{D3CB3F01-C875-4C2F-A27C-D6046E2AD95C}"/>
    <cellStyle name="Normal 5 3 2 4 2" xfId="125" xr:uid="{F9901E8E-73DE-421B-A236-538A87F67B16}"/>
    <cellStyle name="Normal 5 3 2 4 2 2" xfId="591" xr:uid="{3BD73795-E391-4D6A-9430-EB89BDFBA343}"/>
    <cellStyle name="Normal 5 3 2 4 2 2 2" xfId="592" xr:uid="{374C289D-4AE5-4A17-A034-4BD1FE0AF950}"/>
    <cellStyle name="Normal 5 3 2 4 2 3" xfId="593" xr:uid="{38CE895A-B415-4718-88CD-4BB8101D2944}"/>
    <cellStyle name="Normal 5 3 2 4 2 4" xfId="590" xr:uid="{CC85FA28-B0E8-48F2-896A-195F0D41BDF0}"/>
    <cellStyle name="Normal 5 3 2 4 3" xfId="594" xr:uid="{28702E6A-49EC-460E-BF14-B1973D5878DB}"/>
    <cellStyle name="Normal 5 3 2 4 3 2" xfId="595" xr:uid="{AB7A6C3E-A244-4846-8C76-D7ACD470A259}"/>
    <cellStyle name="Normal 5 3 2 4 4" xfId="596" xr:uid="{45032A38-5758-4DB1-ACA1-ECCC29221EDB}"/>
    <cellStyle name="Normal 5 3 2 4 5" xfId="589" xr:uid="{099BDDD7-70FA-4F6A-AC41-06D729ED572E}"/>
    <cellStyle name="Normal 5 3 2 5" xfId="126" xr:uid="{69CB6733-2445-4A4C-81A6-BCE5DB33D829}"/>
    <cellStyle name="Normal 5 3 2 5 2" xfId="598" xr:uid="{644B5ED4-5F43-42FF-9D35-BCADC2A7A23F}"/>
    <cellStyle name="Normal 5 3 2 5 2 2" xfId="599" xr:uid="{363B3697-FE28-4557-BD6D-F526E83565D5}"/>
    <cellStyle name="Normal 5 3 2 5 3" xfId="600" xr:uid="{743A9DA0-E6C8-4D6E-AE18-D593262EFD19}"/>
    <cellStyle name="Normal 5 3 2 5 4" xfId="597" xr:uid="{13C42A52-1861-41BC-B0B5-BA61756B65F4}"/>
    <cellStyle name="Normal 5 3 2 6" xfId="601" xr:uid="{D5F8EBB0-1103-414F-B5E8-0D4396E96708}"/>
    <cellStyle name="Normal 5 3 2 6 2" xfId="602" xr:uid="{5BD0EDBF-4301-41E8-8D5F-D1B7C185F1FC}"/>
    <cellStyle name="Normal 5 3 2 7" xfId="603" xr:uid="{6F6E5DB3-FD5D-4394-A251-18647ED2FB85}"/>
    <cellStyle name="Normal 5 3 2 8" xfId="564" xr:uid="{BB967657-5134-4A6C-BEDA-54464402ED74}"/>
    <cellStyle name="Normal 5 3 3" xfId="127" xr:uid="{4056B1B2-C347-4396-ABF6-7030F259717D}"/>
    <cellStyle name="Normal 5 3 3 2" xfId="128" xr:uid="{89B9ACD7-D7B2-4ADF-AD30-6C29F774A827}"/>
    <cellStyle name="Normal 5 3 3 2 2" xfId="129" xr:uid="{3BAA0B42-FB61-4455-BD39-2D1CDF78906E}"/>
    <cellStyle name="Normal 5 3 3 2 2 2" xfId="607" xr:uid="{85354400-C97D-4A56-946D-588EA94C197D}"/>
    <cellStyle name="Normal 5 3 3 2 2 2 2" xfId="608" xr:uid="{10C5503C-0168-4CA7-891C-A12E20A110DD}"/>
    <cellStyle name="Normal 5 3 3 2 2 3" xfId="609" xr:uid="{40D707C9-0305-4E27-AB52-192B342BF857}"/>
    <cellStyle name="Normal 5 3 3 2 2 4" xfId="606" xr:uid="{541F6BF6-5293-412E-AB31-2FADC448D651}"/>
    <cellStyle name="Normal 5 3 3 2 3" xfId="610" xr:uid="{F705D7B7-017C-40C3-9728-8B764B86A348}"/>
    <cellStyle name="Normal 5 3 3 2 3 2" xfId="611" xr:uid="{77B8DE1A-EF56-4083-89CE-14E827E28C99}"/>
    <cellStyle name="Normal 5 3 3 2 4" xfId="612" xr:uid="{6BB60704-175A-47F4-9A8D-B22072358321}"/>
    <cellStyle name="Normal 5 3 3 2 5" xfId="605" xr:uid="{30D21EC5-7010-4FC5-B401-28554A86F74B}"/>
    <cellStyle name="Normal 5 3 3 3" xfId="130" xr:uid="{7D7232C4-4CCA-40BD-AA71-B010B0091F1E}"/>
    <cellStyle name="Normal 5 3 3 3 2" xfId="614" xr:uid="{561F99E1-B861-47A5-A65B-D036F31C81EA}"/>
    <cellStyle name="Normal 5 3 3 3 2 2" xfId="615" xr:uid="{DF6EADA6-8CFD-4C02-BD4A-D2E5752C5803}"/>
    <cellStyle name="Normal 5 3 3 3 3" xfId="616" xr:uid="{452EEC02-F222-4EC6-9D07-8B3389AEE22E}"/>
    <cellStyle name="Normal 5 3 3 3 4" xfId="613" xr:uid="{F7F5A7E4-7AAD-47C8-A37B-6CB99AD4AC1C}"/>
    <cellStyle name="Normal 5 3 3 4" xfId="617" xr:uid="{03592063-C089-4482-AE7F-5C3187682294}"/>
    <cellStyle name="Normal 5 3 3 4 2" xfId="618" xr:uid="{EDB45E93-28D1-44A0-855A-B47295315596}"/>
    <cellStyle name="Normal 5 3 3 5" xfId="619" xr:uid="{17688832-3B58-4671-AEE4-E062069EE2E5}"/>
    <cellStyle name="Normal 5 3 3 6" xfId="604" xr:uid="{930C421F-3F61-470B-8A64-0AAB358B8B07}"/>
    <cellStyle name="Normal 5 3 4" xfId="131" xr:uid="{6662A664-5114-4C78-B8C3-8BC53CD7BC78}"/>
    <cellStyle name="Normal 5 3 4 2" xfId="132" xr:uid="{63706E06-85B0-4C39-A927-C4F7508ADF2C}"/>
    <cellStyle name="Normal 5 3 4 2 2" xfId="133" xr:uid="{8A8FCDB1-01C6-423B-AB0E-128509DCCAE5}"/>
    <cellStyle name="Normal 5 3 4 2 2 2" xfId="623" xr:uid="{425673C0-F4D0-4B99-BA2A-A3A8DAD09E0F}"/>
    <cellStyle name="Normal 5 3 4 2 2 3" xfId="622" xr:uid="{1FD0B76C-46BA-4E2F-B00A-A8B0D8C708A6}"/>
    <cellStyle name="Normal 5 3 4 2 3" xfId="624" xr:uid="{3D20B46B-F15C-444C-8852-F73E2EF618A2}"/>
    <cellStyle name="Normal 5 3 4 2 4" xfId="621" xr:uid="{B3963981-9790-40E2-A809-AB11EBCE9644}"/>
    <cellStyle name="Normal 5 3 4 3" xfId="134" xr:uid="{0B497D99-52F2-40BC-A0BD-E69F2EF1FB3D}"/>
    <cellStyle name="Normal 5 3 4 3 2" xfId="626" xr:uid="{8F393A08-20C0-4571-A99A-A59A89133710}"/>
    <cellStyle name="Normal 5 3 4 3 3" xfId="625" xr:uid="{50B4307C-5B24-48E8-9BBF-5DDEF146B754}"/>
    <cellStyle name="Normal 5 3 4 4" xfId="627" xr:uid="{394E6E18-1CE8-4C28-8446-BCCB80D4E7C2}"/>
    <cellStyle name="Normal 5 3 4 5" xfId="620" xr:uid="{DF9FCDFE-AD20-4B59-B358-72D1FD742885}"/>
    <cellStyle name="Normal 5 3 5" xfId="135" xr:uid="{AA68E89B-DA13-4357-AF02-90A9E627F186}"/>
    <cellStyle name="Normal 5 3 5 2" xfId="136" xr:uid="{CFFE791E-AFD9-4662-9EBC-80556AB3FDBC}"/>
    <cellStyle name="Normal 5 3 5 2 2" xfId="630" xr:uid="{AFBB8F0D-7921-49F3-801A-6ACC1E0906BE}"/>
    <cellStyle name="Normal 5 3 5 2 2 2" xfId="631" xr:uid="{93ECF6F7-818D-4079-8F08-52FDF4FC1976}"/>
    <cellStyle name="Normal 5 3 5 2 3" xfId="632" xr:uid="{B0551547-FBBB-487B-918A-3F178309C902}"/>
    <cellStyle name="Normal 5 3 5 2 4" xfId="629" xr:uid="{F9453640-E814-4954-BE3F-A811BBB1D297}"/>
    <cellStyle name="Normal 5 3 5 3" xfId="633" xr:uid="{BC1C2244-C2B7-4728-9268-E3B24BFD311F}"/>
    <cellStyle name="Normal 5 3 5 3 2" xfId="634" xr:uid="{18E560F3-2868-44C6-BA4E-29F5D296781D}"/>
    <cellStyle name="Normal 5 3 5 4" xfId="635" xr:uid="{839ED80D-9513-4CC7-A828-33295FBFC691}"/>
    <cellStyle name="Normal 5 3 5 5" xfId="628" xr:uid="{0AD74A18-8971-48F0-A04A-ED3164FEE5D7}"/>
    <cellStyle name="Normal 5 3 6" xfId="137" xr:uid="{BB84C463-965D-432F-B6F5-4C02947D4A1A}"/>
    <cellStyle name="Normal 5 3 6 2" xfId="637" xr:uid="{96B20B31-08EB-4D7E-B38B-13BDE144843B}"/>
    <cellStyle name="Normal 5 3 6 2 2" xfId="638" xr:uid="{D7214911-0C7B-4D40-BD85-BD93E7AC432E}"/>
    <cellStyle name="Normal 5 3 6 3" xfId="639" xr:uid="{0A75D73A-AA1F-4B69-9629-175AB9828E51}"/>
    <cellStyle name="Normal 5 3 6 4" xfId="636" xr:uid="{AD5D03F2-24AB-46C6-A5EC-9AF0C6A158D0}"/>
    <cellStyle name="Normal 5 3 7" xfId="640" xr:uid="{21CAD353-3B10-4D77-9FDF-FF53B8AF7C48}"/>
    <cellStyle name="Normal 5 3 7 2" xfId="641" xr:uid="{CD72DD96-754E-486C-B678-D39F6E497997}"/>
    <cellStyle name="Normal 5 3 8" xfId="642" xr:uid="{B1E3E437-4ECB-4326-80EC-225756504A99}"/>
    <cellStyle name="Normal 5 3 9" xfId="563" xr:uid="{68066723-737C-4EEC-96EF-9C54FBB23580}"/>
    <cellStyle name="Normal 5 4" xfId="138" xr:uid="{DE44AC7C-A47A-4F82-B74C-D779B9539736}"/>
    <cellStyle name="Normal 5 4 2" xfId="139" xr:uid="{EBA8A09D-5249-4965-8B85-CAE61861289F}"/>
    <cellStyle name="Normal 5 4 2 2" xfId="140" xr:uid="{37D69D51-5EE4-4AC3-B6C4-C13018AB2A48}"/>
    <cellStyle name="Normal 5 4 2 2 2" xfId="141" xr:uid="{6FAA3CB5-7C61-4127-BBF9-46E60D675C93}"/>
    <cellStyle name="Normal 5 4 2 2 2 2" xfId="142" xr:uid="{0BC88004-A8EC-49BC-A7CA-86E58CFF0621}"/>
    <cellStyle name="Normal 5 4 2 2 2 2 2" xfId="648" xr:uid="{84E17B67-99F0-44F1-A5DC-6F6AA436801F}"/>
    <cellStyle name="Normal 5 4 2 2 2 2 3" xfId="647" xr:uid="{62FD267E-A5F2-476D-857E-0B07C0656E27}"/>
    <cellStyle name="Normal 5 4 2 2 2 3" xfId="649" xr:uid="{F709B54D-4960-45F5-B493-6A013D3290DC}"/>
    <cellStyle name="Normal 5 4 2 2 2 4" xfId="646" xr:uid="{4C4B57C8-0C51-4471-8A9B-7B88F9AC300B}"/>
    <cellStyle name="Normal 5 4 2 2 3" xfId="143" xr:uid="{331A96A1-72FC-4EF6-8479-CDA4125D2498}"/>
    <cellStyle name="Normal 5 4 2 2 3 2" xfId="651" xr:uid="{7C5531C0-A267-4F94-8EA9-04AFC989D581}"/>
    <cellStyle name="Normal 5 4 2 2 3 3" xfId="650" xr:uid="{CAF7CBC2-B4D6-41B4-BAB9-F69586A6EA26}"/>
    <cellStyle name="Normal 5 4 2 2 4" xfId="652" xr:uid="{3AD2751C-8685-48C2-B528-BF7B533F6321}"/>
    <cellStyle name="Normal 5 4 2 2 5" xfId="645" xr:uid="{99D58FD8-7FD1-4379-894A-7B23ECD52A0F}"/>
    <cellStyle name="Normal 5 4 2 3" xfId="144" xr:uid="{37D6D055-8B4B-4054-9D3D-374AE3E086EF}"/>
    <cellStyle name="Normal 5 4 2 3 2" xfId="145" xr:uid="{055D2A09-118A-44A0-BD60-1ED23A1BB641}"/>
    <cellStyle name="Normal 5 4 2 3 2 2" xfId="655" xr:uid="{B81E347D-BF5B-48B9-A589-44DD73CB575D}"/>
    <cellStyle name="Normal 5 4 2 3 2 2 2" xfId="656" xr:uid="{7303DB5D-FB57-4DEA-AC46-36A218CF0AD1}"/>
    <cellStyle name="Normal 5 4 2 3 2 3" xfId="657" xr:uid="{4F88BF17-2DE9-4E96-8F6E-13E64B476429}"/>
    <cellStyle name="Normal 5 4 2 3 2 4" xfId="654" xr:uid="{32DB514B-3EC8-4605-AC79-8A333D5666C2}"/>
    <cellStyle name="Normal 5 4 2 3 3" xfId="658" xr:uid="{C5D9621D-0A6F-4D6F-9E66-008F99905D16}"/>
    <cellStyle name="Normal 5 4 2 3 3 2" xfId="659" xr:uid="{38A20A0B-49BC-49C3-9683-74D634A37389}"/>
    <cellStyle name="Normal 5 4 2 3 4" xfId="660" xr:uid="{8EC47C21-177A-45CB-A795-F24A5C4BAAD7}"/>
    <cellStyle name="Normal 5 4 2 3 5" xfId="653" xr:uid="{39CE6799-8671-472F-BE0D-DA2B74610217}"/>
    <cellStyle name="Normal 5 4 2 4" xfId="146" xr:uid="{FAF0DC3C-9057-408A-8585-BC3ED476A4A4}"/>
    <cellStyle name="Normal 5 4 2 4 2" xfId="662" xr:uid="{DD7814A6-189E-4722-BB4A-F25C9098A8DC}"/>
    <cellStyle name="Normal 5 4 2 4 2 2" xfId="663" xr:uid="{DA6C842E-5E5D-4112-BFC9-6E26722C6BF6}"/>
    <cellStyle name="Normal 5 4 2 4 3" xfId="664" xr:uid="{88A0F1CD-3549-4130-B4DF-27820B74DBDC}"/>
    <cellStyle name="Normal 5 4 2 4 4" xfId="661" xr:uid="{BE674A41-ED31-4F91-8694-357D83D6A817}"/>
    <cellStyle name="Normal 5 4 2 5" xfId="665" xr:uid="{1890333A-77C8-4666-A05C-E58FA22DCAC3}"/>
    <cellStyle name="Normal 5 4 2 5 2" xfId="666" xr:uid="{29394821-6487-4AB6-9933-A8BDA714192C}"/>
    <cellStyle name="Normal 5 4 2 6" xfId="667" xr:uid="{8C3F3B1C-8CEC-4F35-8F44-5FA758339C04}"/>
    <cellStyle name="Normal 5 4 2 7" xfId="644" xr:uid="{B16E2F48-A6A7-4822-A4F7-643579471758}"/>
    <cellStyle name="Normal 5 4 3" xfId="147" xr:uid="{9B411052-6202-4368-9F16-B37CFBF1D4C2}"/>
    <cellStyle name="Normal 5 4 3 2" xfId="148" xr:uid="{47A884EA-CE3B-4D2E-AB1C-5C5559DAFFD4}"/>
    <cellStyle name="Normal 5 4 3 2 2" xfId="149" xr:uid="{4778AB5D-DD9B-4BF1-835A-DAF32EF94503}"/>
    <cellStyle name="Normal 5 4 3 2 2 2" xfId="671" xr:uid="{948D0F26-CCE5-4552-B3D0-4EA9B17135DC}"/>
    <cellStyle name="Normal 5 4 3 2 2 2 2" xfId="672" xr:uid="{453AA14C-F14E-40D9-A8CA-D9C83C40A9D5}"/>
    <cellStyle name="Normal 5 4 3 2 2 3" xfId="673" xr:uid="{18EEC3D2-8E3C-4744-9252-972EFAFAA188}"/>
    <cellStyle name="Normal 5 4 3 2 2 4" xfId="670" xr:uid="{E768F4CE-4EBB-4058-99B9-92631B36AB82}"/>
    <cellStyle name="Normal 5 4 3 2 3" xfId="674" xr:uid="{D38D7887-DA6B-4D07-B6F8-7F7741F002C4}"/>
    <cellStyle name="Normal 5 4 3 2 3 2" xfId="675" xr:uid="{25719C66-CB0D-468A-B218-8B3AA9718112}"/>
    <cellStyle name="Normal 5 4 3 2 4" xfId="676" xr:uid="{6F89FFDE-F241-486C-B4CB-A324AB821FAA}"/>
    <cellStyle name="Normal 5 4 3 2 5" xfId="669" xr:uid="{83E3B7A6-5B82-4068-B418-6DC7EAC2EBB4}"/>
    <cellStyle name="Normal 5 4 3 3" xfId="150" xr:uid="{520E242E-00AA-41F2-881B-948D46C5F229}"/>
    <cellStyle name="Normal 5 4 3 3 2" xfId="678" xr:uid="{C7A7E0DC-9F34-4795-AFF7-0384DB295D18}"/>
    <cellStyle name="Normal 5 4 3 3 2 2" xfId="679" xr:uid="{D5B0C10D-FC68-4458-90F6-52DEB15ECE67}"/>
    <cellStyle name="Normal 5 4 3 3 3" xfId="680" xr:uid="{914F2F05-B16D-4D00-9046-FC3666376A59}"/>
    <cellStyle name="Normal 5 4 3 3 4" xfId="677" xr:uid="{621E2212-6AD0-449A-97AA-EBB8A40CDF8A}"/>
    <cellStyle name="Normal 5 4 3 4" xfId="681" xr:uid="{C1C9BDEE-5A01-42A9-AAA2-C8CEDD984B1A}"/>
    <cellStyle name="Normal 5 4 3 4 2" xfId="682" xr:uid="{2A320327-1267-48D1-9920-F708289B7C68}"/>
    <cellStyle name="Normal 5 4 3 5" xfId="683" xr:uid="{4C734483-450F-44B3-8D61-1389FF0C32AD}"/>
    <cellStyle name="Normal 5 4 3 6" xfId="668" xr:uid="{2C959696-4013-4B3D-8DAB-6EE51F3AAA88}"/>
    <cellStyle name="Normal 5 4 4" xfId="151" xr:uid="{BB9BCCF7-61FB-48CF-B0C4-D1F5AD59F41B}"/>
    <cellStyle name="Normal 5 4 4 2" xfId="152" xr:uid="{99DB7021-0A8C-4CCD-97B6-B58C53B40459}"/>
    <cellStyle name="Normal 5 4 4 2 2" xfId="153" xr:uid="{E3B1FF9C-9016-478A-905E-185EF894FBBD}"/>
    <cellStyle name="Normal 5 4 4 2 2 2" xfId="687" xr:uid="{80FA25B3-BC88-444F-8BAB-A93C7FB8AB4C}"/>
    <cellStyle name="Normal 5 4 4 2 2 3" xfId="686" xr:uid="{68B7A32F-539F-4F5A-9034-C65DDB797E54}"/>
    <cellStyle name="Normal 5 4 4 2 3" xfId="688" xr:uid="{B05A8FB1-C16E-4A72-AB2C-B57473D89711}"/>
    <cellStyle name="Normal 5 4 4 2 4" xfId="685" xr:uid="{DAE603F0-31D9-4FEF-87D0-47C55DCCDA46}"/>
    <cellStyle name="Normal 5 4 4 3" xfId="154" xr:uid="{AA24EB54-FC1B-4136-A3EC-B6B4D57AA519}"/>
    <cellStyle name="Normal 5 4 4 3 2" xfId="690" xr:uid="{63BCD33E-A0B8-4880-82AB-3DE9E6F99729}"/>
    <cellStyle name="Normal 5 4 4 3 3" xfId="689" xr:uid="{B426B87E-A3FA-4227-A587-DF92D1BC4DDD}"/>
    <cellStyle name="Normal 5 4 4 4" xfId="691" xr:uid="{DDBE02DF-D46E-413E-AD59-8A8F9B2CDB66}"/>
    <cellStyle name="Normal 5 4 4 5" xfId="684" xr:uid="{2CD8C0E0-7873-402E-AD1A-92926733546C}"/>
    <cellStyle name="Normal 5 4 5" xfId="155" xr:uid="{4DDC4110-CC33-4DE8-991A-33A55F7F0234}"/>
    <cellStyle name="Normal 5 4 5 2" xfId="156" xr:uid="{208121E9-ADE8-4DEA-8223-7608E0B6306B}"/>
    <cellStyle name="Normal 5 4 5 2 2" xfId="694" xr:uid="{0A70B2C8-0E09-4889-8255-40D5297667DB}"/>
    <cellStyle name="Normal 5 4 5 2 2 2" xfId="695" xr:uid="{F31FCA8D-FE7C-4632-8674-35F22F6788C0}"/>
    <cellStyle name="Normal 5 4 5 2 3" xfId="696" xr:uid="{C301CDE4-367F-4835-86CC-2175609B9B7C}"/>
    <cellStyle name="Normal 5 4 5 2 4" xfId="693" xr:uid="{D44059C9-8859-4642-BE53-B4158E7F34DD}"/>
    <cellStyle name="Normal 5 4 5 3" xfId="697" xr:uid="{D3AD3C57-FA99-4C64-ACC8-E59FBC813FA2}"/>
    <cellStyle name="Normal 5 4 5 3 2" xfId="698" xr:uid="{63216B82-180E-48E0-AFC9-D3EF6C510835}"/>
    <cellStyle name="Normal 5 4 5 4" xfId="699" xr:uid="{3F38E38C-2F14-4701-9FC2-DDDE66D95722}"/>
    <cellStyle name="Normal 5 4 5 5" xfId="692" xr:uid="{BFD4B11A-2ED1-4DE6-AF4D-5EEEF490606A}"/>
    <cellStyle name="Normal 5 4 6" xfId="157" xr:uid="{6DDC6754-1AC6-410F-A304-2E11FCDEE7B3}"/>
    <cellStyle name="Normal 5 4 6 2" xfId="701" xr:uid="{1691EA6F-9B83-468B-8C9F-3F278329083B}"/>
    <cellStyle name="Normal 5 4 6 2 2" xfId="702" xr:uid="{40E2AC95-63A4-4736-B587-36CB985760A4}"/>
    <cellStyle name="Normal 5 4 6 3" xfId="703" xr:uid="{BC08FB6D-3DAC-4D4F-920D-891DAD0CB077}"/>
    <cellStyle name="Normal 5 4 6 4" xfId="700" xr:uid="{0F2A2101-353F-4D90-BFA6-ECE9CE485953}"/>
    <cellStyle name="Normal 5 4 7" xfId="704" xr:uid="{B3475DD9-D175-4E7E-949D-C914AA1F6603}"/>
    <cellStyle name="Normal 5 4 7 2" xfId="705" xr:uid="{33E4E749-3284-4955-BBC4-905984AE5013}"/>
    <cellStyle name="Normal 5 4 8" xfId="706" xr:uid="{9DE1E83D-EC2A-4F87-98DE-C1060CCBE8B0}"/>
    <cellStyle name="Normal 5 4 9" xfId="643" xr:uid="{A70BF660-F1DF-43CC-AD3E-805BB4CF4C89}"/>
    <cellStyle name="Normal 5 5" xfId="158" xr:uid="{DF93A5C3-237A-40C6-800E-89E4CD072833}"/>
    <cellStyle name="Normal 5 5 2" xfId="159" xr:uid="{9D695092-CAC3-47F2-8AC4-B09EEC4F02E2}"/>
    <cellStyle name="Normal 5 5 2 2" xfId="160" xr:uid="{5C272A4F-6F87-4E40-A12E-CD3BA2C639D8}"/>
    <cellStyle name="Normal 5 5 2 2 2" xfId="161" xr:uid="{C2B22EB1-43FA-4892-AEE5-E949EE86FF3E}"/>
    <cellStyle name="Normal 5 5 2 2 2 2" xfId="711" xr:uid="{C439F862-296B-48BF-BB51-5B4C0FB87610}"/>
    <cellStyle name="Normal 5 5 2 2 2 3" xfId="710" xr:uid="{1D997982-16DC-4623-967B-04450C6313C7}"/>
    <cellStyle name="Normal 5 5 2 2 3" xfId="712" xr:uid="{31735A9C-DA9B-47A9-B837-7B9BE447DA30}"/>
    <cellStyle name="Normal 5 5 2 2 4" xfId="709" xr:uid="{F1CB21C8-42F0-4007-BDD5-A92FB769B22D}"/>
    <cellStyle name="Normal 5 5 2 3" xfId="162" xr:uid="{11F8955E-3902-40EA-9F72-5D636053E715}"/>
    <cellStyle name="Normal 5 5 2 3 2" xfId="714" xr:uid="{1A0D7AB5-6F3A-4FC1-AE03-F442B7E93198}"/>
    <cellStyle name="Normal 5 5 2 3 3" xfId="713" xr:uid="{EB940764-CB96-4F6E-BEB7-A51ECC19F19A}"/>
    <cellStyle name="Normal 5 5 2 4" xfId="715" xr:uid="{B33B9CAC-D287-44FA-B749-DD072F5D8C9F}"/>
    <cellStyle name="Normal 5 5 2 5" xfId="708" xr:uid="{73EE9F30-CE95-4D9C-B12A-8EAC16DBBDC5}"/>
    <cellStyle name="Normal 5 5 3" xfId="163" xr:uid="{C9421E63-D5F8-4F94-BA85-FCF03CC9D453}"/>
    <cellStyle name="Normal 5 5 3 2" xfId="164" xr:uid="{326F8F38-FA51-4956-BEA4-DC105F34F65C}"/>
    <cellStyle name="Normal 5 5 3 2 2" xfId="718" xr:uid="{056E2334-B8E8-4A41-91A9-6B4FFFC1995E}"/>
    <cellStyle name="Normal 5 5 3 2 2 2" xfId="719" xr:uid="{9FC8DD5E-B2C8-453C-9251-AD5E93C4F056}"/>
    <cellStyle name="Normal 5 5 3 2 3" xfId="720" xr:uid="{22496C74-33A0-490D-B462-DBE970653656}"/>
    <cellStyle name="Normal 5 5 3 2 4" xfId="717" xr:uid="{0AE6D735-188C-4749-8326-895A87082E96}"/>
    <cellStyle name="Normal 5 5 3 3" xfId="721" xr:uid="{47957F0C-1FA7-4C12-A2B0-0EABBA8AEE55}"/>
    <cellStyle name="Normal 5 5 3 3 2" xfId="722" xr:uid="{32F3F15B-E828-4898-A7A5-13C95FB02FEF}"/>
    <cellStyle name="Normal 5 5 3 4" xfId="723" xr:uid="{B56AE2B6-9203-4584-B2F6-8119B37ADF21}"/>
    <cellStyle name="Normal 5 5 3 5" xfId="716" xr:uid="{251B390B-6790-4469-89DA-61BEF2AE0A94}"/>
    <cellStyle name="Normal 5 5 4" xfId="165" xr:uid="{3CE8E3AD-F87C-4066-9276-D82963E3BABA}"/>
    <cellStyle name="Normal 5 5 4 2" xfId="725" xr:uid="{40E75941-A823-4597-B3D8-30051E76F529}"/>
    <cellStyle name="Normal 5 5 4 2 2" xfId="726" xr:uid="{DD409C66-BAEA-44D2-8E12-E5F6D1085B97}"/>
    <cellStyle name="Normal 5 5 4 3" xfId="727" xr:uid="{D7259A30-6C95-434B-ACAA-F3C2B681C85F}"/>
    <cellStyle name="Normal 5 5 4 4" xfId="724" xr:uid="{6E136117-29BE-4C81-9636-5A769A9CC16F}"/>
    <cellStyle name="Normal 5 5 5" xfId="728" xr:uid="{B6B91C0F-4DAC-4D2E-8AF6-1141F3AFF5AC}"/>
    <cellStyle name="Normal 5 5 5 2" xfId="729" xr:uid="{A9154556-0209-4477-A246-2D95F2A09BB6}"/>
    <cellStyle name="Normal 5 5 6" xfId="730" xr:uid="{E37DF55A-6644-4535-9932-3B671F3F8E1C}"/>
    <cellStyle name="Normal 5 5 7" xfId="707" xr:uid="{7C094067-B9D2-4EB0-AC21-8EACCE73F030}"/>
    <cellStyle name="Normal 5 6" xfId="166" xr:uid="{3DE04C31-2655-443B-A7E4-2DCF51F9D3DB}"/>
    <cellStyle name="Normal 5 6 2" xfId="167" xr:uid="{67DF7FC7-3FF0-44B3-8E15-5B67260AB269}"/>
    <cellStyle name="Normal 5 6 2 2" xfId="168" xr:uid="{A35CF8B2-05DF-4FE5-BC4E-C1E6ACB75A81}"/>
    <cellStyle name="Normal 5 6 2 2 2" xfId="734" xr:uid="{F8D7E26C-1085-4E9D-A207-8BAD03B609C2}"/>
    <cellStyle name="Normal 5 6 2 2 2 2" xfId="735" xr:uid="{2D7A3EFF-E4DF-4B9D-BF16-25A17CEC904B}"/>
    <cellStyle name="Normal 5 6 2 2 3" xfId="736" xr:uid="{73ADAAE5-FA80-4078-8714-5DC6BCB46B93}"/>
    <cellStyle name="Normal 5 6 2 2 4" xfId="733" xr:uid="{363266B2-BC8B-49F1-965B-D1092F6E600A}"/>
    <cellStyle name="Normal 5 6 2 3" xfId="737" xr:uid="{84B48DDA-B11D-490C-ABEF-89320D613393}"/>
    <cellStyle name="Normal 5 6 2 3 2" xfId="738" xr:uid="{4A9020B5-444C-4BFA-B614-9587EBBE66C1}"/>
    <cellStyle name="Normal 5 6 2 4" xfId="739" xr:uid="{722A8DBD-624C-4606-856D-D583EC686B62}"/>
    <cellStyle name="Normal 5 6 2 5" xfId="732" xr:uid="{606AE54F-7A1D-4663-BF88-9D9FA5F87ADF}"/>
    <cellStyle name="Normal 5 6 3" xfId="169" xr:uid="{6477FDB2-FB29-401A-8F87-EB5EC87DBD05}"/>
    <cellStyle name="Normal 5 6 3 2" xfId="741" xr:uid="{A224BAE1-FB3C-4D02-830D-6E80620D93D0}"/>
    <cellStyle name="Normal 5 6 3 2 2" xfId="742" xr:uid="{490BC65A-EE4E-4C0B-8BB2-85F9056C6306}"/>
    <cellStyle name="Normal 5 6 3 3" xfId="743" xr:uid="{01E79F2B-CE8D-42D9-AB38-5B78719E6393}"/>
    <cellStyle name="Normal 5 6 3 4" xfId="740" xr:uid="{EA1F5FA7-9A44-4E3E-B1BB-01CA14F9727E}"/>
    <cellStyle name="Normal 5 6 4" xfId="744" xr:uid="{1E394B0D-1D39-44F3-9250-CD21BB5B53C4}"/>
    <cellStyle name="Normal 5 6 4 2" xfId="745" xr:uid="{C692BCF7-C5AB-4ADF-A883-4BF726D032A0}"/>
    <cellStyle name="Normal 5 6 5" xfId="746" xr:uid="{2A2AF3C3-350C-4C99-8572-9F5B5961CC0C}"/>
    <cellStyle name="Normal 5 6 6" xfId="731" xr:uid="{E9A4B1A7-9AE0-4D23-8B96-79FE208A56A7}"/>
    <cellStyle name="Normal 5 7" xfId="170" xr:uid="{4FB71B3A-77F8-459F-A4BB-880BACD73851}"/>
    <cellStyle name="Normal 5 7 2" xfId="171" xr:uid="{F88EEFCA-BD1C-4999-86DC-7B8164E47B26}"/>
    <cellStyle name="Normal 5 7 2 2" xfId="172" xr:uid="{F336CE0F-648A-40C6-B899-F56798D57CBB}"/>
    <cellStyle name="Normal 5 7 2 2 2" xfId="750" xr:uid="{551C3CCB-DE5C-43C2-B5E8-511D7B46E794}"/>
    <cellStyle name="Normal 5 7 2 2 3" xfId="749" xr:uid="{103A2F79-69F4-43D4-902E-2D9BEAE6164E}"/>
    <cellStyle name="Normal 5 7 2 3" xfId="751" xr:uid="{8E815948-1BCE-4FCE-A697-C3FCD69A8A9D}"/>
    <cellStyle name="Normal 5 7 2 4" xfId="748" xr:uid="{CC264BBB-F8A4-48A4-87D3-D496C9B3096F}"/>
    <cellStyle name="Normal 5 7 3" xfId="173" xr:uid="{EFBC6450-2C01-4596-89B3-1F899F976E12}"/>
    <cellStyle name="Normal 5 7 3 2" xfId="753" xr:uid="{F2F60312-66BD-4E50-8E84-B43F15D72EFD}"/>
    <cellStyle name="Normal 5 7 3 3" xfId="752" xr:uid="{AA7DFD2D-D554-4513-9E92-BDEE02DE106C}"/>
    <cellStyle name="Normal 5 7 4" xfId="754" xr:uid="{D372D3EC-A08C-4A4B-8A81-229868E90829}"/>
    <cellStyle name="Normal 5 7 5" xfId="747" xr:uid="{9C69FF5D-7A86-464A-8F5C-FD96B531FC15}"/>
    <cellStyle name="Normal 5 8" xfId="174" xr:uid="{4AEEA667-930B-4F08-B1C6-0F593C5CC430}"/>
    <cellStyle name="Normal 5 8 2" xfId="175" xr:uid="{71EE1014-2265-4BFC-8A2C-B4EEAD6CA2B5}"/>
    <cellStyle name="Normal 5 8 2 2" xfId="757" xr:uid="{2EC7CAE2-2599-4304-8510-E923C26208E0}"/>
    <cellStyle name="Normal 5 8 2 2 2" xfId="758" xr:uid="{7DD3CF79-CF9D-4F4A-8F99-0C5E4709B09C}"/>
    <cellStyle name="Normal 5 8 2 3" xfId="759" xr:uid="{94730152-3532-402F-88E0-1A4A0355DE3A}"/>
    <cellStyle name="Normal 5 8 2 4" xfId="756" xr:uid="{867D95B4-F6FB-4711-A87D-05CD04113BF3}"/>
    <cellStyle name="Normal 5 8 3" xfId="760" xr:uid="{BB23F00F-B67D-4F57-AD33-AC6B8E8AF7CF}"/>
    <cellStyle name="Normal 5 8 3 2" xfId="761" xr:uid="{78E4132B-9305-4B47-9734-F84CC4F4B331}"/>
    <cellStyle name="Normal 5 8 4" xfId="762" xr:uid="{6654D54A-7645-4B80-A3BE-90D3C7D61C64}"/>
    <cellStyle name="Normal 5 8 5" xfId="755" xr:uid="{341F9A9F-54B7-4B2A-BA33-DD7D94411CF1}"/>
    <cellStyle name="Normal 5 9" xfId="176" xr:uid="{64364010-1287-49D4-8DB9-282369A7AAFB}"/>
    <cellStyle name="Normal 5 9 2" xfId="764" xr:uid="{23A28964-2F5E-4312-BC9E-2430C052B4DF}"/>
    <cellStyle name="Normal 5 9 2 2" xfId="765" xr:uid="{0297ACB5-915F-4A21-91C1-9B42B07AB4DC}"/>
    <cellStyle name="Normal 5 9 3" xfId="766" xr:uid="{F7914AAB-371E-480F-BCB8-A9A4E8E890EC}"/>
    <cellStyle name="Normal 5 9 4" xfId="763" xr:uid="{E18830E3-88C3-43F7-B008-2F312BC28255}"/>
    <cellStyle name="Normal 6" xfId="177" xr:uid="{E1111E72-ADB2-41B2-845E-B44BC78325E1}"/>
    <cellStyle name="Normal 6 2" xfId="178" xr:uid="{444CD44B-BA7F-408E-8865-A0E4866F881A}"/>
    <cellStyle name="Normal 6 2 2" xfId="768" xr:uid="{896C98A2-C1BF-41B7-95FA-8BD252435248}"/>
    <cellStyle name="Normal 6 3" xfId="179" xr:uid="{2F87F8AD-C189-415F-AC48-39B418154F20}"/>
    <cellStyle name="Normal 6 3 2" xfId="769" xr:uid="{CF9E78BD-F687-4D0A-802C-3CAFF6C4BC48}"/>
    <cellStyle name="Normal 6 4" xfId="767" xr:uid="{8507A2E7-74AE-44F3-81BB-DF04B329616E}"/>
    <cellStyle name="Normal 7" xfId="180" xr:uid="{C77059DA-813D-4157-A747-AFCE14C7C73A}"/>
    <cellStyle name="Normal 7 10" xfId="770" xr:uid="{AAE3FFAC-2BA0-414E-8A5E-BDA5D24DE509}"/>
    <cellStyle name="Normal 7 2" xfId="181" xr:uid="{5C3BE2B4-3166-4BD0-AE8B-84A9FAF4B392}"/>
    <cellStyle name="Normal 7 2 2" xfId="182" xr:uid="{9C1AA2B3-84CF-427A-9340-595C9E54B979}"/>
    <cellStyle name="Normal 7 2 2 2" xfId="183" xr:uid="{E837AFF0-B955-4FE1-AA81-44F498BF0F54}"/>
    <cellStyle name="Normal 7 2 2 2 2" xfId="184" xr:uid="{48B457E4-AA22-4B48-9627-07B8301B2F28}"/>
    <cellStyle name="Normal 7 2 2 2 2 2" xfId="775" xr:uid="{EBB5A62F-3E16-4BD3-B590-ACBF67F7AE43}"/>
    <cellStyle name="Normal 7 2 2 2 2 2 2" xfId="776" xr:uid="{AF655F42-B348-4558-ACEC-CA6CB95FFAA1}"/>
    <cellStyle name="Normal 7 2 2 2 2 3" xfId="777" xr:uid="{0F221FE0-438B-492A-A601-7A5AA198F03B}"/>
    <cellStyle name="Normal 7 2 2 2 2 4" xfId="774" xr:uid="{5AC0A4D4-CF18-4788-BD3A-D889C0DC173E}"/>
    <cellStyle name="Normal 7 2 2 2 3" xfId="778" xr:uid="{FAE5BAC1-FE66-4E3A-893C-9D6502FD87EB}"/>
    <cellStyle name="Normal 7 2 2 2 3 2" xfId="779" xr:uid="{DA97D4FD-FD20-4245-98EB-5F38393B0B0F}"/>
    <cellStyle name="Normal 7 2 2 2 4" xfId="780" xr:uid="{4C4ACC38-776F-4657-8471-CE1523AEF140}"/>
    <cellStyle name="Normal 7 2 2 2 5" xfId="773" xr:uid="{A5ABE364-7668-4C0D-ACFD-7BCFA8F63FF2}"/>
    <cellStyle name="Normal 7 2 2 3" xfId="185" xr:uid="{6650A8D2-6450-4BE1-871D-6D3F7F24A3AC}"/>
    <cellStyle name="Normal 7 2 2 3 2" xfId="782" xr:uid="{433483C1-8372-4EE0-9D41-6A2FB81F8681}"/>
    <cellStyle name="Normal 7 2 2 3 2 2" xfId="783" xr:uid="{B1C64654-1CFC-4670-8CC6-A52D0B36371A}"/>
    <cellStyle name="Normal 7 2 2 3 3" xfId="784" xr:uid="{3B072D55-4125-4FC4-B9B9-74083127EBD9}"/>
    <cellStyle name="Normal 7 2 2 3 4" xfId="781" xr:uid="{E59A0321-B52B-4F29-9B4B-1052F264B5C8}"/>
    <cellStyle name="Normal 7 2 2 4" xfId="785" xr:uid="{6EB578EA-6B79-4B42-8074-A8B0CF47DA6B}"/>
    <cellStyle name="Normal 7 2 2 4 2" xfId="786" xr:uid="{8C1B9E60-3E19-4E80-94B5-428874BFEAD4}"/>
    <cellStyle name="Normal 7 2 2 5" xfId="787" xr:uid="{44D5881A-BD27-4CCA-8AD6-5ACABCB4C727}"/>
    <cellStyle name="Normal 7 2 2 6" xfId="772" xr:uid="{52C6A2E1-FB75-44F4-AF79-09C82592869C}"/>
    <cellStyle name="Normal 7 2 3" xfId="186" xr:uid="{123EEECF-90E0-4C07-BBD2-B66693569C1D}"/>
    <cellStyle name="Normal 7 2 3 2" xfId="187" xr:uid="{48200233-DB8E-41C2-B47B-21046FF09B22}"/>
    <cellStyle name="Normal 7 2 3 2 2" xfId="188" xr:uid="{8A8DF424-7B3C-4BA7-841C-304C4D2E132C}"/>
    <cellStyle name="Normal 7 2 3 2 2 2" xfId="791" xr:uid="{FBD059EF-2124-4CA0-8076-0C023ECD8A72}"/>
    <cellStyle name="Normal 7 2 3 2 2 3" xfId="790" xr:uid="{CFB65C03-C97A-4109-A69D-287D49814902}"/>
    <cellStyle name="Normal 7 2 3 2 3" xfId="792" xr:uid="{EB8EA1AB-7084-4C44-BD01-661EDB469C96}"/>
    <cellStyle name="Normal 7 2 3 2 4" xfId="789" xr:uid="{2C6A0674-6736-4680-95E0-F735E584F166}"/>
    <cellStyle name="Normal 7 2 3 3" xfId="189" xr:uid="{F467A2F9-6858-44E7-80F8-5CD4357B366B}"/>
    <cellStyle name="Normal 7 2 3 3 2" xfId="794" xr:uid="{AF7996CD-257A-442F-BBCB-151C193E5DE5}"/>
    <cellStyle name="Normal 7 2 3 3 3" xfId="793" xr:uid="{29F3183A-7BC8-403E-98BD-1611DCC35733}"/>
    <cellStyle name="Normal 7 2 3 4" xfId="795" xr:uid="{5BA8DF76-1818-462B-B81F-E70101644216}"/>
    <cellStyle name="Normal 7 2 3 5" xfId="788" xr:uid="{77151E25-CDC8-4AC4-8906-F11772F4E4A1}"/>
    <cellStyle name="Normal 7 2 4" xfId="190" xr:uid="{B94ABCE7-3232-4824-A20B-3EABCE0A2B47}"/>
    <cellStyle name="Normal 7 2 4 2" xfId="191" xr:uid="{7D725015-B02A-4A49-A83E-8D25E4C954FF}"/>
    <cellStyle name="Normal 7 2 4 2 2" xfId="798" xr:uid="{A4130438-314A-4C69-8ADF-E78AAA6E7DEC}"/>
    <cellStyle name="Normal 7 2 4 2 2 2" xfId="799" xr:uid="{F772A0B7-0D34-4811-B160-C38D0E2A5DEB}"/>
    <cellStyle name="Normal 7 2 4 2 3" xfId="800" xr:uid="{6F3ED9A0-646C-4CD6-AABB-69CDC21B73CC}"/>
    <cellStyle name="Normal 7 2 4 2 4" xfId="797" xr:uid="{EFD916A4-01C6-4C3B-98B7-915210EC4B6B}"/>
    <cellStyle name="Normal 7 2 4 3" xfId="801" xr:uid="{46077854-494C-4FFD-8A5D-F21B5CBBCB83}"/>
    <cellStyle name="Normal 7 2 4 3 2" xfId="802" xr:uid="{6EBB9478-B1E8-40F2-94CE-9AA5CE202EAA}"/>
    <cellStyle name="Normal 7 2 4 4" xfId="803" xr:uid="{3B8DEF3D-16CD-4294-99A8-66FAE76558C9}"/>
    <cellStyle name="Normal 7 2 4 5" xfId="796" xr:uid="{C1AA6DB7-1C40-4178-9B30-ED729B83CBCA}"/>
    <cellStyle name="Normal 7 2 5" xfId="192" xr:uid="{23948B80-6922-4E26-8382-28CCEF1EB701}"/>
    <cellStyle name="Normal 7 2 5 2" xfId="805" xr:uid="{D0812800-BD8D-43A6-AEF3-52F5518282AF}"/>
    <cellStyle name="Normal 7 2 5 2 2" xfId="806" xr:uid="{4F506CDA-B889-4352-942F-3F5676A264A8}"/>
    <cellStyle name="Normal 7 2 5 3" xfId="807" xr:uid="{9927A508-8FB5-4290-B625-F620C2472AD9}"/>
    <cellStyle name="Normal 7 2 5 4" xfId="804" xr:uid="{DD4140D6-CF00-4708-98D5-808D81BF48A1}"/>
    <cellStyle name="Normal 7 2 6" xfId="808" xr:uid="{B5C7307C-14F6-465F-A58E-3416D6EACD9F}"/>
    <cellStyle name="Normal 7 2 6 2" xfId="809" xr:uid="{B5406124-1168-4E8C-8B4A-97696B3AF637}"/>
    <cellStyle name="Normal 7 2 7" xfId="810" xr:uid="{73BFC8E2-D48F-42F0-B280-6D5F0026BB19}"/>
    <cellStyle name="Normal 7 2 8" xfId="771" xr:uid="{04C7A7C4-1E08-47FB-ACAE-1A05FC921E11}"/>
    <cellStyle name="Normal 7 3" xfId="193" xr:uid="{53ABA813-3A07-47EB-BCFB-BD17DF051753}"/>
    <cellStyle name="Normal 7 3 2" xfId="194" xr:uid="{2A5F9FE7-C46F-49AB-A90D-98CB1B5A5812}"/>
    <cellStyle name="Normal 7 3 2 2" xfId="195" xr:uid="{9BE43392-46C2-4431-A935-2FC125D4791F}"/>
    <cellStyle name="Normal 7 3 2 2 2" xfId="814" xr:uid="{B30E15D7-29F7-47AE-8F0B-04199BCA0DF9}"/>
    <cellStyle name="Normal 7 3 2 2 2 2" xfId="815" xr:uid="{93ECC813-0D58-403A-A482-5224B7CE0F5D}"/>
    <cellStyle name="Normal 7 3 2 2 3" xfId="816" xr:uid="{764F9C75-9D81-416E-B2F2-FE1949DE8C00}"/>
    <cellStyle name="Normal 7 3 2 2 4" xfId="813" xr:uid="{A85137BC-E072-41D8-B3DF-8C151C2F177A}"/>
    <cellStyle name="Normal 7 3 2 3" xfId="817" xr:uid="{91E59E70-9E67-4067-A887-47F6DE5A200F}"/>
    <cellStyle name="Normal 7 3 2 3 2" xfId="818" xr:uid="{E79EC0E8-9602-475B-BEAD-F80887C14F50}"/>
    <cellStyle name="Normal 7 3 2 4" xfId="819" xr:uid="{C86BC0BA-69D2-47CC-8ABB-ADA23A080C14}"/>
    <cellStyle name="Normal 7 3 2 5" xfId="812" xr:uid="{F10BD73D-239C-4EC5-AC7F-BE0CEDDE1E8C}"/>
    <cellStyle name="Normal 7 3 3" xfId="196" xr:uid="{E5F5E5B8-E1B3-4FAC-BA40-819EE14C3354}"/>
    <cellStyle name="Normal 7 3 3 2" xfId="821" xr:uid="{19C8EF4F-C398-41CD-AEAA-3A562B94356B}"/>
    <cellStyle name="Normal 7 3 3 2 2" xfId="822" xr:uid="{A3F45FE4-5045-494B-904E-6A4606FC6F0E}"/>
    <cellStyle name="Normal 7 3 3 3" xfId="823" xr:uid="{2F6B5B6F-FF89-458D-A9BE-816A2CA5EB03}"/>
    <cellStyle name="Normal 7 3 3 4" xfId="820" xr:uid="{27D6E831-C34C-4A00-886B-1FC49BEDF34C}"/>
    <cellStyle name="Normal 7 3 4" xfId="824" xr:uid="{D1E16CC9-932B-49C2-BB4A-12E573918082}"/>
    <cellStyle name="Normal 7 3 4 2" xfId="825" xr:uid="{30473566-DC6B-444E-95FC-24BAC37E9EFB}"/>
    <cellStyle name="Normal 7 3 5" xfId="826" xr:uid="{E69BA4C9-1BA6-420F-9427-941F2CD7507B}"/>
    <cellStyle name="Normal 7 3 6" xfId="811" xr:uid="{1CB58154-814A-4BF5-B519-5E045499A29A}"/>
    <cellStyle name="Normal 7 4" xfId="197" xr:uid="{6FFBFF6E-502E-4685-AF1A-F5FCBC069831}"/>
    <cellStyle name="Normal 7 4 2" xfId="198" xr:uid="{43A5E525-C9B0-4EA4-BB5F-796473043DDF}"/>
    <cellStyle name="Normal 7 4 2 2" xfId="199" xr:uid="{368D762A-9650-41A0-882F-2A8DD9023D20}"/>
    <cellStyle name="Normal 7 4 2 2 2" xfId="830" xr:uid="{5D490D56-42B1-4B7D-B9D0-44772D631FF1}"/>
    <cellStyle name="Normal 7 4 2 2 3" xfId="829" xr:uid="{E436B738-8A87-441F-B23B-F188F1BE8466}"/>
    <cellStyle name="Normal 7 4 2 3" xfId="831" xr:uid="{E5E0816A-940D-46C1-B708-FE0E31B680DD}"/>
    <cellStyle name="Normal 7 4 2 4" xfId="828" xr:uid="{FE520072-30A3-43BC-BFCD-5E5BBFDE5896}"/>
    <cellStyle name="Normal 7 4 3" xfId="200" xr:uid="{4F2F0AE3-D1C8-40E4-97A9-BA5442CEC4CC}"/>
    <cellStyle name="Normal 7 4 3 2" xfId="833" xr:uid="{48FA2B7F-F416-4731-95AA-0BD07D7EC1B5}"/>
    <cellStyle name="Normal 7 4 3 3" xfId="832" xr:uid="{0BDB433E-E686-43A0-8A14-E91A25215F2D}"/>
    <cellStyle name="Normal 7 4 4" xfId="834" xr:uid="{C76133E4-E65D-4D80-95B9-A3F83573AE00}"/>
    <cellStyle name="Normal 7 4 5" xfId="827" xr:uid="{88EF568C-911F-4139-9B30-7E034EBF22EE}"/>
    <cellStyle name="Normal 7 5" xfId="201" xr:uid="{15018CEE-9539-4871-9EE6-877ED4662B97}"/>
    <cellStyle name="Normal 7 5 2" xfId="202" xr:uid="{8733BD67-CD11-45C2-A7C2-BBA87F2ADD80}"/>
    <cellStyle name="Normal 7 5 2 2" xfId="837" xr:uid="{508D8689-F316-484C-B714-31E195CAF3BF}"/>
    <cellStyle name="Normal 7 5 2 2 2" xfId="838" xr:uid="{1133C6B0-5CE3-4E2C-885B-7FD66E67E69D}"/>
    <cellStyle name="Normal 7 5 2 3" xfId="839" xr:uid="{5B8D60D2-018D-423E-8AF2-338B3C4AD180}"/>
    <cellStyle name="Normal 7 5 2 4" xfId="836" xr:uid="{12E779FA-7F15-4FA9-AE1F-5EE8354A8B72}"/>
    <cellStyle name="Normal 7 5 3" xfId="840" xr:uid="{86BB219D-F8B1-46CB-87D3-6939302AEA0F}"/>
    <cellStyle name="Normal 7 5 3 2" xfId="841" xr:uid="{F763BDB5-8A19-4202-9CAF-F37CE228EA8C}"/>
    <cellStyle name="Normal 7 5 4" xfId="842" xr:uid="{357D3910-F40C-4A7D-9AF3-41CB9FC575F7}"/>
    <cellStyle name="Normal 7 5 5" xfId="835" xr:uid="{853C6088-14E8-4FD2-90F7-F5DD34541745}"/>
    <cellStyle name="Normal 7 6" xfId="203" xr:uid="{1D3568F2-21CE-4E2A-BD49-59CF1711ECE9}"/>
    <cellStyle name="Normal 7 6 2" xfId="844" xr:uid="{53E45D6F-96A9-48D7-A805-506243AE0931}"/>
    <cellStyle name="Normal 7 6 2 2" xfId="845" xr:uid="{B399593A-B6F5-486F-8AC7-F3ADF110CEF7}"/>
    <cellStyle name="Normal 7 6 3" xfId="846" xr:uid="{61D6B6A2-6CD3-43DF-9CE7-4C8056F3D725}"/>
    <cellStyle name="Normal 7 6 4" xfId="843" xr:uid="{C4FD7F24-6199-454B-9694-A08629BD1BA7}"/>
    <cellStyle name="Normal 7 7" xfId="847" xr:uid="{64E25787-08DA-4638-BEC7-BE3FD122A556}"/>
    <cellStyle name="Normal 7 7 2" xfId="848" xr:uid="{2E15EE38-422A-498D-9F74-B1370F5C5CDD}"/>
    <cellStyle name="Normal 7 8" xfId="849" xr:uid="{123F7961-747B-4FEF-A709-26E387700D02}"/>
    <cellStyle name="Normal 7 8 2" xfId="850" xr:uid="{AD0F53DD-746F-4627-9662-EE55450B4018}"/>
    <cellStyle name="Normal 7 9" xfId="851" xr:uid="{8FDAB20A-53B7-4CD0-B3D1-C38E97ECD9B2}"/>
    <cellStyle name="Normal 8" xfId="8" xr:uid="{8FA9CBC2-569B-420E-8841-AB1BBF41C3DD}"/>
    <cellStyle name="Normal 8 2" xfId="852" xr:uid="{A341D7ED-FE0E-4A7F-A8BB-A17F0EC3276E}"/>
    <cellStyle name="Normal 9" xfId="853" xr:uid="{99470782-9BE3-474B-BF08-568A01764B22}"/>
    <cellStyle name="Normal 9 2" xfId="854" xr:uid="{BDDB2D56-9353-4BB5-84F3-51E24F22A3A4}"/>
    <cellStyle name="Normal_Nov 06 Exhibit B1 - Page 3 of 6" xfId="3" xr:uid="{00000000-0005-0000-0000-000004000000}"/>
    <cellStyle name="Normal_Nov 06 Exhibit B1 - Page 4 of 6" xfId="4" xr:uid="{00000000-0005-0000-0000-000005000000}"/>
    <cellStyle name="Normal_Nov 06 Exhibit E-1. xls" xfId="5" xr:uid="{00000000-0005-0000-0000-000006000000}"/>
    <cellStyle name="Note 2" xfId="855" xr:uid="{02DB5ACC-5513-47E2-AD6A-5ADB6CD403D3}"/>
    <cellStyle name="Note 3" xfId="856" xr:uid="{8829AB26-951C-485A-9827-8E04A52A1AAB}"/>
    <cellStyle name="Output 2" xfId="857" xr:uid="{171D0349-7281-40AC-A39B-F5593D2D2C62}"/>
    <cellStyle name="Output 3" xfId="858" xr:uid="{A3992517-7FC9-4342-9853-3187A16CDBDA}"/>
    <cellStyle name="Output Amounts" xfId="204" xr:uid="{665E616F-6282-4278-9243-BAB26CDF4355}"/>
    <cellStyle name="Output Column Headings" xfId="205" xr:uid="{0222E962-01B0-4698-BC6A-ABA3B1F27381}"/>
    <cellStyle name="Output Column Headings 2" xfId="859" xr:uid="{22D82F36-60A3-446C-9898-7A98E39C2A48}"/>
    <cellStyle name="Output Line Items" xfId="206" xr:uid="{4B85C64F-C663-4B2E-BDC3-07DC084FE7F8}"/>
    <cellStyle name="Output Line Items 2" xfId="207" xr:uid="{7A95BE31-C21E-47E9-9604-B4B752D74CA0}"/>
    <cellStyle name="Output Line Items 2 2" xfId="861" xr:uid="{88DAF4DF-6812-4E51-A942-D4B00E14E78C}"/>
    <cellStyle name="Output Line Items 3" xfId="860" xr:uid="{90AC76F3-8E51-4B47-92CC-48D6E781C669}"/>
    <cellStyle name="Output Report Heading" xfId="208" xr:uid="{B4B64925-EA90-4441-8790-17C80DE0B036}"/>
    <cellStyle name="Output Report Heading 2" xfId="862" xr:uid="{13ACBEAC-1F2A-4D7E-914B-279047D4BFD0}"/>
    <cellStyle name="Output Report Title" xfId="209" xr:uid="{26E79A72-5E27-4EBB-908A-1726F0A486E0}"/>
    <cellStyle name="Output Report Title 2" xfId="863" xr:uid="{87C71BC8-8EB2-462B-91C5-891EA7F34098}"/>
    <cellStyle name="Percent" xfId="7" builtinId="5"/>
    <cellStyle name="Percent 2" xfId="210" xr:uid="{01110D31-BE65-46E2-9795-E46C4AED2505}"/>
    <cellStyle name="Percent 2 2" xfId="211" xr:uid="{D688D22C-6DF0-4B02-999E-80356465A9C1}"/>
    <cellStyle name="Percent 3" xfId="212" xr:uid="{1AE62836-C4A6-406E-8FB8-CF3DFDE0318B}"/>
    <cellStyle name="Percent 3 2" xfId="213" xr:uid="{DB74E073-A31E-40E9-87B5-EBF867398A06}"/>
    <cellStyle name="Percent 3 2 2" xfId="214" xr:uid="{D2505094-6D4C-4EDD-8AE7-9CED6171B3DC}"/>
    <cellStyle name="Percent 3 2 2 2" xfId="215" xr:uid="{49975735-3701-4B65-87CE-7D734D83B48D}"/>
    <cellStyle name="Percent 3 2 2 2 2" xfId="216" xr:uid="{7E31F89D-AB4B-4AF7-8C46-3C2DAE511978}"/>
    <cellStyle name="Percent 3 2 2 2 2 2" xfId="869" xr:uid="{D3ACB816-59AF-4645-90AE-E9F9516FAF4D}"/>
    <cellStyle name="Percent 3 2 2 2 2 2 2" xfId="870" xr:uid="{B1EB2339-E889-4B4D-AFA3-DCA029F98A23}"/>
    <cellStyle name="Percent 3 2 2 2 2 3" xfId="871" xr:uid="{0BF83D59-BEEE-48DC-BB71-C8E4E6D6C26D}"/>
    <cellStyle name="Percent 3 2 2 2 2 4" xfId="868" xr:uid="{2FB534CB-A070-4029-9057-AB833C08FD6E}"/>
    <cellStyle name="Percent 3 2 2 2 3" xfId="872" xr:uid="{247A97B7-4490-4762-AC31-D41954B60E83}"/>
    <cellStyle name="Percent 3 2 2 2 3 2" xfId="873" xr:uid="{61AF8F67-905A-4DBC-9030-7DF3C13B2AD6}"/>
    <cellStyle name="Percent 3 2 2 2 4" xfId="874" xr:uid="{E2162699-28EF-489B-A698-E2342F902201}"/>
    <cellStyle name="Percent 3 2 2 2 5" xfId="867" xr:uid="{AF1D094B-B8F8-4B30-9F77-68FB2E3FED3B}"/>
    <cellStyle name="Percent 3 2 2 3" xfId="217" xr:uid="{B4C46823-12A8-4BD1-B585-0A29F878386D}"/>
    <cellStyle name="Percent 3 2 2 3 2" xfId="876" xr:uid="{B12613C7-6C95-4AA4-B047-BF6E2F92ABA2}"/>
    <cellStyle name="Percent 3 2 2 3 2 2" xfId="877" xr:uid="{4182D638-03EF-4679-A4DC-A9D3A2E1615D}"/>
    <cellStyle name="Percent 3 2 2 3 3" xfId="878" xr:uid="{BCEC767A-B02E-4CBF-B866-52F1AF2F07E2}"/>
    <cellStyle name="Percent 3 2 2 3 4" xfId="875" xr:uid="{6ADEAA0E-379F-4D40-A289-79F89F875F38}"/>
    <cellStyle name="Percent 3 2 2 4" xfId="879" xr:uid="{BB68042A-BA74-4B9A-80A1-C5D7A4ACCD60}"/>
    <cellStyle name="Percent 3 2 2 4 2" xfId="880" xr:uid="{E5964D54-E20D-45A8-9044-A00A60EABC0B}"/>
    <cellStyle name="Percent 3 2 2 5" xfId="881" xr:uid="{07534B5E-3D06-4274-A960-44FDF8678877}"/>
    <cellStyle name="Percent 3 2 2 6" xfId="866" xr:uid="{C009D2D8-1984-428F-9BE6-4498031FD256}"/>
    <cellStyle name="Percent 3 2 3" xfId="218" xr:uid="{5443B054-4841-4AAF-96AE-031333C10156}"/>
    <cellStyle name="Percent 3 2 3 2" xfId="219" xr:uid="{69A6C7C2-C97E-466E-8BBD-8410646EAF29}"/>
    <cellStyle name="Percent 3 2 3 2 2" xfId="220" xr:uid="{961D612D-C834-423C-A4D1-BB3263AA1CD7}"/>
    <cellStyle name="Percent 3 2 3 2 2 2" xfId="885" xr:uid="{3EBD6C73-C277-4BE6-80A7-64C2ABFFD309}"/>
    <cellStyle name="Percent 3 2 3 2 2 3" xfId="884" xr:uid="{974A5561-6B57-4DF5-B085-CF5970FAD125}"/>
    <cellStyle name="Percent 3 2 3 2 3" xfId="886" xr:uid="{B051D68B-186C-4AB4-ADF3-BE2999D43A19}"/>
    <cellStyle name="Percent 3 2 3 2 4" xfId="883" xr:uid="{C192E3E5-1524-4C48-9349-68F2B0FBF4EE}"/>
    <cellStyle name="Percent 3 2 3 3" xfId="221" xr:uid="{549C414C-0CDE-4F9F-9429-A16D50E00D81}"/>
    <cellStyle name="Percent 3 2 3 3 2" xfId="888" xr:uid="{0B7AC897-975F-4103-974D-EAC9B8351EA4}"/>
    <cellStyle name="Percent 3 2 3 3 3" xfId="887" xr:uid="{54974C3C-40EF-44FF-9791-552F43CADC68}"/>
    <cellStyle name="Percent 3 2 3 4" xfId="889" xr:uid="{09A6C31A-C84E-4BA3-BFCC-AD31A874AC5F}"/>
    <cellStyle name="Percent 3 2 3 5" xfId="882" xr:uid="{FBF50A63-90ED-4932-894E-C7584E670570}"/>
    <cellStyle name="Percent 3 2 4" xfId="222" xr:uid="{7A32B98B-C702-4308-A1AC-DB7694B6237F}"/>
    <cellStyle name="Percent 3 2 4 2" xfId="223" xr:uid="{28EABE8D-75B1-484C-BD32-C084BD972A19}"/>
    <cellStyle name="Percent 3 2 4 2 2" xfId="892" xr:uid="{E91A49B7-2B56-46CF-B2E4-7EF171B6D7B0}"/>
    <cellStyle name="Percent 3 2 4 2 2 2" xfId="893" xr:uid="{E876D22C-F141-4DD3-B9DD-A71ED22D5293}"/>
    <cellStyle name="Percent 3 2 4 2 3" xfId="894" xr:uid="{A72F313D-802E-4CC1-ACC6-1CFCE90D464E}"/>
    <cellStyle name="Percent 3 2 4 2 4" xfId="891" xr:uid="{88501F41-3C9B-469B-BD75-EC528B3CE354}"/>
    <cellStyle name="Percent 3 2 4 3" xfId="895" xr:uid="{B2BC6620-A918-4632-808B-D7DD83A52F0E}"/>
    <cellStyle name="Percent 3 2 4 3 2" xfId="896" xr:uid="{F984A665-E15F-45AB-BF88-E8AB2775D708}"/>
    <cellStyle name="Percent 3 2 4 4" xfId="897" xr:uid="{4EC747FF-801C-49BA-A94D-809C3E38AD17}"/>
    <cellStyle name="Percent 3 2 4 5" xfId="890" xr:uid="{6DC8F81C-AB4C-41AB-8B98-D55FA074D9C9}"/>
    <cellStyle name="Percent 3 2 5" xfId="224" xr:uid="{F5DBB989-AFF2-4385-9614-7F99CAEAFC1F}"/>
    <cellStyle name="Percent 3 2 5 2" xfId="899" xr:uid="{882B85B1-D4FF-4C27-91D2-16C22C391109}"/>
    <cellStyle name="Percent 3 2 5 2 2" xfId="900" xr:uid="{C8F712B5-56C8-4529-8DE4-7F436967CCF5}"/>
    <cellStyle name="Percent 3 2 5 3" xfId="901" xr:uid="{78D63BE9-7FD2-4475-9414-929CC9D702D6}"/>
    <cellStyle name="Percent 3 2 5 4" xfId="898" xr:uid="{C775BDDE-C816-4B53-A045-DAA7EADA5847}"/>
    <cellStyle name="Percent 3 2 6" xfId="902" xr:uid="{D71A76CD-BD7C-409F-97D6-83E91BFEC6A4}"/>
    <cellStyle name="Percent 3 2 6 2" xfId="903" xr:uid="{53B15628-9B0B-41EB-AAA1-B3E72FFAAFEC}"/>
    <cellStyle name="Percent 3 2 7" xfId="904" xr:uid="{9BF12DEC-C3DE-49AB-8600-E88973E11992}"/>
    <cellStyle name="Percent 3 2 8" xfId="865" xr:uid="{AD0E830D-7F66-476E-B3F9-C36E04904394}"/>
    <cellStyle name="Percent 3 3" xfId="225" xr:uid="{67E2542E-9E44-46F5-8B24-03433CD69588}"/>
    <cellStyle name="Percent 3 3 2" xfId="226" xr:uid="{4F8551E5-1409-4EF8-A674-7005D12B5704}"/>
    <cellStyle name="Percent 3 3 2 2" xfId="227" xr:uid="{63676982-9B9E-408F-9390-DC2535B7666C}"/>
    <cellStyle name="Percent 3 3 2 2 2" xfId="908" xr:uid="{D12EF6C1-57B4-4714-BA72-42EB3B8167DA}"/>
    <cellStyle name="Percent 3 3 2 2 2 2" xfId="909" xr:uid="{9ACC387E-34D9-42AF-ADF6-E389AE33D031}"/>
    <cellStyle name="Percent 3 3 2 2 3" xfId="910" xr:uid="{EEB06570-82DA-47E5-8576-635BF2A79156}"/>
    <cellStyle name="Percent 3 3 2 2 4" xfId="907" xr:uid="{D09E383D-F4AF-4C51-A898-BB2847DDA9FB}"/>
    <cellStyle name="Percent 3 3 2 3" xfId="911" xr:uid="{20D66DB2-AFD6-43EC-866A-C8A3ABB15EB9}"/>
    <cellStyle name="Percent 3 3 2 3 2" xfId="912" xr:uid="{9B346676-0484-4B94-B3E8-EB8A6DD383CA}"/>
    <cellStyle name="Percent 3 3 2 4" xfId="913" xr:uid="{3A3157EA-1DB5-4CC8-AF1E-9924A27F64B8}"/>
    <cellStyle name="Percent 3 3 2 5" xfId="906" xr:uid="{54FE8EAF-C36F-418F-ADDD-5D063D2A2139}"/>
    <cellStyle name="Percent 3 3 3" xfId="228" xr:uid="{1749CFA2-2062-42A8-95CB-7AE45540D0DE}"/>
    <cellStyle name="Percent 3 3 3 2" xfId="915" xr:uid="{8AD67535-DE5C-43FB-BCA0-D76CC0CEDA24}"/>
    <cellStyle name="Percent 3 3 3 2 2" xfId="916" xr:uid="{B415512C-0E29-400A-9318-3BA66C951C2E}"/>
    <cellStyle name="Percent 3 3 3 3" xfId="917" xr:uid="{A772C4A2-53ED-4D2B-A32A-6010B3192B1D}"/>
    <cellStyle name="Percent 3 3 3 4" xfId="914" xr:uid="{EFD9B9C4-01E0-4AC4-855C-E5BDF2C1894B}"/>
    <cellStyle name="Percent 3 3 4" xfId="918" xr:uid="{B8593FDE-866C-497F-AF98-6F5EC5CCBDBE}"/>
    <cellStyle name="Percent 3 3 4 2" xfId="919" xr:uid="{E90FB635-6FBD-481E-BE50-1367997B01EA}"/>
    <cellStyle name="Percent 3 3 5" xfId="920" xr:uid="{BD3AE513-B583-46A8-BFE8-E09034CBF13D}"/>
    <cellStyle name="Percent 3 3 6" xfId="905" xr:uid="{176ED81E-FA78-4ECB-9C17-F04A5B8644D8}"/>
    <cellStyle name="Percent 3 4" xfId="229" xr:uid="{487004A0-9083-4D19-ADFD-D5E58E491F32}"/>
    <cellStyle name="Percent 3 4 2" xfId="230" xr:uid="{BD49C179-E11E-424D-B75C-E99247FCB69B}"/>
    <cellStyle name="Percent 3 4 2 2" xfId="231" xr:uid="{D7E28AEE-54AE-4920-B37D-117BCACFFF78}"/>
    <cellStyle name="Percent 3 4 2 2 2" xfId="924" xr:uid="{20F59DCB-164B-4297-B248-B2DD05020B44}"/>
    <cellStyle name="Percent 3 4 2 2 3" xfId="923" xr:uid="{8828CDFC-A850-4894-A8D8-C9BEDC16DF9B}"/>
    <cellStyle name="Percent 3 4 2 3" xfId="925" xr:uid="{C2A937DA-CDB0-46F1-87B7-67F64D49EA45}"/>
    <cellStyle name="Percent 3 4 2 4" xfId="922" xr:uid="{43CEF936-8540-4BCC-A5FA-114B606A9691}"/>
    <cellStyle name="Percent 3 4 3" xfId="232" xr:uid="{261EAC59-D872-47EF-95B6-050FB9DC5B68}"/>
    <cellStyle name="Percent 3 4 3 2" xfId="927" xr:uid="{DE698853-AD08-4128-8BBF-90EBDD6EBDE2}"/>
    <cellStyle name="Percent 3 4 3 3" xfId="926" xr:uid="{67B2199E-636A-41C9-9FA9-D38E29E23F5C}"/>
    <cellStyle name="Percent 3 4 4" xfId="928" xr:uid="{82614B7A-B0D2-4653-A19C-80EC6881003A}"/>
    <cellStyle name="Percent 3 4 5" xfId="921" xr:uid="{B44F3205-5CEA-41FA-B090-37B19CCAD6E5}"/>
    <cellStyle name="Percent 3 5" xfId="233" xr:uid="{7B5D1022-C0A9-4448-9870-0FCA660C411E}"/>
    <cellStyle name="Percent 3 5 2" xfId="234" xr:uid="{E0C0D856-0F38-4D13-BF3B-45766977FD8D}"/>
    <cellStyle name="Percent 3 5 2 2" xfId="931" xr:uid="{85CC0BEC-2ADB-469F-8513-924FD9B22903}"/>
    <cellStyle name="Percent 3 5 2 2 2" xfId="932" xr:uid="{BD8536D6-9E1A-4A5F-B1C1-9F8A74F594FB}"/>
    <cellStyle name="Percent 3 5 2 3" xfId="933" xr:uid="{07486167-343E-4C62-8182-08A040BA8003}"/>
    <cellStyle name="Percent 3 5 2 4" xfId="930" xr:uid="{BEE81710-E167-4F5D-879B-4F306419BB9F}"/>
    <cellStyle name="Percent 3 5 3" xfId="934" xr:uid="{59324319-6E71-4DF1-8BD8-48B0395900E8}"/>
    <cellStyle name="Percent 3 5 3 2" xfId="935" xr:uid="{41A6E4B2-9422-436A-B06F-644DA238B3A0}"/>
    <cellStyle name="Percent 3 5 4" xfId="936" xr:uid="{7D43867B-D5C0-49B1-8ACE-72C62C82ABA5}"/>
    <cellStyle name="Percent 3 5 5" xfId="929" xr:uid="{D1F8849F-9C60-4551-8997-B69200FCD1D2}"/>
    <cellStyle name="Percent 3 6" xfId="235" xr:uid="{222C6039-1D1C-4581-A943-C87B6C9867F6}"/>
    <cellStyle name="Percent 3 6 2" xfId="938" xr:uid="{7B9B3CF3-881D-4C26-99DE-036C2DFE2C91}"/>
    <cellStyle name="Percent 3 6 2 2" xfId="939" xr:uid="{193BC87F-3995-46CE-82D3-F8FCFFF19FD1}"/>
    <cellStyle name="Percent 3 6 3" xfId="940" xr:uid="{0DBF0949-AA18-4322-80F9-5328E260501E}"/>
    <cellStyle name="Percent 3 6 4" xfId="937" xr:uid="{7915F011-6415-49A1-852A-FE1652E9A1AD}"/>
    <cellStyle name="Percent 3 7" xfId="941" xr:uid="{46B448A0-0A00-464A-B82D-E3F5A0953373}"/>
    <cellStyle name="Percent 3 7 2" xfId="942" xr:uid="{ED6F3C74-8D59-42F7-B859-70DEDEC04EE7}"/>
    <cellStyle name="Percent 3 8" xfId="943" xr:uid="{7017553C-058F-4DDA-842E-F68FA658D212}"/>
    <cellStyle name="Percent 3 9" xfId="864" xr:uid="{CF83B369-8485-4D26-BE6E-2CA793AC72EC}"/>
    <cellStyle name="Percent 4" xfId="944" xr:uid="{89266694-C937-4A97-81E0-DE10207C31A7}"/>
    <cellStyle name="Percent 5" xfId="945" xr:uid="{288DD8A8-B7F7-47AB-AA54-43087D024697}"/>
    <cellStyle name="ReportTitlePrompt" xfId="236" xr:uid="{0ACF56E1-ACFC-4E1A-8F69-295A25F53BE6}"/>
    <cellStyle name="ReportTitlePrompt 2" xfId="946" xr:uid="{3EAC2C59-6527-4166-80F5-32FB84027A68}"/>
    <cellStyle name="ReportTitleValue" xfId="237" xr:uid="{46E3B6CF-0F31-4824-877A-F8067152EB8E}"/>
    <cellStyle name="RowAcctAbovePrompt" xfId="238" xr:uid="{06451C0B-CEF0-44AB-8910-E22C4EAE0674}"/>
    <cellStyle name="RowAcctAbovePrompt 2" xfId="947" xr:uid="{1D8BCB50-1F8C-4621-A32C-433B1617F2B8}"/>
    <cellStyle name="RowAcctSOBAbovePrompt" xfId="239" xr:uid="{11BF2E57-A94B-4D8F-AD46-25DED2B7E567}"/>
    <cellStyle name="RowAcctSOBAbovePrompt 2" xfId="948" xr:uid="{FD1AD7AC-2A85-4D60-987B-808457A57F50}"/>
    <cellStyle name="RowAcctSOBValue" xfId="240" xr:uid="{61DD62BC-731A-48D7-B097-51BEF35150C5}"/>
    <cellStyle name="RowAcctSOBValue 2" xfId="949" xr:uid="{9919D645-9C1C-4C0C-A5EA-86CF86881536}"/>
    <cellStyle name="RowAcctValue" xfId="241" xr:uid="{EAEDA716-D199-40FB-9771-AE4827005EE1}"/>
    <cellStyle name="RowAttrAbovePrompt" xfId="242" xr:uid="{5ED4522F-F77D-4BC0-82D0-287CF361CADF}"/>
    <cellStyle name="RowAttrAbovePrompt 2" xfId="950" xr:uid="{F33B0654-899C-4C4B-919B-1A5DA7414DDB}"/>
    <cellStyle name="RowAttrValue" xfId="243" xr:uid="{61298BBD-C33E-4549-8FC3-7890E5ACDD87}"/>
    <cellStyle name="RowColSetAbovePrompt" xfId="244" xr:uid="{3471F1C4-A274-46BF-BD0A-142DEBA250A9}"/>
    <cellStyle name="RowColSetAbovePrompt 2" xfId="951" xr:uid="{427BB611-8794-4835-A334-DB7C3E313D6C}"/>
    <cellStyle name="RowColSetLeftPrompt" xfId="245" xr:uid="{9D8940E8-9BDE-45D7-BF21-EDDE016ED7E3}"/>
    <cellStyle name="RowColSetLeftPrompt 2" xfId="952" xr:uid="{A811DB7E-DE48-4CF6-837D-39905F0E2571}"/>
    <cellStyle name="RowColSetValue" xfId="246" xr:uid="{0D0E6C3E-A75F-4203-B0A2-94ACE8B69EB8}"/>
    <cellStyle name="RowLeftPrompt" xfId="247" xr:uid="{E8E2CEAF-0BD7-4980-9583-F1562DD732D1}"/>
    <cellStyle name="RowLeftPrompt 2" xfId="953" xr:uid="{693D06A0-B577-41FE-9ED0-6CF63CE8D417}"/>
    <cellStyle name="SampleUsingFormatMask" xfId="248" xr:uid="{AEDCDDCB-3826-4ABA-B1BA-C499EBCF0F94}"/>
    <cellStyle name="SampleUsingFormatMask 2" xfId="954" xr:uid="{0C7B01CA-F7DA-4DB7-AC93-E9734FFF7640}"/>
    <cellStyle name="SampleWithNoFormatMask" xfId="249" xr:uid="{947272C7-4DFA-4F99-9DC6-23CFCD4837DD}"/>
    <cellStyle name="SampleWithNoFormatMask 2" xfId="955" xr:uid="{3EF560CB-7851-4A3B-8A99-7F76EE0F437C}"/>
    <cellStyle name="SAPBorder" xfId="995" xr:uid="{D513B527-0718-4389-BDD9-0D771E631052}"/>
    <cellStyle name="SAPDataCell" xfId="977" xr:uid="{74CA0342-7980-4820-8B15-11C37382C3F5}"/>
    <cellStyle name="SAPDataRemoved" xfId="996" xr:uid="{E16F6E23-9982-43F3-9E48-EE8D86C21D23}"/>
    <cellStyle name="SAPDataTotalCell" xfId="978" xr:uid="{BCECD39F-7572-4CA9-8F5A-CD5A4676FDB9}"/>
    <cellStyle name="SAPDimensionCell" xfId="976" xr:uid="{5A9BC0D0-2E6D-4E4D-83EB-7DAA9EA6F05C}"/>
    <cellStyle name="SAPEditableDataCell" xfId="980" xr:uid="{8E3EE4FA-EA2E-4925-BE94-50E845106400}"/>
    <cellStyle name="SAPEditableDataTotalCell" xfId="983" xr:uid="{38208C50-DF2E-427B-8B11-CC39C91F4450}"/>
    <cellStyle name="SAPEmphasized" xfId="1006" xr:uid="{75F10FD6-0827-4A05-A919-F864BD0B2BCA}"/>
    <cellStyle name="SAPEmphasizedEditableDataCell" xfId="1008" xr:uid="{1AA2A7D9-11FB-4477-A77A-89713CC0169B}"/>
    <cellStyle name="SAPEmphasizedEditableDataTotalCell" xfId="1009" xr:uid="{686202A6-5D71-4DCD-9CCA-CF56B1181DC0}"/>
    <cellStyle name="SAPEmphasizedLockedDataCell" xfId="1012" xr:uid="{44D999DE-6899-4FC3-B8CC-03AAD9479369}"/>
    <cellStyle name="SAPEmphasizedLockedDataTotalCell" xfId="1013" xr:uid="{78A539AE-8C5D-451B-AB7C-395A17121834}"/>
    <cellStyle name="SAPEmphasizedReadonlyDataCell" xfId="1010" xr:uid="{FF5F883A-CFB9-4597-804D-1189173BD77D}"/>
    <cellStyle name="SAPEmphasizedReadonlyDataTotalCell" xfId="1011" xr:uid="{76D4CFB0-C393-43DA-BBAC-2CFEC8C681BC}"/>
    <cellStyle name="SAPEmphasizedTotal" xfId="1007" xr:uid="{4924BF6F-FDF2-47DC-890E-E2FEC898055C}"/>
    <cellStyle name="SAPError" xfId="997" xr:uid="{5C6472FF-A0C4-484A-8942-772BF1656AF7}"/>
    <cellStyle name="SAPExceptionLevel1" xfId="986" xr:uid="{46231D6B-9D55-441A-8353-4EE1C6CB340D}"/>
    <cellStyle name="SAPExceptionLevel2" xfId="987" xr:uid="{F3F66FED-53DB-4BE5-A0D7-68FC65C04C21}"/>
    <cellStyle name="SAPExceptionLevel3" xfId="988" xr:uid="{ACEA782F-AAA6-4F97-817C-AB6CBC5F8844}"/>
    <cellStyle name="SAPExceptionLevel4" xfId="989" xr:uid="{AA2076A4-4D24-4565-93DE-3D11C8ABA0B8}"/>
    <cellStyle name="SAPExceptionLevel5" xfId="990" xr:uid="{491EDDCE-AE2C-4A67-8874-CEC2DA586911}"/>
    <cellStyle name="SAPExceptionLevel6" xfId="991" xr:uid="{48746E85-5E49-4126-8B2C-F59D205F3C7D}"/>
    <cellStyle name="SAPExceptionLevel7" xfId="992" xr:uid="{03B13D58-991A-431C-86FA-3901B375D2E4}"/>
    <cellStyle name="SAPExceptionLevel8" xfId="993" xr:uid="{7F2DAD67-73D1-4BC5-BEF7-B1B007DF48D1}"/>
    <cellStyle name="SAPExceptionLevel9" xfId="994" xr:uid="{65C37020-165F-42C1-B024-08C03CA2D3F2}"/>
    <cellStyle name="SAPFormula" xfId="1014" xr:uid="{FFB3354B-C3D9-456D-BA4B-2AF3009919F4}"/>
    <cellStyle name="SAPGroupingFillCell" xfId="979" xr:uid="{C507DFF4-25A4-4564-97F1-60F72369E1BE}"/>
    <cellStyle name="SAPHierarchyCell0" xfId="1001" xr:uid="{BFA12711-1C82-44F2-AF19-E01708F2058A}"/>
    <cellStyle name="SAPHierarchyCell1" xfId="1002" xr:uid="{4FEDBEA6-82F8-4ED5-83A5-849BD9CF3451}"/>
    <cellStyle name="SAPHierarchyCell2" xfId="1003" xr:uid="{F9FDD327-6A99-453D-9DB5-181093BB2440}"/>
    <cellStyle name="SAPHierarchyCell3" xfId="1004" xr:uid="{C2AC008D-0377-4409-BD09-F1E4B8BE4ED6}"/>
    <cellStyle name="SAPHierarchyCell4" xfId="1005" xr:uid="{14482FF9-3D55-40C4-AB33-66FF93424AF4}"/>
    <cellStyle name="SAPLockedDataCell" xfId="982" xr:uid="{9B5757E4-6DD4-44FA-BD48-C091485BDB7D}"/>
    <cellStyle name="SAPLockedDataTotalCell" xfId="985" xr:uid="{19D72D79-8BB2-4B9F-9745-5EAA880925DE}"/>
    <cellStyle name="SAPMemberCell" xfId="999" xr:uid="{64DEBA10-45BA-435D-A81A-D6FA04DA6205}"/>
    <cellStyle name="SAPMemberTotalCell" xfId="1000" xr:uid="{9D93C232-5798-4A33-BD96-8AD27691876E}"/>
    <cellStyle name="SAPMessageText" xfId="998" xr:uid="{AD9AE21B-02EB-43F5-91ED-D124BF9D7D25}"/>
    <cellStyle name="SAPReadonlyDataCell" xfId="981" xr:uid="{7C068A1C-26C0-4CBE-852F-80A74EE837A3}"/>
    <cellStyle name="SAPReadonlyDataTotalCell" xfId="984" xr:uid="{E5872352-32AE-45A9-B6CD-95A6FE68A582}"/>
    <cellStyle name="STYL5 - Style5" xfId="250" xr:uid="{92D2ECA5-252B-41AF-9A13-C49C2A5FBEDE}"/>
    <cellStyle name="STYL5 - Style5 2" xfId="251" xr:uid="{8E78BABB-037E-401B-8F5A-CD755A7DE6BB}"/>
    <cellStyle name="STYL5 - Style5 2 2" xfId="957" xr:uid="{7975A674-13AF-45EB-A1D1-B806366B1C7E}"/>
    <cellStyle name="STYL5 - Style5 3" xfId="956" xr:uid="{270F5B00-AB7A-4DF3-8545-4A8A05CD7F82}"/>
    <cellStyle name="STYL6 - Style6" xfId="252" xr:uid="{B6ABF3EA-045B-4390-971C-93708CF7ED9F}"/>
    <cellStyle name="STYL6 - Style6 2" xfId="253" xr:uid="{FABD4ABD-82F4-429A-8729-75AC930A3E1E}"/>
    <cellStyle name="STYL6 - Style6 2 2" xfId="959" xr:uid="{ED5E5C0F-925E-4144-A5CD-0ADA6437312B}"/>
    <cellStyle name="STYL6 - Style6 3" xfId="958" xr:uid="{2C7588A3-93D2-4766-A909-13CF568D6CD0}"/>
    <cellStyle name="STYLE1 - Style1" xfId="254" xr:uid="{463200AD-B74C-4D7C-9195-F32C9B83B83A}"/>
    <cellStyle name="STYLE1 - Style1 2" xfId="255" xr:uid="{E755D578-A6FF-48CC-A49C-F9A94F2D7A4F}"/>
    <cellStyle name="STYLE1 - Style1 2 2" xfId="961" xr:uid="{BEA0769B-D581-469A-BD21-972B27658304}"/>
    <cellStyle name="STYLE1 - Style1 3" xfId="960" xr:uid="{4C60803D-16BA-48DD-8F6F-7FE1BF2511D9}"/>
    <cellStyle name="STYLE2 - Style2" xfId="256" xr:uid="{977B989F-0E9F-4063-B527-FF91E81E82EB}"/>
    <cellStyle name="STYLE2 - Style2 2" xfId="257" xr:uid="{001E4ACC-79F1-4C6B-BCC9-313229066080}"/>
    <cellStyle name="STYLE2 - Style2 2 2" xfId="963" xr:uid="{897BAA3A-BF6F-408F-9F4F-10FC538DCE98}"/>
    <cellStyle name="STYLE2 - Style2 3" xfId="962" xr:uid="{9D6F7086-4833-4BFF-ACA4-7B3A30459B90}"/>
    <cellStyle name="STYLE3 - Style3" xfId="258" xr:uid="{3B445586-108C-4E38-9A46-EDCBA291E035}"/>
    <cellStyle name="STYLE3 - Style3 2" xfId="259" xr:uid="{BC8528CF-9CAF-46F8-A7DA-0735FEEEDAEF}"/>
    <cellStyle name="STYLE3 - Style3 2 2" xfId="965" xr:uid="{2AA764A8-4045-4A25-89E4-E84E1798979F}"/>
    <cellStyle name="STYLE3 - Style3 3" xfId="964" xr:uid="{B95EB7FA-F800-41F1-A1C1-E6D263198099}"/>
    <cellStyle name="STYLE4 - Style4" xfId="260" xr:uid="{8E9A12CC-F1BF-4ADE-930C-F4C53D77209F}"/>
    <cellStyle name="STYLE4 - Style4 2" xfId="261" xr:uid="{99537177-A93E-4919-B8DD-2816760B3939}"/>
    <cellStyle name="STYLE4 - Style4 2 2" xfId="967" xr:uid="{EC1092E3-E3D7-4EBE-AFF3-53BB7ED624F2}"/>
    <cellStyle name="STYLE4 - Style4 3" xfId="966" xr:uid="{7B970978-C6A4-42FF-A90C-2994E8BE9CEA}"/>
    <cellStyle name="Title 2" xfId="968" xr:uid="{04E134C6-BF77-4D20-AE3D-5CC4462425C0}"/>
    <cellStyle name="Title 3" xfId="969" xr:uid="{B15E8937-B986-45E3-AB05-09833423AE9D}"/>
    <cellStyle name="Total 2" xfId="970" xr:uid="{90BE75BC-7588-4A9C-93FD-5F2436A17A75}"/>
    <cellStyle name="Total 3" xfId="971" xr:uid="{D30FCFBD-EEB2-4D4B-943D-B1622C241ED9}"/>
    <cellStyle name="UploadThisRowValue" xfId="262" xr:uid="{C9782C32-6850-49A6-9AB4-A1DDE2C0F834}"/>
    <cellStyle name="UploadThisRowValue 2" xfId="972" xr:uid="{33E9801D-DCE6-44A7-A1B8-1AA875CCC054}"/>
    <cellStyle name="Warning Text 2" xfId="263" xr:uid="{ABE7F218-7F24-4EAE-AF57-E7B278856A24}"/>
    <cellStyle name="Warning Text 2 2" xfId="973" xr:uid="{EA4D2F0F-0AFB-4139-BC9B-A5EA5DCFEFCE}"/>
    <cellStyle name="Warning Text 3" xfId="974" xr:uid="{920940AF-9164-465F-A6B7-EB35254AAE7E}"/>
    <cellStyle name="Warning Text 4" xfId="975" xr:uid="{84571342-E2B4-4D75-99CF-EF09DDD1D8E5}"/>
  </cellStyles>
  <dxfs count="2">
    <dxf>
      <font>
        <color auto="1"/>
      </font>
      <border>
        <vertical/>
        <horizontal/>
      </border>
    </dxf>
    <dxf>
      <border>
        <left style="thin">
          <color rgb="FFFF0000"/>
        </left>
        <right style="thin">
          <color rgb="FFFF0000"/>
        </right>
        <top style="thin">
          <color rgb="FFFF0000"/>
        </top>
        <bottom style="thin">
          <color rgb="FFFF0000"/>
        </bottom>
        <vertical/>
        <horizontal/>
      </border>
    </dxf>
  </dxfs>
  <tableStyles count="0" defaultTableStyle="TableStyleMedium9" defaultPivotStyle="PivotStyleLight16"/>
  <colors>
    <mruColors>
      <color rgb="FFFFFF99"/>
      <color rgb="FF0000FF"/>
      <color rgb="FF0066FF"/>
      <color rgb="FF2006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bwMode="auto">
        <a:noFill/>
        <a:ln w="9525">
          <a:noFill/>
          <a:miter lim="800000"/>
          <a:headEnd/>
          <a:tailEnd/>
        </a:ln>
      </a:spPr>
      <a:bodyPr vertOverflow="clip" vert="horz" wrap="square" lIns="45720" tIns="36576" rIns="0" bIns="0" anchor="b" upright="1"/>
      <a:lstStyle>
        <a:defPPr algn="l" rtl="0">
          <a:defRPr sz="1200" b="1" i="0" u="none" strike="noStrike" baseline="0">
            <a:solidFill>
              <a:srgbClr val="000000"/>
            </a:solidFill>
            <a:latin typeface="Arial"/>
            <a:cs typeface="Arial"/>
          </a:defRPr>
        </a:defPPr>
      </a:lst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34.bin"/><Relationship Id="rId1" Type="http://schemas.openxmlformats.org/officeDocument/2006/relationships/printerSettings" Target="../printerSettings/printerSettings34.bin"/><Relationship Id="rId4" Type="http://schemas.openxmlformats.org/officeDocument/2006/relationships/comments" Target="../comments1.xml"/></Relationships>
</file>

<file path=xl/worksheets/_rels/sheet36.xml.rels><?xml version="1.0" encoding="UTF-8" standalone="yes"?>
<Relationships xmlns="http://schemas.openxmlformats.org/package/2006/relationships"><Relationship Id="rId2" Type="http://schemas.openxmlformats.org/officeDocument/2006/relationships/customProperty" Target="../customProperty35.bin"/><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2" Type="http://schemas.openxmlformats.org/officeDocument/2006/relationships/customProperty" Target="../customProperty36.bin"/><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2" Type="http://schemas.openxmlformats.org/officeDocument/2006/relationships/customProperty" Target="../customProperty37.bin"/><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2" Type="http://schemas.openxmlformats.org/officeDocument/2006/relationships/customProperty" Target="../customProperty38.bin"/><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customProperty" Target="../customProperty39.bin"/><Relationship Id="rId1" Type="http://schemas.openxmlformats.org/officeDocument/2006/relationships/printerSettings" Target="../printerSettings/printerSettings39.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92FB6-FD4C-4FCE-84C5-CAB4B1963CF7}">
  <sheetPr codeName="Sheet19"/>
  <dimension ref="A1:C1"/>
  <sheetViews>
    <sheetView workbookViewId="0"/>
  </sheetViews>
  <sheetFormatPr defaultRowHeight="15.75" x14ac:dyDescent="0.25"/>
  <sheetData>
    <row r="1" spans="1:3" x14ac:dyDescent="0.25">
      <c r="A1" t="s">
        <v>754</v>
      </c>
      <c r="B1" t="s">
        <v>755</v>
      </c>
      <c r="C1" t="s">
        <v>756</v>
      </c>
    </row>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7">
    <tabColor rgb="FF92D050"/>
  </sheetPr>
  <dimension ref="A1:AB25"/>
  <sheetViews>
    <sheetView zoomScaleNormal="100" workbookViewId="0"/>
  </sheetViews>
  <sheetFormatPr defaultColWidth="8.88671875" defaultRowHeight="15.75" x14ac:dyDescent="0.25"/>
  <cols>
    <col min="1" max="1" width="9" style="3" bestFit="1" customWidth="1"/>
    <col min="2" max="2" width="9.5546875" style="3" customWidth="1"/>
    <col min="3" max="3" width="10.21875" style="3" hidden="1" customWidth="1"/>
    <col min="4" max="4" width="13.44140625" style="3" hidden="1" customWidth="1"/>
    <col min="5" max="6" width="11" style="3" hidden="1" customWidth="1"/>
    <col min="7" max="7" width="14.5546875" style="3" hidden="1" customWidth="1"/>
    <col min="8" max="8" width="11.5546875" style="3" customWidth="1"/>
    <col min="9" max="9" width="7.88671875" style="3" customWidth="1"/>
    <col min="10" max="10" width="9.5546875" style="3" hidden="1" customWidth="1"/>
    <col min="11" max="12" width="10.109375" style="3" hidden="1" customWidth="1"/>
    <col min="13" max="13" width="5.5546875" style="3" hidden="1" customWidth="1"/>
    <col min="14" max="14" width="12.88671875" style="3" hidden="1" customWidth="1"/>
    <col min="15" max="15" width="8.6640625" style="3" hidden="1" customWidth="1"/>
    <col min="16" max="16" width="12.109375" style="3" bestFit="1" customWidth="1"/>
    <col min="17" max="17" width="8.109375" style="3" bestFit="1" customWidth="1"/>
    <col min="18" max="18" width="13.109375" style="3" hidden="1" customWidth="1"/>
    <col min="19" max="19" width="9.5546875" style="3" hidden="1" customWidth="1"/>
    <col min="20" max="20" width="12.21875" style="3" bestFit="1" customWidth="1"/>
    <col min="21" max="21" width="10.77734375" style="3" customWidth="1"/>
    <col min="22" max="22" width="9.77734375" style="3" hidden="1" customWidth="1"/>
    <col min="23" max="23" width="9.88671875" style="3" hidden="1" customWidth="1"/>
    <col min="24" max="24" width="10" style="3" hidden="1" customWidth="1"/>
    <col min="25" max="25" width="8.6640625" style="3" hidden="1" customWidth="1"/>
    <col min="26" max="26" width="8.5546875" style="3" hidden="1" customWidth="1"/>
    <col min="27" max="27" width="10.21875" style="3" hidden="1" customWidth="1"/>
    <col min="28" max="28" width="10.109375" style="3" hidden="1" customWidth="1"/>
    <col min="29" max="29" width="5.6640625" style="3" customWidth="1"/>
    <col min="30" max="16384" width="8.88671875" style="3"/>
  </cols>
  <sheetData>
    <row r="1" spans="1:28" s="13" customFormat="1" x14ac:dyDescent="0.25">
      <c r="A1" s="253">
        <v>-1</v>
      </c>
      <c r="B1" s="253">
        <v>-2</v>
      </c>
      <c r="C1" s="253">
        <v>-3</v>
      </c>
      <c r="D1" s="253">
        <v>-4</v>
      </c>
      <c r="E1" s="253">
        <v>-5</v>
      </c>
      <c r="F1" s="253">
        <v>-6</v>
      </c>
      <c r="G1" s="253">
        <v>-7</v>
      </c>
      <c r="H1" s="253">
        <v>-8</v>
      </c>
      <c r="I1" s="253">
        <v>-9</v>
      </c>
      <c r="J1" s="253">
        <v>-10</v>
      </c>
      <c r="K1" s="253">
        <v>-11</v>
      </c>
      <c r="L1" s="253">
        <v>-12</v>
      </c>
      <c r="M1" s="253">
        <v>-13</v>
      </c>
      <c r="N1" s="253">
        <v>-14</v>
      </c>
      <c r="O1" s="253">
        <v>-15</v>
      </c>
      <c r="P1" s="253">
        <v>-16</v>
      </c>
      <c r="Q1" s="253">
        <v>-17</v>
      </c>
      <c r="R1" s="253">
        <v>-18</v>
      </c>
      <c r="S1" s="253">
        <v>-19</v>
      </c>
      <c r="T1" s="253">
        <v>-20</v>
      </c>
      <c r="U1" s="253">
        <v>-21</v>
      </c>
      <c r="V1" s="253">
        <v>-22</v>
      </c>
      <c r="W1" s="253">
        <v>-23</v>
      </c>
      <c r="X1" s="253">
        <v>-24</v>
      </c>
      <c r="Y1" s="253">
        <v>-25</v>
      </c>
      <c r="Z1" s="253">
        <v>-26</v>
      </c>
      <c r="AA1" s="253">
        <v>-27</v>
      </c>
      <c r="AB1" s="253">
        <v>-28</v>
      </c>
    </row>
    <row r="3" spans="1:28" x14ac:dyDescent="0.25">
      <c r="A3" s="13"/>
      <c r="B3" s="245" t="s">
        <v>501</v>
      </c>
      <c r="C3" s="245" t="s">
        <v>501</v>
      </c>
      <c r="D3" s="245" t="s">
        <v>501</v>
      </c>
      <c r="E3" s="245" t="s">
        <v>502</v>
      </c>
      <c r="F3" s="245"/>
      <c r="G3" s="245" t="s">
        <v>503</v>
      </c>
      <c r="H3" s="245" t="s">
        <v>504</v>
      </c>
      <c r="I3" s="245" t="s">
        <v>505</v>
      </c>
      <c r="J3" s="245"/>
      <c r="K3" s="245" t="s">
        <v>506</v>
      </c>
      <c r="L3" s="243" t="s">
        <v>587</v>
      </c>
      <c r="M3" s="243"/>
      <c r="N3" s="634" t="s">
        <v>507</v>
      </c>
      <c r="O3" s="634"/>
      <c r="P3" s="634" t="s">
        <v>508</v>
      </c>
      <c r="Q3" s="634"/>
      <c r="R3" s="634" t="s">
        <v>509</v>
      </c>
      <c r="S3" s="634"/>
      <c r="T3" s="634" t="s">
        <v>510</v>
      </c>
      <c r="U3" s="634"/>
      <c r="V3" s="155" t="s">
        <v>511</v>
      </c>
      <c r="W3" s="155" t="s">
        <v>67</v>
      </c>
      <c r="X3" s="155" t="s">
        <v>512</v>
      </c>
      <c r="Y3" s="155" t="s">
        <v>513</v>
      </c>
      <c r="Z3" s="155" t="s">
        <v>514</v>
      </c>
      <c r="AA3" s="155"/>
      <c r="AB3" s="155"/>
    </row>
    <row r="4" spans="1:28" x14ac:dyDescent="0.25">
      <c r="A4" s="65" t="s">
        <v>261</v>
      </c>
      <c r="B4" s="247" t="s">
        <v>90</v>
      </c>
      <c r="C4" s="247" t="s">
        <v>515</v>
      </c>
      <c r="D4" s="247" t="s">
        <v>516</v>
      </c>
      <c r="E4" s="248" t="s">
        <v>517</v>
      </c>
      <c r="F4" s="416" t="s">
        <v>401</v>
      </c>
      <c r="G4" s="247" t="s">
        <v>518</v>
      </c>
      <c r="H4" s="247" t="s">
        <v>519</v>
      </c>
      <c r="I4" s="247" t="s">
        <v>520</v>
      </c>
      <c r="J4" s="247" t="s">
        <v>521</v>
      </c>
      <c r="K4" s="247" t="s">
        <v>522</v>
      </c>
      <c r="L4" s="246" t="s">
        <v>588</v>
      </c>
      <c r="M4" s="246"/>
      <c r="N4" s="247" t="s">
        <v>11</v>
      </c>
      <c r="O4" s="247" t="s">
        <v>523</v>
      </c>
      <c r="P4" s="247" t="s">
        <v>11</v>
      </c>
      <c r="Q4" s="247" t="s">
        <v>523</v>
      </c>
      <c r="R4" s="247" t="s">
        <v>11</v>
      </c>
      <c r="S4" s="247" t="s">
        <v>523</v>
      </c>
      <c r="T4" s="247" t="s">
        <v>11</v>
      </c>
      <c r="U4" s="247" t="s">
        <v>523</v>
      </c>
      <c r="V4" s="156" t="s">
        <v>524</v>
      </c>
      <c r="W4" s="156" t="s">
        <v>110</v>
      </c>
      <c r="X4" s="156" t="s">
        <v>525</v>
      </c>
      <c r="Y4" s="156" t="s">
        <v>524</v>
      </c>
      <c r="Z4" s="156" t="s">
        <v>526</v>
      </c>
      <c r="AA4" s="156" t="s">
        <v>527</v>
      </c>
      <c r="AB4" s="156" t="s">
        <v>30</v>
      </c>
    </row>
    <row r="5" spans="1:28" x14ac:dyDescent="0.25">
      <c r="A5" s="145">
        <f>'Input Data'!C7</f>
        <v>45870</v>
      </c>
      <c r="B5" s="370">
        <v>39765</v>
      </c>
      <c r="C5" s="369"/>
      <c r="D5" s="369"/>
      <c r="E5" s="369"/>
      <c r="F5" s="369"/>
      <c r="G5" s="369"/>
      <c r="H5" s="369">
        <v>0</v>
      </c>
      <c r="I5" s="369">
        <v>0</v>
      </c>
      <c r="J5" s="369"/>
      <c r="K5" s="369"/>
      <c r="L5" s="369"/>
      <c r="M5" s="369"/>
      <c r="N5" s="369"/>
      <c r="O5" s="369"/>
      <c r="P5" s="370">
        <v>24</v>
      </c>
      <c r="Q5" s="369">
        <v>66.89</v>
      </c>
      <c r="R5" s="369"/>
      <c r="S5" s="369"/>
      <c r="T5" s="370">
        <v>3</v>
      </c>
      <c r="U5" s="369">
        <v>10.69</v>
      </c>
      <c r="V5" s="369"/>
      <c r="W5" s="369"/>
      <c r="X5" s="369"/>
      <c r="Y5" s="369"/>
      <c r="Z5" s="369"/>
      <c r="AA5" s="369"/>
      <c r="AB5" s="369"/>
    </row>
    <row r="6" spans="1:28" x14ac:dyDescent="0.25">
      <c r="A6" s="145">
        <f>EOMONTH(A5,1)</f>
        <v>45930</v>
      </c>
      <c r="B6" s="370">
        <v>44875</v>
      </c>
      <c r="C6" s="369"/>
      <c r="D6" s="369"/>
      <c r="E6" s="369"/>
      <c r="F6" s="369"/>
      <c r="G6" s="369"/>
      <c r="H6" s="369">
        <v>0</v>
      </c>
      <c r="I6" s="369">
        <v>0</v>
      </c>
      <c r="J6" s="369"/>
      <c r="K6" s="369"/>
      <c r="L6" s="369"/>
      <c r="M6" s="369"/>
      <c r="N6" s="369"/>
      <c r="O6" s="369"/>
      <c r="P6" s="370">
        <v>42</v>
      </c>
      <c r="Q6" s="369">
        <v>102.57</v>
      </c>
      <c r="R6" s="369"/>
      <c r="S6" s="369"/>
      <c r="T6" s="370">
        <v>4</v>
      </c>
      <c r="U6" s="369">
        <v>14.57</v>
      </c>
      <c r="V6" s="369"/>
      <c r="W6" s="369"/>
      <c r="X6" s="369"/>
      <c r="Y6" s="369"/>
      <c r="Z6" s="369"/>
      <c r="AA6" s="369"/>
      <c r="AB6" s="369"/>
    </row>
    <row r="7" spans="1:28" x14ac:dyDescent="0.25">
      <c r="A7" s="145">
        <f>EOMONTH(A6,1)</f>
        <v>45961</v>
      </c>
      <c r="B7" s="344">
        <v>43682</v>
      </c>
      <c r="C7" s="369"/>
      <c r="D7" s="369"/>
      <c r="E7" s="369"/>
      <c r="F7" s="369"/>
      <c r="G7" s="369"/>
      <c r="H7" s="421">
        <v>0</v>
      </c>
      <c r="I7" s="421">
        <v>0</v>
      </c>
      <c r="J7" s="421"/>
      <c r="K7" s="421"/>
      <c r="L7" s="421"/>
      <c r="M7" s="422"/>
      <c r="N7" s="369"/>
      <c r="O7" s="369"/>
      <c r="P7" s="344">
        <v>39</v>
      </c>
      <c r="Q7" s="421">
        <v>102.36</v>
      </c>
      <c r="R7" s="369"/>
      <c r="S7" s="369"/>
      <c r="T7" s="344">
        <v>6914</v>
      </c>
      <c r="U7" s="421">
        <v>22852.77</v>
      </c>
      <c r="V7" s="369"/>
      <c r="W7" s="369"/>
      <c r="X7" s="369"/>
      <c r="Y7" s="369"/>
      <c r="Z7" s="369"/>
      <c r="AA7" s="369"/>
      <c r="AB7" s="369"/>
    </row>
    <row r="8" spans="1:28" x14ac:dyDescent="0.25">
      <c r="A8" s="38"/>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row>
    <row r="9" spans="1:28" x14ac:dyDescent="0.25">
      <c r="A9" s="38"/>
      <c r="B9" s="105"/>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05"/>
    </row>
    <row r="10" spans="1:28" x14ac:dyDescent="0.25">
      <c r="A10" s="38"/>
      <c r="B10" s="105"/>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row>
    <row r="11" spans="1:28" x14ac:dyDescent="0.25">
      <c r="A11" s="38"/>
    </row>
    <row r="12" spans="1:28" x14ac:dyDescent="0.25">
      <c r="A12" s="38"/>
    </row>
    <row r="13" spans="1:28" x14ac:dyDescent="0.25">
      <c r="A13" s="38"/>
    </row>
    <row r="14" spans="1:28" x14ac:dyDescent="0.25">
      <c r="A14" s="38"/>
    </row>
    <row r="15" spans="1:28" x14ac:dyDescent="0.25">
      <c r="A15" s="38"/>
    </row>
    <row r="16" spans="1:28" x14ac:dyDescent="0.25">
      <c r="A16" s="38"/>
    </row>
    <row r="17" spans="1:1" x14ac:dyDescent="0.25">
      <c r="A17" s="38"/>
    </row>
    <row r="18" spans="1:1" x14ac:dyDescent="0.25">
      <c r="A18" s="38"/>
    </row>
    <row r="19" spans="1:1" x14ac:dyDescent="0.25">
      <c r="A19" s="38"/>
    </row>
    <row r="20" spans="1:1" x14ac:dyDescent="0.25">
      <c r="A20" s="38"/>
    </row>
    <row r="21" spans="1:1" x14ac:dyDescent="0.25">
      <c r="A21" s="38"/>
    </row>
    <row r="22" spans="1:1" x14ac:dyDescent="0.25">
      <c r="A22" s="38"/>
    </row>
    <row r="23" spans="1:1" x14ac:dyDescent="0.25">
      <c r="A23" s="38"/>
    </row>
    <row r="24" spans="1:1" x14ac:dyDescent="0.25">
      <c r="A24" s="38"/>
    </row>
    <row r="25" spans="1:1" x14ac:dyDescent="0.25">
      <c r="A25" s="38"/>
    </row>
  </sheetData>
  <mergeCells count="4">
    <mergeCell ref="P3:Q3"/>
    <mergeCell ref="R3:S3"/>
    <mergeCell ref="T3:U3"/>
    <mergeCell ref="N3:O3"/>
  </mergeCells>
  <pageMargins left="0.7" right="0.7" top="0.75" bottom="0.75" header="0.3" footer="0.3"/>
  <pageSetup scale="24" orientation="portrait" r:id="rId1"/>
  <headerFooter>
    <oddFooter>&amp;L_x000D_&amp;1#&amp;"Calibri"&amp;14&amp;K000000 Business Use</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9">
    <tabColor theme="9" tint="-0.249977111117893"/>
  </sheetPr>
  <dimension ref="A1"/>
  <sheetViews>
    <sheetView workbookViewId="0">
      <selection activeCell="C116" sqref="C116"/>
    </sheetView>
  </sheetViews>
  <sheetFormatPr defaultRowHeight="15.75" x14ac:dyDescent="0.25"/>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0">
    <tabColor theme="3" tint="0.59999389629810485"/>
  </sheetPr>
  <dimension ref="B13:F29"/>
  <sheetViews>
    <sheetView tabSelected="1" workbookViewId="0"/>
  </sheetViews>
  <sheetFormatPr defaultColWidth="8.88671875" defaultRowHeight="15.75" x14ac:dyDescent="0.25"/>
  <cols>
    <col min="2" max="2" width="10.109375" customWidth="1"/>
    <col min="6" max="6" width="16.109375" customWidth="1"/>
  </cols>
  <sheetData>
    <row r="13" spans="2:6" ht="18.75" x14ac:dyDescent="0.3">
      <c r="B13" s="635" t="s">
        <v>5</v>
      </c>
      <c r="C13" s="635"/>
      <c r="D13" s="635"/>
      <c r="E13" s="635"/>
      <c r="F13" s="635"/>
    </row>
    <row r="14" spans="2:6" ht="18.75" x14ac:dyDescent="0.3">
      <c r="B14" s="136"/>
      <c r="C14" s="136"/>
      <c r="D14" s="136"/>
      <c r="E14" s="136"/>
      <c r="F14" s="136"/>
    </row>
    <row r="15" spans="2:6" ht="18.75" x14ac:dyDescent="0.3">
      <c r="B15" s="136"/>
      <c r="C15" s="136"/>
      <c r="D15" s="136"/>
      <c r="E15" s="136"/>
      <c r="F15" s="136"/>
    </row>
    <row r="16" spans="2:6" ht="18.75" x14ac:dyDescent="0.3">
      <c r="B16" s="136"/>
      <c r="C16" s="136"/>
      <c r="D16" s="136"/>
      <c r="E16" s="136"/>
      <c r="F16" s="136"/>
    </row>
    <row r="17" spans="2:6" ht="18.75" x14ac:dyDescent="0.3">
      <c r="B17" s="635" t="s">
        <v>356</v>
      </c>
      <c r="C17" s="635"/>
      <c r="D17" s="635"/>
      <c r="E17" s="635"/>
      <c r="F17" s="635"/>
    </row>
    <row r="18" spans="2:6" ht="18.75" x14ac:dyDescent="0.3">
      <c r="B18" s="136"/>
      <c r="C18" s="136"/>
      <c r="D18" s="136"/>
      <c r="E18" s="136"/>
      <c r="F18" s="136"/>
    </row>
    <row r="19" spans="2:6" ht="18.75" x14ac:dyDescent="0.3">
      <c r="B19" s="635" t="s">
        <v>212</v>
      </c>
      <c r="C19" s="635"/>
      <c r="D19" s="635"/>
      <c r="E19" s="635"/>
      <c r="F19" s="635"/>
    </row>
    <row r="20" spans="2:6" ht="18.75" x14ac:dyDescent="0.3">
      <c r="B20" s="136"/>
      <c r="C20" s="136"/>
      <c r="D20" s="136"/>
      <c r="E20" s="136"/>
      <c r="F20" s="136"/>
    </row>
    <row r="21" spans="2:6" ht="18.75" x14ac:dyDescent="0.3">
      <c r="B21" s="636" t="str">
        <f>'Input Data'!C12</f>
        <v>2025-00400</v>
      </c>
      <c r="C21" s="636"/>
      <c r="D21" s="636"/>
      <c r="E21" s="636"/>
      <c r="F21" s="636"/>
    </row>
    <row r="22" spans="2:6" ht="18.75" x14ac:dyDescent="0.3">
      <c r="B22" s="136"/>
      <c r="C22" s="136"/>
      <c r="D22" s="136"/>
      <c r="E22" s="136"/>
      <c r="F22" s="136"/>
    </row>
    <row r="23" spans="2:6" ht="18.75" x14ac:dyDescent="0.3">
      <c r="B23" s="136"/>
      <c r="C23" s="136"/>
      <c r="D23" s="136"/>
      <c r="E23" s="136"/>
      <c r="F23" s="136"/>
    </row>
    <row r="24" spans="2:6" ht="18.75" x14ac:dyDescent="0.3">
      <c r="B24" s="136"/>
      <c r="C24" s="136"/>
      <c r="D24" s="136"/>
      <c r="E24" s="136"/>
      <c r="F24" s="136"/>
    </row>
    <row r="25" spans="2:6" ht="18.75" x14ac:dyDescent="0.3">
      <c r="B25" s="136"/>
      <c r="C25" s="136"/>
      <c r="D25" s="136"/>
      <c r="E25" s="136"/>
      <c r="F25" s="136"/>
    </row>
    <row r="26" spans="2:6" ht="18.75" x14ac:dyDescent="0.3">
      <c r="B26" s="136"/>
      <c r="C26" s="136"/>
      <c r="D26" s="136"/>
      <c r="E26" s="136"/>
      <c r="F26" s="136"/>
    </row>
    <row r="27" spans="2:6" ht="18.75" x14ac:dyDescent="0.3">
      <c r="B27" s="635" t="s">
        <v>357</v>
      </c>
      <c r="C27" s="636"/>
      <c r="D27" s="636"/>
      <c r="E27" s="636"/>
      <c r="F27" s="636"/>
    </row>
    <row r="28" spans="2:6" ht="18.75" x14ac:dyDescent="0.3">
      <c r="B28" s="635" t="str">
        <f>CONCATENATE('Input Data'!D4," through ",'Input Data'!D5)</f>
        <v>February 1, 2026 through April 30, 2026</v>
      </c>
      <c r="C28" s="635"/>
      <c r="D28" s="635"/>
      <c r="E28" s="635"/>
      <c r="F28" s="635"/>
    </row>
    <row r="29" spans="2:6" ht="18" x14ac:dyDescent="0.25">
      <c r="B29" s="600"/>
      <c r="C29" s="600"/>
      <c r="D29" s="600"/>
      <c r="E29" s="600"/>
      <c r="F29" s="600"/>
    </row>
  </sheetData>
  <mergeCells count="6">
    <mergeCell ref="B28:F28"/>
    <mergeCell ref="B13:F13"/>
    <mergeCell ref="B17:F17"/>
    <mergeCell ref="B19:F19"/>
    <mergeCell ref="B21:F21"/>
    <mergeCell ref="B27:F27"/>
  </mergeCells>
  <pageMargins left="0.7" right="0.7" top="0.75" bottom="0.75" header="0.3" footer="0.3"/>
  <pageSetup orientation="portrait"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codeName="Sheet4">
    <tabColor theme="3" tint="0.59999389629810485"/>
    <pageSetUpPr fitToPage="1"/>
  </sheetPr>
  <dimension ref="A1:P77"/>
  <sheetViews>
    <sheetView zoomScale="80" zoomScaleNormal="80" workbookViewId="0"/>
  </sheetViews>
  <sheetFormatPr defaultColWidth="12.6640625" defaultRowHeight="15.75" x14ac:dyDescent="0.25"/>
  <cols>
    <col min="1" max="1" width="5.77734375" style="13" customWidth="1"/>
    <col min="2" max="3" width="12.6640625" style="3"/>
    <col min="4" max="4" width="7.44140625" style="3" customWidth="1"/>
    <col min="5" max="5" width="5.77734375" style="3" customWidth="1"/>
    <col min="6" max="6" width="16" style="3" bestFit="1" customWidth="1"/>
    <col min="7" max="7" width="16" style="3" customWidth="1"/>
    <col min="8" max="11" width="10.77734375" style="3" customWidth="1"/>
    <col min="12" max="16384" width="12.6640625" style="3"/>
  </cols>
  <sheetData>
    <row r="1" spans="1:15" x14ac:dyDescent="0.25">
      <c r="B1" s="2"/>
      <c r="C1" s="2"/>
      <c r="D1" s="2"/>
      <c r="E1" s="2"/>
      <c r="F1" s="2"/>
      <c r="G1" s="2"/>
      <c r="H1" s="2"/>
      <c r="I1" s="45"/>
      <c r="J1" s="2"/>
    </row>
    <row r="2" spans="1:15" x14ac:dyDescent="0.25">
      <c r="B2" s="2"/>
      <c r="C2" s="2"/>
      <c r="D2" s="2"/>
      <c r="E2" s="2"/>
      <c r="F2" s="2"/>
      <c r="G2" s="2"/>
      <c r="H2" s="2"/>
      <c r="I2" s="45"/>
      <c r="J2" s="2"/>
      <c r="O2" s="12"/>
    </row>
    <row r="3" spans="1:15" ht="18.75" x14ac:dyDescent="0.3">
      <c r="A3" s="240" t="s">
        <v>5</v>
      </c>
      <c r="B3" s="166"/>
      <c r="C3" s="75"/>
      <c r="D3" s="75"/>
      <c r="E3" s="75"/>
      <c r="F3" s="75"/>
      <c r="G3" s="75"/>
      <c r="H3" s="75"/>
      <c r="I3" s="75"/>
      <c r="J3" s="110"/>
      <c r="K3" s="166"/>
    </row>
    <row r="4" spans="1:15" ht="18.75" x14ac:dyDescent="0.3">
      <c r="A4" s="86"/>
      <c r="C4" s="86"/>
      <c r="D4" s="86"/>
      <c r="E4" s="86"/>
      <c r="F4" s="86"/>
      <c r="G4" s="86"/>
      <c r="H4" s="86"/>
      <c r="I4" s="86"/>
      <c r="J4" s="2"/>
    </row>
    <row r="5" spans="1:15" ht="18.75" x14ac:dyDescent="0.3">
      <c r="A5" s="393" t="s">
        <v>6</v>
      </c>
      <c r="B5" s="166"/>
      <c r="C5" s="75"/>
      <c r="D5" s="75"/>
      <c r="E5" s="75"/>
      <c r="F5" s="75"/>
      <c r="G5" s="75"/>
      <c r="H5" s="75"/>
      <c r="I5" s="75"/>
      <c r="J5" s="110"/>
      <c r="K5" s="166"/>
    </row>
    <row r="6" spans="1:15" ht="18.75" x14ac:dyDescent="0.3">
      <c r="A6" s="393" t="str">
        <f>CONCATENATE("Service Rendered On and After ",'Input Data'!D4)</f>
        <v>Service Rendered On and After February 1, 2026</v>
      </c>
      <c r="B6" s="166"/>
      <c r="C6" s="75"/>
      <c r="D6" s="75"/>
      <c r="E6" s="75"/>
      <c r="F6" s="75"/>
      <c r="G6" s="75"/>
      <c r="H6" s="75"/>
      <c r="I6" s="75"/>
      <c r="J6" s="110"/>
      <c r="K6" s="166"/>
    </row>
    <row r="7" spans="1:15" ht="18.75" x14ac:dyDescent="0.3">
      <c r="A7" s="86"/>
      <c r="C7" s="86"/>
      <c r="D7" s="86"/>
      <c r="E7" s="86"/>
      <c r="F7" s="86"/>
      <c r="G7" s="86"/>
      <c r="H7" s="86"/>
      <c r="I7" s="86"/>
      <c r="J7" s="2"/>
    </row>
    <row r="8" spans="1:15" ht="18.75" x14ac:dyDescent="0.3">
      <c r="A8" s="240" t="str">
        <f>'Input Data'!C12</f>
        <v>2025-00400</v>
      </c>
      <c r="B8" s="166"/>
      <c r="C8" s="75"/>
      <c r="D8" s="75"/>
      <c r="E8" s="75"/>
      <c r="F8" s="75"/>
      <c r="G8" s="75"/>
      <c r="H8" s="75"/>
      <c r="I8" s="75"/>
      <c r="J8" s="110"/>
      <c r="K8" s="166"/>
    </row>
    <row r="9" spans="1:15" x14ac:dyDescent="0.25">
      <c r="B9" s="2"/>
      <c r="C9" s="2"/>
      <c r="D9" s="2"/>
      <c r="E9" s="2"/>
      <c r="F9" s="2"/>
      <c r="G9" s="2"/>
      <c r="H9" s="2"/>
      <c r="I9" s="2"/>
      <c r="J9" s="2"/>
    </row>
    <row r="10" spans="1:15" x14ac:dyDescent="0.25">
      <c r="B10" s="2"/>
      <c r="C10" s="2"/>
      <c r="D10" s="2"/>
      <c r="E10" s="2"/>
      <c r="F10" s="2"/>
      <c r="G10" s="2"/>
      <c r="H10" s="2"/>
      <c r="I10" s="2"/>
      <c r="J10" s="2"/>
    </row>
    <row r="11" spans="1:15" x14ac:dyDescent="0.25">
      <c r="B11" s="2"/>
      <c r="C11" s="2"/>
      <c r="D11" s="2"/>
      <c r="E11" s="2"/>
      <c r="F11" s="2"/>
      <c r="G11" s="2"/>
      <c r="H11" s="2"/>
      <c r="I11" s="2"/>
      <c r="J11" s="2"/>
    </row>
    <row r="12" spans="1:15" x14ac:dyDescent="0.25">
      <c r="A12" s="101" t="s">
        <v>319</v>
      </c>
      <c r="B12" s="375" t="s">
        <v>7</v>
      </c>
      <c r="C12" s="376"/>
      <c r="D12" s="376"/>
      <c r="E12" s="376"/>
      <c r="F12" s="376"/>
      <c r="G12" s="376"/>
      <c r="H12" s="376"/>
      <c r="I12" s="376"/>
      <c r="J12" s="376"/>
      <c r="K12" s="377"/>
    </row>
    <row r="13" spans="1:15" x14ac:dyDescent="0.25">
      <c r="A13" s="102" t="s">
        <v>320</v>
      </c>
      <c r="B13" s="378" t="s">
        <v>584</v>
      </c>
      <c r="C13" s="112"/>
      <c r="D13" s="111"/>
      <c r="E13" s="111"/>
      <c r="F13" s="111"/>
      <c r="G13" s="111"/>
      <c r="H13" s="113" t="s">
        <v>8</v>
      </c>
      <c r="I13" s="113" t="s">
        <v>523</v>
      </c>
      <c r="J13" s="382" t="s">
        <v>12</v>
      </c>
      <c r="K13" s="399" t="s">
        <v>580</v>
      </c>
    </row>
    <row r="14" spans="1:15" x14ac:dyDescent="0.25">
      <c r="A14" s="384">
        <v>1</v>
      </c>
      <c r="B14" s="379" t="s">
        <v>9</v>
      </c>
      <c r="C14" s="2"/>
      <c r="D14" s="2"/>
      <c r="E14" s="2"/>
      <c r="F14" s="2"/>
      <c r="G14" s="2"/>
      <c r="H14" s="238" t="s">
        <v>10</v>
      </c>
      <c r="I14" s="380">
        <f>'Ex A 1 of 2'!F67</f>
        <v>49804033</v>
      </c>
      <c r="J14" s="2"/>
      <c r="K14" s="361"/>
    </row>
    <row r="15" spans="1:15" x14ac:dyDescent="0.25">
      <c r="A15" s="384">
        <v>2</v>
      </c>
      <c r="B15" s="592" t="str">
        <f>CONCATENATE("Total Expected Customer Deliveries: ",'Input Data'!D4," through ",'Input Data'!D5)</f>
        <v>Total Expected Customer Deliveries: February 1, 2026 through April 30, 2026</v>
      </c>
      <c r="C15" s="2"/>
      <c r="D15" s="2"/>
      <c r="E15" s="2"/>
      <c r="F15" s="2"/>
      <c r="G15" s="2"/>
      <c r="H15" s="238" t="s">
        <v>11</v>
      </c>
      <c r="I15" s="380">
        <f>'Ex A 1 of 2'!F80</f>
        <v>11763255.005100001</v>
      </c>
      <c r="K15" s="361"/>
    </row>
    <row r="16" spans="1:15" x14ac:dyDescent="0.25">
      <c r="A16" s="102">
        <v>3</v>
      </c>
      <c r="B16" s="378" t="s">
        <v>581</v>
      </c>
      <c r="C16" s="381"/>
      <c r="D16" s="381"/>
      <c r="E16" s="381"/>
      <c r="F16" s="381"/>
      <c r="G16" s="381"/>
      <c r="H16" s="382"/>
      <c r="I16" s="383"/>
      <c r="J16" s="400">
        <f>ROUND('Ex A 1 of 2'!F83,4)</f>
        <v>4.2339000000000002</v>
      </c>
      <c r="K16" s="401">
        <f>ROUND('Ex A 1 of 2'!F83/10,5)</f>
        <v>0.42338999999999999</v>
      </c>
    </row>
    <row r="17" spans="1:13" x14ac:dyDescent="0.25">
      <c r="B17" s="2"/>
      <c r="C17" s="2"/>
      <c r="D17" s="2"/>
      <c r="E17" s="2"/>
      <c r="F17" s="2"/>
      <c r="G17" s="2"/>
      <c r="H17" s="2"/>
      <c r="I17" s="2"/>
      <c r="J17" s="2"/>
    </row>
    <row r="18" spans="1:13" x14ac:dyDescent="0.25">
      <c r="B18" s="2"/>
      <c r="C18" s="2"/>
      <c r="D18" s="2"/>
      <c r="E18" s="2"/>
      <c r="F18" s="2"/>
      <c r="G18" s="2"/>
      <c r="H18" s="2"/>
      <c r="I18" s="2"/>
      <c r="J18" s="2"/>
    </row>
    <row r="19" spans="1:13" x14ac:dyDescent="0.25">
      <c r="B19" s="2"/>
      <c r="C19" s="2"/>
      <c r="D19" s="2"/>
      <c r="E19" s="2"/>
      <c r="F19" s="2"/>
      <c r="G19" s="2"/>
      <c r="H19" s="2"/>
      <c r="I19" s="116"/>
      <c r="J19" s="2"/>
    </row>
    <row r="20" spans="1:13" x14ac:dyDescent="0.25">
      <c r="A20" s="101"/>
      <c r="B20" s="375" t="s">
        <v>13</v>
      </c>
      <c r="C20" s="376"/>
      <c r="D20" s="376"/>
      <c r="E20" s="376"/>
      <c r="F20" s="376"/>
      <c r="G20" s="376"/>
      <c r="H20" s="376"/>
      <c r="I20" s="376"/>
      <c r="J20" s="376"/>
      <c r="K20" s="377"/>
    </row>
    <row r="21" spans="1:13" x14ac:dyDescent="0.25">
      <c r="A21" s="102"/>
      <c r="B21" s="378" t="s">
        <v>584</v>
      </c>
      <c r="C21" s="593"/>
      <c r="D21" s="381"/>
      <c r="E21" s="381"/>
      <c r="F21" s="381"/>
      <c r="G21" s="382" t="s">
        <v>116</v>
      </c>
      <c r="H21" s="382"/>
      <c r="I21" s="382"/>
      <c r="J21" s="382" t="s">
        <v>12</v>
      </c>
      <c r="K21" s="399" t="s">
        <v>580</v>
      </c>
    </row>
    <row r="22" spans="1:13" x14ac:dyDescent="0.25">
      <c r="A22" s="384">
        <v>4</v>
      </c>
      <c r="B22" s="388" t="s">
        <v>14</v>
      </c>
      <c r="C22" s="389"/>
      <c r="D22" s="389"/>
      <c r="E22" s="594" t="s">
        <v>194</v>
      </c>
      <c r="F22" s="595">
        <f>'Input Data'!$C$4</f>
        <v>46054</v>
      </c>
      <c r="G22" s="390" t="str">
        <f>VLOOKUP(F22,'Case Database'!$A$5:$F$200,6)</f>
        <v>2025-00188</v>
      </c>
      <c r="H22" s="390"/>
      <c r="I22" s="391"/>
      <c r="J22" s="403">
        <f>ROUND('Ex B-1 1 of 7'!D25,4)</f>
        <v>-0.18310000000000001</v>
      </c>
      <c r="K22" s="404">
        <f>ROUND('Ex B-1 1 of 7'!D26,5)</f>
        <v>-1.831E-2</v>
      </c>
    </row>
    <row r="23" spans="1:13" x14ac:dyDescent="0.25">
      <c r="A23" s="384">
        <v>5</v>
      </c>
      <c r="B23" s="379" t="s">
        <v>15</v>
      </c>
      <c r="C23" s="2"/>
      <c r="D23" s="2"/>
      <c r="E23" s="596" t="s">
        <v>194</v>
      </c>
      <c r="F23" s="597">
        <f>EDATE(F22,-3)</f>
        <v>45962</v>
      </c>
      <c r="G23" s="238" t="str">
        <f>VLOOKUP(F23,'Case Database'!$A$5:$F$200,6)</f>
        <v>2025-00061</v>
      </c>
      <c r="H23" s="238"/>
      <c r="I23" s="374"/>
      <c r="J23" s="425">
        <f>VLOOKUP('Summary Sheet'!$G23,'Case Database'!$F$3:$H$205,2,FALSE)</f>
        <v>-0.14710000000000001</v>
      </c>
      <c r="K23" s="450">
        <f>VLOOKUP('Summary Sheet'!$G23,'Case Database'!$F$3:$H$205,3,FALSE)</f>
        <v>-1.4710000000000001E-2</v>
      </c>
      <c r="M23" s="6"/>
    </row>
    <row r="24" spans="1:13" x14ac:dyDescent="0.25">
      <c r="A24" s="384">
        <v>6</v>
      </c>
      <c r="B24" s="379" t="s">
        <v>16</v>
      </c>
      <c r="C24" s="2"/>
      <c r="D24" s="2"/>
      <c r="E24" s="596" t="s">
        <v>194</v>
      </c>
      <c r="F24" s="597">
        <f>EDATE(F23,-3)</f>
        <v>45870</v>
      </c>
      <c r="G24" s="238" t="str">
        <f>VLOOKUP(F24,'Case Database'!$A$5:$F$200,6)</f>
        <v>2024-00405</v>
      </c>
      <c r="H24" s="238"/>
      <c r="I24" s="374"/>
      <c r="J24" s="425">
        <f>VLOOKUP('Summary Sheet'!$G24,'Case Database'!$F$3:$H$205,2,FALSE)</f>
        <v>0.32450000000000001</v>
      </c>
      <c r="K24" s="450">
        <f>VLOOKUP('Summary Sheet'!$G24,'Case Database'!$F$3:$H$205,3,FALSE)</f>
        <v>3.245E-2</v>
      </c>
    </row>
    <row r="25" spans="1:13" x14ac:dyDescent="0.25">
      <c r="A25" s="384">
        <v>7</v>
      </c>
      <c r="B25" s="379" t="s">
        <v>17</v>
      </c>
      <c r="C25" s="2"/>
      <c r="D25" s="2"/>
      <c r="E25" s="596" t="s">
        <v>194</v>
      </c>
      <c r="F25" s="597">
        <f>EDATE(F24,-3)</f>
        <v>45778</v>
      </c>
      <c r="G25" s="238" t="str">
        <f>VLOOKUP(F25,'Case Database'!$A$5:$F$200,6)</f>
        <v>2024-00294</v>
      </c>
      <c r="H25" s="238"/>
      <c r="I25" s="374"/>
      <c r="J25" s="426">
        <f>VLOOKUP('Summary Sheet'!$G25,'Case Database'!$F$3:$H$205,2,FALSE)</f>
        <v>0.45519999999999999</v>
      </c>
      <c r="K25" s="451">
        <f>VLOOKUP('Summary Sheet'!$G25,'Case Database'!$F$3:$H$205,3,FALSE)</f>
        <v>4.5519999999999998E-2</v>
      </c>
    </row>
    <row r="26" spans="1:13" x14ac:dyDescent="0.25">
      <c r="A26" s="102">
        <v>8</v>
      </c>
      <c r="B26" s="378" t="s">
        <v>18</v>
      </c>
      <c r="C26" s="381"/>
      <c r="D26" s="381"/>
      <c r="E26" s="381"/>
      <c r="F26" s="381"/>
      <c r="G26" s="381"/>
      <c r="H26" s="382"/>
      <c r="I26" s="392"/>
      <c r="J26" s="405">
        <f>SUM(J22:J25)</f>
        <v>0.44949999999999996</v>
      </c>
      <c r="K26" s="452">
        <f>SUM(K22:K25)</f>
        <v>4.4949999999999997E-2</v>
      </c>
    </row>
    <row r="27" spans="1:13" x14ac:dyDescent="0.25">
      <c r="B27" s="2"/>
      <c r="C27" s="2"/>
      <c r="D27" s="2"/>
      <c r="E27" s="2"/>
      <c r="F27" s="2"/>
      <c r="G27" s="2"/>
      <c r="H27" s="2"/>
      <c r="I27" s="2"/>
      <c r="J27" s="2"/>
    </row>
    <row r="28" spans="1:13" x14ac:dyDescent="0.25">
      <c r="B28" s="2"/>
      <c r="C28" s="2"/>
      <c r="D28" s="2"/>
      <c r="E28" s="2"/>
      <c r="F28" s="2"/>
      <c r="G28" s="2"/>
      <c r="H28" s="2"/>
      <c r="I28" s="2"/>
      <c r="J28" s="2"/>
    </row>
    <row r="29" spans="1:13" x14ac:dyDescent="0.25">
      <c r="B29" s="2"/>
      <c r="C29" s="2"/>
      <c r="D29" s="2"/>
      <c r="E29" s="2"/>
      <c r="F29" s="2"/>
      <c r="G29" s="2"/>
      <c r="H29" s="2"/>
      <c r="I29" s="2"/>
      <c r="J29" s="2"/>
    </row>
    <row r="30" spans="1:13" x14ac:dyDescent="0.25">
      <c r="A30" s="101"/>
      <c r="B30" s="375" t="s">
        <v>19</v>
      </c>
      <c r="C30" s="376"/>
      <c r="D30" s="376"/>
      <c r="E30" s="376"/>
      <c r="F30" s="376"/>
      <c r="G30" s="376"/>
      <c r="H30" s="376"/>
      <c r="I30" s="376"/>
      <c r="J30" s="376"/>
      <c r="K30" s="377"/>
    </row>
    <row r="31" spans="1:13" x14ac:dyDescent="0.25">
      <c r="A31" s="384"/>
      <c r="B31" s="378" t="s">
        <v>584</v>
      </c>
      <c r="C31" s="372"/>
      <c r="D31" s="373"/>
      <c r="E31" s="373"/>
      <c r="F31" s="373"/>
      <c r="G31" s="373"/>
      <c r="H31" s="115"/>
      <c r="I31" s="115"/>
      <c r="J31" s="115" t="s">
        <v>12</v>
      </c>
      <c r="K31" s="402" t="s">
        <v>580</v>
      </c>
    </row>
    <row r="32" spans="1:13" x14ac:dyDescent="0.25">
      <c r="A32" s="36">
        <v>9</v>
      </c>
      <c r="B32" s="598" t="s">
        <v>582</v>
      </c>
      <c r="C32" s="385"/>
      <c r="D32" s="385"/>
      <c r="E32" s="385"/>
      <c r="F32" s="385"/>
      <c r="G32" s="385"/>
      <c r="H32" s="386"/>
      <c r="I32" s="387"/>
      <c r="J32" s="406">
        <f>ROUND('Ex C-1 1 of 3'!D17,4)</f>
        <v>-6.7000000000000002E-3</v>
      </c>
      <c r="K32" s="407">
        <f>ROUND('Ex C-1 1 of 3'!D19,5)</f>
        <v>-6.7000000000000002E-4</v>
      </c>
    </row>
    <row r="33" spans="1:11" x14ac:dyDescent="0.25">
      <c r="B33" s="2"/>
      <c r="C33" s="2"/>
      <c r="D33" s="2"/>
      <c r="E33" s="2"/>
      <c r="F33" s="2"/>
      <c r="G33" s="2"/>
      <c r="H33" s="2"/>
      <c r="I33" s="2"/>
      <c r="J33" s="2"/>
    </row>
    <row r="34" spans="1:11" x14ac:dyDescent="0.25">
      <c r="B34" s="2"/>
      <c r="C34" s="2"/>
      <c r="D34" s="2"/>
      <c r="E34" s="2"/>
      <c r="F34" s="2"/>
      <c r="G34" s="2"/>
      <c r="H34" s="2"/>
      <c r="I34" s="2"/>
      <c r="J34" s="2"/>
    </row>
    <row r="35" spans="1:11" x14ac:dyDescent="0.25">
      <c r="B35" s="2"/>
      <c r="C35" s="2"/>
      <c r="D35" s="2"/>
      <c r="E35" s="2"/>
      <c r="F35" s="2"/>
      <c r="G35" s="2"/>
      <c r="H35" s="2"/>
      <c r="I35" s="2"/>
      <c r="J35" s="2"/>
    </row>
    <row r="36" spans="1:11" x14ac:dyDescent="0.25">
      <c r="A36" s="101"/>
      <c r="B36" s="375" t="s">
        <v>20</v>
      </c>
      <c r="C36" s="376"/>
      <c r="D36" s="376"/>
      <c r="E36" s="376"/>
      <c r="F36" s="376"/>
      <c r="G36" s="376"/>
      <c r="H36" s="376"/>
      <c r="I36" s="376"/>
      <c r="J36" s="376"/>
      <c r="K36" s="377"/>
    </row>
    <row r="37" spans="1:11" x14ac:dyDescent="0.25">
      <c r="A37" s="102"/>
      <c r="B37" s="378" t="s">
        <v>584</v>
      </c>
      <c r="C37" s="593"/>
      <c r="D37" s="381"/>
      <c r="E37" s="381"/>
      <c r="F37" s="381"/>
      <c r="G37" s="381"/>
      <c r="H37" s="382"/>
      <c r="I37" s="382"/>
      <c r="J37" s="382" t="s">
        <v>12</v>
      </c>
      <c r="K37" s="402" t="s">
        <v>580</v>
      </c>
    </row>
    <row r="38" spans="1:11" x14ac:dyDescent="0.25">
      <c r="A38" s="384">
        <v>10</v>
      </c>
      <c r="B38" s="388" t="s">
        <v>220</v>
      </c>
      <c r="C38" s="389"/>
      <c r="D38" s="389"/>
      <c r="E38" s="594" t="s">
        <v>194</v>
      </c>
      <c r="F38" s="595">
        <f>+F22</f>
        <v>46054</v>
      </c>
      <c r="G38" s="389"/>
      <c r="H38" s="390"/>
      <c r="I38" s="394"/>
      <c r="J38" s="408">
        <f>ROUND('Ex D-1 1 of 2'!H12,4)</f>
        <v>0</v>
      </c>
      <c r="K38" s="409">
        <f>ROUND('Ex D-1 1 of 2'!I12,5)</f>
        <v>0</v>
      </c>
    </row>
    <row r="39" spans="1:11" x14ac:dyDescent="0.25">
      <c r="A39" s="384">
        <v>11</v>
      </c>
      <c r="B39" s="379" t="s">
        <v>221</v>
      </c>
      <c r="C39" s="2"/>
      <c r="D39" s="2"/>
      <c r="E39" s="596" t="s">
        <v>194</v>
      </c>
      <c r="F39" s="597">
        <f>+F23</f>
        <v>45962</v>
      </c>
      <c r="G39" s="2"/>
      <c r="H39" s="238"/>
      <c r="J39" s="410">
        <f>ROUND('Ex D-1 1 of 2'!H13,4)</f>
        <v>0</v>
      </c>
      <c r="K39" s="411">
        <f>ROUND('Ex D-1 1 of 2'!I13,5)</f>
        <v>0</v>
      </c>
    </row>
    <row r="40" spans="1:11" x14ac:dyDescent="0.25">
      <c r="A40" s="384">
        <v>12</v>
      </c>
      <c r="B40" s="379" t="s">
        <v>227</v>
      </c>
      <c r="C40" s="2"/>
      <c r="D40" s="2"/>
      <c r="E40" s="596" t="s">
        <v>194</v>
      </c>
      <c r="F40" s="597">
        <f>+F24</f>
        <v>45870</v>
      </c>
      <c r="G40" s="2"/>
      <c r="H40" s="238"/>
      <c r="J40" s="410">
        <f>ROUND('Ex D-1 1 of 2'!H14,4)</f>
        <v>0</v>
      </c>
      <c r="K40" s="411">
        <f>ROUND('Ex D-1 1 of 2'!I14,5)</f>
        <v>0</v>
      </c>
    </row>
    <row r="41" spans="1:11" x14ac:dyDescent="0.25">
      <c r="A41" s="384">
        <v>13</v>
      </c>
      <c r="B41" s="379" t="s">
        <v>229</v>
      </c>
      <c r="C41" s="2"/>
      <c r="D41" s="2"/>
      <c r="E41" s="596" t="s">
        <v>194</v>
      </c>
      <c r="F41" s="597">
        <f>+F25</f>
        <v>45778</v>
      </c>
      <c r="G41" s="2"/>
      <c r="H41" s="238"/>
      <c r="J41" s="412">
        <f>ROUND('Ex D-1 1 of 2'!H15,4)</f>
        <v>0</v>
      </c>
      <c r="K41" s="413">
        <f>ROUND('Ex D-1 1 of 2'!I15,5)</f>
        <v>0</v>
      </c>
    </row>
    <row r="42" spans="1:11" x14ac:dyDescent="0.25">
      <c r="A42" s="102">
        <v>14</v>
      </c>
      <c r="B42" s="378" t="s">
        <v>21</v>
      </c>
      <c r="C42" s="381"/>
      <c r="D42" s="381"/>
      <c r="E42" s="381"/>
      <c r="F42" s="381"/>
      <c r="G42" s="381"/>
      <c r="H42" s="382"/>
      <c r="I42" s="383"/>
      <c r="J42" s="412">
        <f>SUM(J38:J41)</f>
        <v>0</v>
      </c>
      <c r="K42" s="413">
        <f>SUM(K38:K41)</f>
        <v>0</v>
      </c>
    </row>
    <row r="43" spans="1:11" x14ac:dyDescent="0.25">
      <c r="B43" s="2"/>
      <c r="C43" s="2"/>
      <c r="D43" s="2"/>
      <c r="E43" s="2"/>
      <c r="F43" s="2"/>
      <c r="G43" s="2"/>
      <c r="H43" s="2"/>
      <c r="I43" s="2"/>
      <c r="J43" s="2"/>
    </row>
    <row r="44" spans="1:11" x14ac:dyDescent="0.25">
      <c r="B44" s="2"/>
      <c r="C44" s="2"/>
      <c r="D44" s="2"/>
      <c r="E44" s="2"/>
      <c r="F44" s="2"/>
      <c r="G44" s="2"/>
      <c r="H44" s="2"/>
      <c r="I44" s="2"/>
      <c r="J44" s="2"/>
    </row>
    <row r="45" spans="1:11" x14ac:dyDescent="0.25">
      <c r="B45" s="2"/>
      <c r="C45" s="2"/>
      <c r="D45" s="2"/>
      <c r="E45" s="2"/>
      <c r="F45" s="2"/>
      <c r="G45" s="2"/>
      <c r="H45" s="2"/>
      <c r="I45" s="2"/>
      <c r="J45" s="2"/>
    </row>
    <row r="46" spans="1:11" x14ac:dyDescent="0.25">
      <c r="A46" s="101"/>
      <c r="B46" s="375" t="s">
        <v>22</v>
      </c>
      <c r="C46" s="376"/>
      <c r="D46" s="376"/>
      <c r="E46" s="376"/>
      <c r="F46" s="376"/>
      <c r="G46" s="376"/>
      <c r="H46" s="376"/>
      <c r="I46" s="376"/>
      <c r="J46" s="376"/>
      <c r="K46" s="377"/>
    </row>
    <row r="47" spans="1:11" x14ac:dyDescent="0.25">
      <c r="A47" s="102"/>
      <c r="B47" s="378" t="s">
        <v>584</v>
      </c>
      <c r="C47" s="593"/>
      <c r="D47" s="381"/>
      <c r="E47" s="381"/>
      <c r="F47" s="381"/>
      <c r="G47" s="381"/>
      <c r="H47" s="382"/>
      <c r="I47" s="382"/>
      <c r="J47" s="382" t="s">
        <v>12</v>
      </c>
      <c r="K47" s="402" t="s">
        <v>580</v>
      </c>
    </row>
    <row r="48" spans="1:11" x14ac:dyDescent="0.25">
      <c r="A48" s="102">
        <v>15</v>
      </c>
      <c r="B48" s="598" t="s">
        <v>585</v>
      </c>
      <c r="C48" s="385"/>
      <c r="D48" s="599"/>
      <c r="E48" s="385"/>
      <c r="F48" s="385"/>
      <c r="G48" s="385"/>
      <c r="H48" s="386"/>
      <c r="I48" s="395"/>
      <c r="J48" s="615">
        <f>ROUND('Ex E-1 1 of 1'!C21+'Ex E-1 1 of 1'!D21,4)</f>
        <v>0</v>
      </c>
      <c r="K48" s="616">
        <f>ROUND('Ex E-1 1 of 1'!C23+'Ex E-1 1 of 1'!D23,5)</f>
        <v>0</v>
      </c>
    </row>
    <row r="49" spans="1:16" x14ac:dyDescent="0.25">
      <c r="B49" s="2"/>
      <c r="C49" s="2"/>
      <c r="D49" s="2"/>
      <c r="E49" s="2"/>
      <c r="F49" s="2"/>
      <c r="G49" s="2"/>
      <c r="H49" s="2"/>
      <c r="I49" s="2"/>
      <c r="J49" s="2"/>
    </row>
    <row r="50" spans="1:16" x14ac:dyDescent="0.25">
      <c r="B50" s="2"/>
      <c r="C50" s="2"/>
      <c r="D50" s="2"/>
      <c r="E50" s="2"/>
      <c r="F50" s="2"/>
      <c r="G50" s="2"/>
      <c r="H50" s="2"/>
      <c r="I50" s="2"/>
      <c r="J50" s="2"/>
    </row>
    <row r="51" spans="1:16" x14ac:dyDescent="0.25">
      <c r="B51" s="2"/>
      <c r="C51" s="2"/>
      <c r="D51" s="2"/>
      <c r="E51" s="2"/>
      <c r="F51" s="2"/>
      <c r="G51" s="2"/>
      <c r="H51" s="2"/>
      <c r="I51" s="2"/>
      <c r="J51" s="2"/>
    </row>
    <row r="52" spans="1:16" x14ac:dyDescent="0.25">
      <c r="A52" s="101"/>
      <c r="B52" s="375" t="str">
        <f>CONCATENATE("Gas Supply Cost Component  (GSCC)  Effective ",'Input Data'!D4)</f>
        <v>Gas Supply Cost Component  (GSCC)  Effective February 1, 2026</v>
      </c>
      <c r="C52" s="376"/>
      <c r="D52" s="376"/>
      <c r="E52" s="376"/>
      <c r="F52" s="376"/>
      <c r="G52" s="376"/>
      <c r="H52" s="376"/>
      <c r="I52" s="376"/>
      <c r="J52" s="376"/>
      <c r="K52" s="377"/>
    </row>
    <row r="53" spans="1:16" x14ac:dyDescent="0.25">
      <c r="A53" s="102"/>
      <c r="B53" s="378" t="s">
        <v>584</v>
      </c>
      <c r="C53" s="372"/>
      <c r="D53" s="373"/>
      <c r="E53" s="373"/>
      <c r="F53" s="373"/>
      <c r="G53" s="373"/>
      <c r="H53" s="115"/>
      <c r="I53" s="115"/>
      <c r="J53" s="115" t="s">
        <v>12</v>
      </c>
      <c r="K53" s="402" t="s">
        <v>580</v>
      </c>
      <c r="M53"/>
      <c r="N53"/>
    </row>
    <row r="54" spans="1:16" x14ac:dyDescent="0.25">
      <c r="A54" s="384">
        <v>16</v>
      </c>
      <c r="B54" s="388" t="s">
        <v>23</v>
      </c>
      <c r="C54" s="389"/>
      <c r="D54" s="389"/>
      <c r="E54" s="389"/>
      <c r="F54" s="389"/>
      <c r="G54" s="389"/>
      <c r="H54" s="390"/>
      <c r="I54" s="396"/>
      <c r="J54" s="408">
        <f>J16</f>
        <v>4.2339000000000002</v>
      </c>
      <c r="K54" s="409">
        <f>K16</f>
        <v>0.42338999999999999</v>
      </c>
      <c r="M54"/>
      <c r="N54"/>
    </row>
    <row r="55" spans="1:16" x14ac:dyDescent="0.25">
      <c r="A55" s="384">
        <v>17</v>
      </c>
      <c r="B55" s="379" t="s">
        <v>24</v>
      </c>
      <c r="C55" s="2"/>
      <c r="D55" s="2"/>
      <c r="E55" s="2"/>
      <c r="F55" s="2"/>
      <c r="G55" s="2"/>
      <c r="H55" s="238"/>
      <c r="I55" s="76"/>
      <c r="J55" s="410">
        <f>J26</f>
        <v>0.44949999999999996</v>
      </c>
      <c r="K55" s="411">
        <f>K26</f>
        <v>4.4949999999999997E-2</v>
      </c>
      <c r="M55"/>
      <c r="N55"/>
    </row>
    <row r="56" spans="1:16" x14ac:dyDescent="0.25">
      <c r="A56" s="384">
        <v>18</v>
      </c>
      <c r="B56" s="379" t="s">
        <v>25</v>
      </c>
      <c r="C56" s="2"/>
      <c r="D56" s="2"/>
      <c r="E56" s="2"/>
      <c r="F56" s="2"/>
      <c r="G56" s="2"/>
      <c r="H56" s="238"/>
      <c r="I56" s="76"/>
      <c r="J56" s="410">
        <f>J32</f>
        <v>-6.7000000000000002E-3</v>
      </c>
      <c r="K56" s="411">
        <f>K32</f>
        <v>-6.7000000000000002E-4</v>
      </c>
      <c r="M56"/>
      <c r="N56"/>
    </row>
    <row r="57" spans="1:16" x14ac:dyDescent="0.25">
      <c r="A57" s="384">
        <v>19</v>
      </c>
      <c r="B57" s="379" t="s">
        <v>26</v>
      </c>
      <c r="C57" s="2"/>
      <c r="D57" s="2"/>
      <c r="E57" s="2"/>
      <c r="F57" s="2"/>
      <c r="G57" s="2"/>
      <c r="H57" s="238"/>
      <c r="I57" s="76"/>
      <c r="J57" s="410">
        <f>J42</f>
        <v>0</v>
      </c>
      <c r="K57" s="411">
        <f>K42</f>
        <v>0</v>
      </c>
      <c r="M57"/>
      <c r="N57"/>
    </row>
    <row r="58" spans="1:16" x14ac:dyDescent="0.25">
      <c r="A58" s="384">
        <v>20</v>
      </c>
      <c r="B58" s="379" t="s">
        <v>27</v>
      </c>
      <c r="C58" s="2"/>
      <c r="D58" s="2"/>
      <c r="E58" s="2"/>
      <c r="F58" s="2"/>
      <c r="G58" s="2"/>
      <c r="H58" s="238"/>
      <c r="I58" s="76"/>
      <c r="J58" s="414">
        <f>J48</f>
        <v>0</v>
      </c>
      <c r="K58" s="413">
        <f>K48</f>
        <v>0</v>
      </c>
      <c r="M58"/>
      <c r="N58"/>
    </row>
    <row r="59" spans="1:16" x14ac:dyDescent="0.25">
      <c r="A59" s="102">
        <v>21</v>
      </c>
      <c r="B59" s="397" t="s">
        <v>28</v>
      </c>
      <c r="C59" s="373"/>
      <c r="D59" s="373"/>
      <c r="E59" s="373"/>
      <c r="F59" s="373"/>
      <c r="G59" s="373"/>
      <c r="H59" s="115"/>
      <c r="I59" s="398"/>
      <c r="J59" s="406">
        <f>SUM(J54:J58)</f>
        <v>4.6766999999999994</v>
      </c>
      <c r="K59" s="407">
        <f>SUM(K54:K58)</f>
        <v>0.46766999999999997</v>
      </c>
      <c r="L59" s="29"/>
      <c r="M59"/>
      <c r="N59"/>
      <c r="P59" s="507"/>
    </row>
    <row r="60" spans="1:16" x14ac:dyDescent="0.25">
      <c r="B60" s="2"/>
      <c r="C60" s="2"/>
      <c r="D60" s="2"/>
      <c r="E60" s="2"/>
      <c r="F60" s="2"/>
      <c r="G60" s="2"/>
      <c r="H60" s="2"/>
      <c r="I60" s="2" t="s">
        <v>383</v>
      </c>
      <c r="J60" s="76"/>
      <c r="K60" s="183"/>
    </row>
    <row r="61" spans="1:16" x14ac:dyDescent="0.25">
      <c r="B61" s="2"/>
      <c r="C61" s="2"/>
      <c r="D61" s="2"/>
      <c r="E61" s="2"/>
      <c r="F61" s="2"/>
      <c r="G61" s="2"/>
      <c r="H61" s="2"/>
      <c r="I61" s="2"/>
      <c r="J61" s="2"/>
    </row>
    <row r="62" spans="1:16" x14ac:dyDescent="0.25">
      <c r="B62" s="2"/>
      <c r="C62" s="2"/>
      <c r="D62" s="2"/>
      <c r="E62" s="2"/>
      <c r="F62" s="2"/>
      <c r="G62" s="2"/>
      <c r="H62" s="2"/>
      <c r="I62" s="2"/>
      <c r="J62" s="2"/>
    </row>
    <row r="63" spans="1:16" x14ac:dyDescent="0.25">
      <c r="B63" s="2"/>
      <c r="C63" s="2"/>
      <c r="D63" s="2"/>
      <c r="E63" s="2"/>
      <c r="F63" s="2"/>
      <c r="G63" s="2"/>
      <c r="H63" s="2"/>
      <c r="I63" s="2"/>
      <c r="J63" s="2"/>
    </row>
    <row r="64" spans="1:16" x14ac:dyDescent="0.25">
      <c r="B64" s="2"/>
      <c r="C64" s="2"/>
      <c r="D64" s="2"/>
      <c r="E64" s="2"/>
      <c r="F64" s="2"/>
      <c r="G64" s="2"/>
      <c r="H64" s="2"/>
      <c r="I64" s="2"/>
      <c r="J64" s="2"/>
    </row>
    <row r="65" spans="2:10" x14ac:dyDescent="0.25">
      <c r="B65" s="2"/>
      <c r="C65" s="2"/>
      <c r="D65" s="2"/>
      <c r="E65" s="2"/>
      <c r="F65" s="2"/>
      <c r="G65" s="2"/>
      <c r="H65" s="2"/>
      <c r="I65" s="2"/>
      <c r="J65" s="2"/>
    </row>
    <row r="66" spans="2:10" x14ac:dyDescent="0.25">
      <c r="B66" s="2"/>
      <c r="C66" s="2"/>
      <c r="D66" s="2"/>
      <c r="E66" s="2"/>
      <c r="F66" s="2"/>
      <c r="G66" s="2"/>
      <c r="H66" s="2"/>
      <c r="I66" s="2"/>
      <c r="J66" s="2"/>
    </row>
    <row r="67" spans="2:10" x14ac:dyDescent="0.25">
      <c r="B67" s="2"/>
      <c r="C67" s="2"/>
      <c r="D67" s="2"/>
      <c r="E67" s="2"/>
      <c r="F67" s="2"/>
      <c r="G67" s="2"/>
      <c r="H67" s="2"/>
      <c r="I67" s="2"/>
      <c r="J67" s="2"/>
    </row>
    <row r="68" spans="2:10" x14ac:dyDescent="0.25">
      <c r="B68" s="2"/>
      <c r="C68" s="2"/>
      <c r="D68" s="2"/>
      <c r="E68" s="2"/>
      <c r="F68" s="2"/>
      <c r="G68" s="2"/>
      <c r="H68" s="2"/>
      <c r="I68" s="2"/>
      <c r="J68" s="2"/>
    </row>
    <row r="69" spans="2:10" x14ac:dyDescent="0.25">
      <c r="B69" s="2"/>
      <c r="C69" s="2"/>
      <c r="D69" s="2"/>
      <c r="E69" s="2"/>
      <c r="F69" s="2"/>
      <c r="G69" s="2"/>
      <c r="H69" s="2"/>
      <c r="I69" s="2"/>
      <c r="J69" s="2"/>
    </row>
    <row r="70" spans="2:10" x14ac:dyDescent="0.25">
      <c r="B70" s="2"/>
      <c r="C70" s="2"/>
      <c r="D70" s="2"/>
      <c r="E70" s="2"/>
      <c r="F70" s="2"/>
      <c r="G70" s="2"/>
      <c r="H70" s="2"/>
      <c r="I70" s="2"/>
      <c r="J70" s="2"/>
    </row>
    <row r="71" spans="2:10" x14ac:dyDescent="0.25">
      <c r="B71" s="2"/>
      <c r="C71" s="2"/>
      <c r="D71" s="2"/>
      <c r="E71" s="2"/>
      <c r="F71" s="2"/>
      <c r="G71" s="2"/>
      <c r="H71" s="2"/>
      <c r="I71" s="2"/>
      <c r="J71" s="2"/>
    </row>
    <row r="72" spans="2:10" x14ac:dyDescent="0.25">
      <c r="B72" s="2"/>
      <c r="C72" s="2"/>
      <c r="D72" s="2"/>
      <c r="E72" s="2"/>
      <c r="F72" s="2"/>
      <c r="G72" s="2"/>
      <c r="H72" s="2"/>
      <c r="I72" s="2"/>
      <c r="J72" s="2"/>
    </row>
    <row r="73" spans="2:10" x14ac:dyDescent="0.25">
      <c r="B73" s="2"/>
      <c r="C73" s="2"/>
      <c r="D73" s="2"/>
      <c r="E73" s="2"/>
      <c r="F73" s="2"/>
      <c r="G73" s="2"/>
      <c r="H73" s="2"/>
      <c r="I73" s="2"/>
      <c r="J73" s="2"/>
    </row>
    <row r="74" spans="2:10" x14ac:dyDescent="0.25">
      <c r="B74" s="2"/>
      <c r="C74" s="2"/>
      <c r="D74" s="2"/>
      <c r="E74" s="2"/>
      <c r="F74" s="2"/>
      <c r="G74" s="2"/>
      <c r="H74" s="2"/>
      <c r="I74" s="2"/>
      <c r="J74" s="2"/>
    </row>
    <row r="75" spans="2:10" x14ac:dyDescent="0.25">
      <c r="B75" s="2"/>
      <c r="C75" s="2"/>
      <c r="D75" s="2"/>
      <c r="E75" s="2"/>
      <c r="F75" s="2"/>
      <c r="G75" s="2"/>
      <c r="H75" s="2"/>
      <c r="I75" s="2"/>
      <c r="J75" s="2"/>
    </row>
    <row r="76" spans="2:10" x14ac:dyDescent="0.25">
      <c r="B76" s="2"/>
      <c r="C76" s="2"/>
      <c r="D76" s="2"/>
      <c r="E76" s="2"/>
      <c r="F76" s="2"/>
      <c r="G76" s="2"/>
      <c r="H76" s="2"/>
      <c r="I76" s="2"/>
      <c r="J76" s="2"/>
    </row>
    <row r="77" spans="2:10" x14ac:dyDescent="0.25">
      <c r="B77" s="2"/>
      <c r="C77" s="2"/>
      <c r="D77" s="2"/>
      <c r="E77" s="2"/>
      <c r="F77" s="2"/>
      <c r="G77" s="2"/>
      <c r="H77" s="2"/>
      <c r="I77" s="2"/>
      <c r="J77" s="2"/>
    </row>
  </sheetData>
  <phoneticPr fontId="0" type="noConversion"/>
  <pageMargins left="0.7" right="0.7" top="0.75" bottom="0.75" header="0.3" footer="0.3"/>
  <pageSetup scale="63" orientation="portrait"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2698C-55BD-4037-AD54-226938760467}">
  <sheetPr codeName="Sheet33">
    <tabColor rgb="FF00B050"/>
  </sheetPr>
  <dimension ref="B1:L151"/>
  <sheetViews>
    <sheetView topLeftCell="A49" zoomScaleNormal="100" workbookViewId="0">
      <selection activeCell="B98" sqref="B98"/>
    </sheetView>
  </sheetViews>
  <sheetFormatPr defaultRowHeight="15.75" x14ac:dyDescent="0.25"/>
  <cols>
    <col min="1" max="1" width="1.109375" customWidth="1"/>
    <col min="2" max="2" width="8.5546875" customWidth="1"/>
    <col min="11" max="11" width="17.109375" customWidth="1"/>
    <col min="12" max="12" width="1.109375" customWidth="1"/>
  </cols>
  <sheetData>
    <row r="1" spans="2:11" x14ac:dyDescent="0.25">
      <c r="B1" s="639" t="s">
        <v>5</v>
      </c>
      <c r="C1" s="639"/>
      <c r="D1" s="639"/>
      <c r="E1" s="639"/>
      <c r="F1" s="639"/>
      <c r="G1" s="639"/>
      <c r="H1" s="639"/>
      <c r="I1" s="639"/>
      <c r="J1" s="639"/>
      <c r="K1" s="639"/>
    </row>
    <row r="2" spans="2:11" x14ac:dyDescent="0.25">
      <c r="B2" s="15"/>
      <c r="C2" s="15"/>
      <c r="D2" s="15"/>
      <c r="E2" s="15"/>
      <c r="F2" s="15"/>
      <c r="G2" s="15"/>
      <c r="H2" s="15"/>
      <c r="I2" s="15"/>
      <c r="J2" s="15"/>
      <c r="K2" s="15"/>
    </row>
    <row r="3" spans="2:11" x14ac:dyDescent="0.25">
      <c r="B3" s="640" t="str">
        <f>"Gas Supply Clause: "&amp; 'Input Data'!C12</f>
        <v>Gas Supply Clause: 2025-00400</v>
      </c>
      <c r="C3" s="640"/>
      <c r="D3" s="640"/>
      <c r="E3" s="640"/>
      <c r="F3" s="640"/>
      <c r="G3" s="640"/>
      <c r="H3" s="640"/>
      <c r="I3" s="640"/>
      <c r="J3" s="640"/>
      <c r="K3" s="640"/>
    </row>
    <row r="4" spans="2:11" x14ac:dyDescent="0.25">
      <c r="B4" s="441"/>
      <c r="C4" s="15"/>
      <c r="D4" s="15"/>
      <c r="E4" s="15"/>
      <c r="F4" s="15"/>
      <c r="G4" s="15"/>
      <c r="H4" s="15"/>
      <c r="I4" s="15"/>
      <c r="J4" s="15"/>
      <c r="K4" s="15"/>
    </row>
    <row r="5" spans="2:11" x14ac:dyDescent="0.25">
      <c r="B5" s="640" t="str">
        <f>"Gas Supply Cost Effective "&amp; 'Input Data'!D4</f>
        <v>Gas Supply Cost Effective February 1, 2026</v>
      </c>
      <c r="C5" s="640"/>
      <c r="D5" s="640"/>
      <c r="E5" s="640"/>
      <c r="F5" s="640"/>
      <c r="G5" s="640"/>
      <c r="H5" s="640"/>
      <c r="I5" s="640"/>
      <c r="J5" s="640"/>
      <c r="K5" s="640"/>
    </row>
    <row r="6" spans="2:11" x14ac:dyDescent="0.25">
      <c r="B6" s="3"/>
      <c r="C6" s="3"/>
      <c r="D6" s="3"/>
      <c r="E6" s="3"/>
      <c r="F6" s="3"/>
      <c r="G6" s="3"/>
      <c r="H6" s="3"/>
      <c r="I6" s="3"/>
      <c r="J6" s="3"/>
      <c r="K6" s="3"/>
    </row>
    <row r="7" spans="2:11" ht="67.5" customHeight="1" x14ac:dyDescent="0.25">
      <c r="B7" s="637" t="s">
        <v>769</v>
      </c>
      <c r="C7" s="637"/>
      <c r="D7" s="637"/>
      <c r="E7" s="637"/>
      <c r="F7" s="637"/>
      <c r="G7" s="637"/>
      <c r="H7" s="637"/>
      <c r="I7" s="637"/>
      <c r="J7" s="637"/>
      <c r="K7" s="637"/>
    </row>
    <row r="8" spans="2:11" x14ac:dyDescent="0.25">
      <c r="B8" s="3"/>
      <c r="C8" s="3"/>
      <c r="D8" s="3"/>
      <c r="E8" s="3"/>
      <c r="F8" s="3"/>
      <c r="G8" s="3"/>
      <c r="H8" s="3"/>
      <c r="I8" s="3"/>
      <c r="J8" s="3"/>
      <c r="K8" s="3"/>
    </row>
    <row r="9" spans="2:11" x14ac:dyDescent="0.25">
      <c r="B9" s="650" t="s">
        <v>614</v>
      </c>
      <c r="C9" s="650"/>
      <c r="D9" s="650"/>
      <c r="E9" s="650"/>
      <c r="F9" s="650"/>
      <c r="G9" s="650"/>
      <c r="H9" s="650"/>
      <c r="I9" s="650"/>
      <c r="J9" s="650"/>
      <c r="K9" s="3"/>
    </row>
    <row r="10" spans="2:11" x14ac:dyDescent="0.25">
      <c r="B10" s="504"/>
      <c r="C10" s="504"/>
      <c r="D10" s="504"/>
      <c r="E10" s="504"/>
      <c r="F10" s="504"/>
      <c r="G10" s="504"/>
      <c r="H10" s="504"/>
      <c r="I10" s="504"/>
      <c r="J10" s="504"/>
      <c r="K10" s="3"/>
    </row>
    <row r="11" spans="2:11" x14ac:dyDescent="0.25">
      <c r="B11" s="649" t="s">
        <v>615</v>
      </c>
      <c r="C11" s="649"/>
      <c r="D11" s="649"/>
      <c r="E11" s="649"/>
      <c r="F11" s="649"/>
      <c r="G11" s="649"/>
      <c r="H11" s="649"/>
      <c r="I11" s="649"/>
      <c r="J11" s="649"/>
      <c r="K11" s="3"/>
    </row>
    <row r="12" spans="2:11" x14ac:dyDescent="0.25">
      <c r="B12" s="3"/>
      <c r="C12" s="3"/>
      <c r="D12" s="3"/>
      <c r="E12" s="3"/>
      <c r="F12" s="3"/>
      <c r="G12" s="3"/>
      <c r="H12" s="3"/>
      <c r="I12" s="3"/>
      <c r="J12" s="3"/>
      <c r="K12" s="3"/>
    </row>
    <row r="13" spans="2:11" ht="63" customHeight="1" x14ac:dyDescent="0.25">
      <c r="B13" s="641" t="s">
        <v>616</v>
      </c>
      <c r="C13" s="641"/>
      <c r="D13" s="641"/>
      <c r="E13" s="641"/>
      <c r="F13" s="641"/>
      <c r="G13" s="641"/>
      <c r="H13" s="641"/>
      <c r="I13" s="641"/>
      <c r="J13" s="641"/>
      <c r="K13" s="641"/>
    </row>
    <row r="14" spans="2:11" x14ac:dyDescent="0.25">
      <c r="B14" s="3"/>
      <c r="C14" s="3"/>
      <c r="D14" s="3"/>
      <c r="E14" s="3"/>
      <c r="F14" s="3"/>
      <c r="G14" s="3"/>
      <c r="H14" s="3"/>
      <c r="I14" s="3"/>
      <c r="J14" s="3"/>
      <c r="K14" s="3"/>
    </row>
    <row r="15" spans="2:11" ht="15.75" customHeight="1" x14ac:dyDescent="0.25">
      <c r="B15" s="637" t="s">
        <v>783</v>
      </c>
      <c r="C15" s="637"/>
      <c r="D15" s="637"/>
      <c r="E15" s="637"/>
      <c r="F15" s="637"/>
      <c r="G15" s="637"/>
      <c r="H15" s="637"/>
      <c r="I15" s="637"/>
      <c r="J15" s="637"/>
      <c r="K15" s="637"/>
    </row>
    <row r="16" spans="2:11" x14ac:dyDescent="0.25">
      <c r="B16" s="3"/>
      <c r="C16" s="3"/>
      <c r="D16" s="3"/>
      <c r="E16" s="3"/>
      <c r="F16" s="3"/>
      <c r="G16" s="3"/>
      <c r="H16" s="3"/>
      <c r="I16" s="3"/>
      <c r="J16" s="3"/>
      <c r="K16" s="3"/>
    </row>
    <row r="17" spans="2:11" ht="47.25" customHeight="1" x14ac:dyDescent="0.25">
      <c r="B17" s="637" t="s">
        <v>784</v>
      </c>
      <c r="C17" s="637"/>
      <c r="D17" s="637"/>
      <c r="E17" s="637"/>
      <c r="F17" s="637"/>
      <c r="G17" s="637"/>
      <c r="H17" s="637"/>
      <c r="I17" s="637"/>
      <c r="J17" s="637"/>
      <c r="K17" s="637"/>
    </row>
    <row r="18" spans="2:11" x14ac:dyDescent="0.25">
      <c r="B18" s="3"/>
      <c r="C18" s="3"/>
      <c r="D18" s="3"/>
      <c r="E18" s="3"/>
      <c r="F18" s="3"/>
      <c r="G18" s="3"/>
      <c r="H18" s="3"/>
      <c r="I18" s="3"/>
      <c r="J18" s="3"/>
      <c r="K18" s="3"/>
    </row>
    <row r="19" spans="2:11" ht="33.75" customHeight="1" x14ac:dyDescent="0.25">
      <c r="B19" s="637" t="s">
        <v>785</v>
      </c>
      <c r="C19" s="637"/>
      <c r="D19" s="637"/>
      <c r="E19" s="637"/>
      <c r="F19" s="637"/>
      <c r="G19" s="637"/>
      <c r="H19" s="637"/>
      <c r="I19" s="637"/>
      <c r="J19" s="637"/>
      <c r="K19" s="637"/>
    </row>
    <row r="20" spans="2:11" x14ac:dyDescent="0.25">
      <c r="B20" s="3"/>
      <c r="C20" s="3"/>
      <c r="D20" s="3"/>
      <c r="E20" s="3"/>
      <c r="F20" s="3"/>
      <c r="G20" s="3"/>
      <c r="H20" s="3"/>
      <c r="I20" s="3"/>
      <c r="J20" s="3"/>
      <c r="K20" s="3"/>
    </row>
    <row r="21" spans="2:11" x14ac:dyDescent="0.25">
      <c r="B21" s="649" t="s">
        <v>617</v>
      </c>
      <c r="C21" s="649"/>
      <c r="D21" s="649"/>
      <c r="E21" s="649"/>
      <c r="F21" s="649"/>
      <c r="G21" s="649"/>
      <c r="H21" s="649"/>
      <c r="I21" s="649"/>
      <c r="J21" s="649"/>
      <c r="K21" s="3"/>
    </row>
    <row r="22" spans="2:11" x14ac:dyDescent="0.25">
      <c r="B22" s="3"/>
      <c r="C22" s="3"/>
      <c r="D22" s="3"/>
      <c r="E22" s="3"/>
      <c r="F22" s="3"/>
      <c r="G22" s="3"/>
      <c r="H22" s="3"/>
      <c r="I22" s="3"/>
      <c r="J22" s="3"/>
      <c r="K22" s="3"/>
    </row>
    <row r="23" spans="2:11" ht="63" customHeight="1" x14ac:dyDescent="0.25">
      <c r="B23" s="637" t="s">
        <v>619</v>
      </c>
      <c r="C23" s="637"/>
      <c r="D23" s="637"/>
      <c r="E23" s="637"/>
      <c r="F23" s="637"/>
      <c r="G23" s="637"/>
      <c r="H23" s="637"/>
      <c r="I23" s="637"/>
      <c r="J23" s="637"/>
      <c r="K23" s="637"/>
    </row>
    <row r="24" spans="2:11" x14ac:dyDescent="0.25">
      <c r="B24" s="3"/>
      <c r="C24" s="3"/>
      <c r="D24" s="3"/>
      <c r="E24" s="3"/>
      <c r="F24" s="3"/>
      <c r="G24" s="3"/>
      <c r="H24" s="3"/>
      <c r="I24" s="3"/>
      <c r="J24" s="3"/>
      <c r="K24" s="3"/>
    </row>
    <row r="25" spans="2:11" ht="15.75" customHeight="1" x14ac:dyDescent="0.25">
      <c r="B25" s="637" t="s">
        <v>783</v>
      </c>
      <c r="C25" s="637"/>
      <c r="D25" s="637"/>
      <c r="E25" s="637"/>
      <c r="F25" s="637"/>
      <c r="G25" s="637"/>
      <c r="H25" s="637"/>
      <c r="I25" s="637"/>
      <c r="J25" s="637"/>
      <c r="K25" s="637"/>
    </row>
    <row r="26" spans="2:11" x14ac:dyDescent="0.25">
      <c r="B26" s="3"/>
      <c r="C26" s="3"/>
      <c r="D26" s="3"/>
      <c r="E26" s="3"/>
      <c r="F26" s="3"/>
      <c r="G26" s="3"/>
      <c r="H26" s="3"/>
      <c r="I26" s="3"/>
      <c r="J26" s="3"/>
      <c r="K26" s="3"/>
    </row>
    <row r="27" spans="2:11" ht="63" customHeight="1" x14ac:dyDescent="0.25">
      <c r="B27" s="642" t="s">
        <v>786</v>
      </c>
      <c r="C27" s="642"/>
      <c r="D27" s="642"/>
      <c r="E27" s="642"/>
      <c r="F27" s="642"/>
      <c r="G27" s="642"/>
      <c r="H27" s="642"/>
      <c r="I27" s="642"/>
      <c r="J27" s="642"/>
      <c r="K27" s="642"/>
    </row>
    <row r="28" spans="2:11" x14ac:dyDescent="0.25">
      <c r="B28" s="3"/>
      <c r="C28" s="3"/>
      <c r="D28" s="3"/>
      <c r="E28" s="3"/>
      <c r="F28" s="3"/>
      <c r="G28" s="3"/>
      <c r="H28" s="3"/>
      <c r="I28" s="3"/>
      <c r="J28" s="3"/>
      <c r="K28" s="3"/>
    </row>
    <row r="29" spans="2:11" ht="48.75" customHeight="1" x14ac:dyDescent="0.25">
      <c r="B29" s="637" t="s">
        <v>794</v>
      </c>
      <c r="C29" s="637"/>
      <c r="D29" s="637"/>
      <c r="E29" s="637"/>
      <c r="F29" s="637"/>
      <c r="G29" s="637"/>
      <c r="H29" s="637"/>
      <c r="I29" s="637"/>
      <c r="J29" s="637"/>
      <c r="K29" s="637"/>
    </row>
    <row r="30" spans="2:11" x14ac:dyDescent="0.25">
      <c r="B30" s="3"/>
      <c r="C30" s="3"/>
      <c r="D30" s="3"/>
      <c r="E30" s="3"/>
      <c r="F30" s="3"/>
      <c r="G30" s="3"/>
      <c r="H30" s="3"/>
      <c r="I30" s="3"/>
      <c r="J30" s="3"/>
      <c r="K30" s="3"/>
    </row>
    <row r="31" spans="2:11" x14ac:dyDescent="0.25">
      <c r="B31" s="649" t="s">
        <v>776</v>
      </c>
      <c r="C31" s="649"/>
      <c r="D31" s="649"/>
      <c r="E31" s="649"/>
      <c r="F31" s="649"/>
      <c r="G31" s="649"/>
      <c r="H31" s="649"/>
      <c r="I31" s="649"/>
      <c r="J31" s="649"/>
      <c r="K31" s="3"/>
    </row>
    <row r="32" spans="2:11" x14ac:dyDescent="0.25">
      <c r="B32" s="3"/>
      <c r="C32" s="3"/>
      <c r="D32" s="3"/>
      <c r="E32" s="3"/>
      <c r="F32" s="3"/>
      <c r="G32" s="3"/>
      <c r="H32" s="3"/>
      <c r="I32" s="3"/>
      <c r="J32" s="3"/>
      <c r="K32" s="3"/>
    </row>
    <row r="33" spans="2:11" ht="63" customHeight="1" x14ac:dyDescent="0.25">
      <c r="B33" s="637" t="s">
        <v>619</v>
      </c>
      <c r="C33" s="637"/>
      <c r="D33" s="637"/>
      <c r="E33" s="637"/>
      <c r="F33" s="637"/>
      <c r="G33" s="637"/>
      <c r="H33" s="637"/>
      <c r="I33" s="637"/>
      <c r="J33" s="637"/>
      <c r="K33" s="637"/>
    </row>
    <row r="34" spans="2:11" x14ac:dyDescent="0.25">
      <c r="B34" s="3"/>
      <c r="C34" s="3"/>
      <c r="D34" s="3"/>
      <c r="E34" s="3"/>
      <c r="F34" s="3"/>
      <c r="G34" s="3"/>
      <c r="H34" s="3"/>
      <c r="I34" s="3"/>
      <c r="J34" s="3"/>
      <c r="K34" s="3"/>
    </row>
    <row r="35" spans="2:11" ht="15.75" customHeight="1" x14ac:dyDescent="0.25">
      <c r="B35" s="637" t="s">
        <v>783</v>
      </c>
      <c r="C35" s="637"/>
      <c r="D35" s="637"/>
      <c r="E35" s="637"/>
      <c r="F35" s="637"/>
      <c r="G35" s="637"/>
      <c r="H35" s="637"/>
      <c r="I35" s="637"/>
      <c r="J35" s="637"/>
      <c r="K35" s="637"/>
    </row>
    <row r="36" spans="2:11" x14ac:dyDescent="0.25">
      <c r="B36" s="3"/>
      <c r="C36" s="3"/>
      <c r="D36" s="3"/>
      <c r="E36" s="3"/>
      <c r="F36" s="3"/>
      <c r="G36" s="3"/>
      <c r="H36" s="3"/>
      <c r="I36" s="3"/>
      <c r="J36" s="3"/>
      <c r="K36" s="3"/>
    </row>
    <row r="37" spans="2:11" ht="47.25" customHeight="1" x14ac:dyDescent="0.25">
      <c r="B37" s="637" t="s">
        <v>790</v>
      </c>
      <c r="C37" s="637"/>
      <c r="D37" s="637"/>
      <c r="E37" s="637"/>
      <c r="F37" s="637"/>
      <c r="G37" s="637"/>
      <c r="H37" s="637"/>
      <c r="I37" s="637"/>
      <c r="J37" s="637"/>
      <c r="K37" s="637"/>
    </row>
    <row r="38" spans="2:11" x14ac:dyDescent="0.25">
      <c r="B38" s="3"/>
      <c r="C38" s="3"/>
      <c r="D38" s="3"/>
      <c r="E38" s="3"/>
      <c r="F38" s="3"/>
      <c r="G38" s="3"/>
      <c r="H38" s="3"/>
      <c r="I38" s="3"/>
      <c r="J38" s="3"/>
      <c r="K38" s="3"/>
    </row>
    <row r="39" spans="2:11" ht="33.75" customHeight="1" x14ac:dyDescent="0.25">
      <c r="B39" s="637" t="s">
        <v>795</v>
      </c>
      <c r="C39" s="637"/>
      <c r="D39" s="637"/>
      <c r="E39" s="637"/>
      <c r="F39" s="637"/>
      <c r="G39" s="637"/>
      <c r="H39" s="637"/>
      <c r="I39" s="637"/>
      <c r="J39" s="637"/>
      <c r="K39" s="637"/>
    </row>
    <row r="40" spans="2:11" x14ac:dyDescent="0.25">
      <c r="B40" s="3"/>
      <c r="C40" s="3"/>
      <c r="D40" s="3"/>
      <c r="E40" s="3"/>
      <c r="F40" s="3"/>
      <c r="G40" s="3"/>
      <c r="H40" s="3"/>
      <c r="I40" s="3"/>
      <c r="J40" s="3"/>
      <c r="K40" s="3"/>
    </row>
    <row r="41" spans="2:11" x14ac:dyDescent="0.25">
      <c r="B41" s="651" t="s">
        <v>618</v>
      </c>
      <c r="C41" s="651"/>
      <c r="D41" s="651"/>
      <c r="E41" s="651"/>
      <c r="F41" s="651"/>
      <c r="G41" s="651"/>
      <c r="H41" s="651"/>
      <c r="I41" s="651"/>
      <c r="J41" s="651"/>
      <c r="K41" s="3"/>
    </row>
    <row r="42" spans="2:11" x14ac:dyDescent="0.25">
      <c r="B42" s="3"/>
      <c r="C42" s="3"/>
      <c r="D42" s="3"/>
      <c r="E42" s="3"/>
      <c r="F42" s="3"/>
      <c r="G42" s="3"/>
      <c r="H42" s="3"/>
      <c r="I42" s="3"/>
      <c r="J42" s="3"/>
      <c r="K42" s="3"/>
    </row>
    <row r="43" spans="2:11" x14ac:dyDescent="0.25">
      <c r="B43" s="649" t="s">
        <v>777</v>
      </c>
      <c r="C43" s="649"/>
      <c r="D43" s="649"/>
      <c r="E43" s="649"/>
      <c r="F43" s="649"/>
      <c r="G43" s="649"/>
      <c r="H43" s="649"/>
      <c r="I43" s="649"/>
      <c r="J43" s="649"/>
      <c r="K43" s="3"/>
    </row>
    <row r="44" spans="2:11" x14ac:dyDescent="0.25">
      <c r="B44" s="3"/>
      <c r="C44" s="3"/>
      <c r="D44" s="3"/>
      <c r="E44" s="3"/>
      <c r="F44" s="3"/>
      <c r="G44" s="3"/>
      <c r="H44" s="3"/>
      <c r="I44" s="3"/>
      <c r="J44" s="3"/>
      <c r="K44" s="3"/>
    </row>
    <row r="45" spans="2:11" ht="179.25" customHeight="1" x14ac:dyDescent="0.25">
      <c r="B45" s="637" t="s">
        <v>789</v>
      </c>
      <c r="C45" s="637"/>
      <c r="D45" s="637"/>
      <c r="E45" s="637"/>
      <c r="F45" s="637"/>
      <c r="G45" s="637"/>
      <c r="H45" s="637"/>
      <c r="I45" s="637"/>
      <c r="J45" s="637"/>
      <c r="K45" s="637"/>
    </row>
    <row r="46" spans="2:11" x14ac:dyDescent="0.25">
      <c r="B46" s="427"/>
      <c r="C46" s="3"/>
      <c r="D46" s="3"/>
      <c r="E46" s="3"/>
      <c r="F46" s="3"/>
      <c r="G46" s="3"/>
      <c r="H46" s="3"/>
      <c r="I46" s="3"/>
      <c r="J46" s="3"/>
      <c r="K46" s="3"/>
    </row>
    <row r="47" spans="2:11" ht="15.75" customHeight="1" x14ac:dyDescent="0.25">
      <c r="B47" s="637" t="s">
        <v>783</v>
      </c>
      <c r="C47" s="637"/>
      <c r="D47" s="637"/>
      <c r="E47" s="637"/>
      <c r="F47" s="637"/>
      <c r="G47" s="637"/>
      <c r="H47" s="637"/>
      <c r="I47" s="637"/>
      <c r="J47" s="637"/>
      <c r="K47" s="637"/>
    </row>
    <row r="48" spans="2:11" x14ac:dyDescent="0.25">
      <c r="B48" s="3"/>
      <c r="C48" s="3"/>
      <c r="D48" s="3"/>
      <c r="E48" s="3"/>
      <c r="F48" s="3"/>
      <c r="G48" s="3"/>
      <c r="H48" s="3"/>
      <c r="I48" s="3"/>
      <c r="J48" s="3"/>
      <c r="K48" s="3"/>
    </row>
    <row r="49" spans="2:12" ht="78" customHeight="1" x14ac:dyDescent="0.25">
      <c r="B49" s="642" t="s">
        <v>796</v>
      </c>
      <c r="C49" s="642"/>
      <c r="D49" s="642"/>
      <c r="E49" s="642"/>
      <c r="F49" s="642"/>
      <c r="G49" s="642"/>
      <c r="H49" s="642"/>
      <c r="I49" s="642"/>
      <c r="J49" s="642"/>
      <c r="K49" s="642"/>
    </row>
    <row r="50" spans="2:12" x14ac:dyDescent="0.25">
      <c r="B50" s="3"/>
      <c r="C50" s="3"/>
      <c r="D50" s="3"/>
      <c r="E50" s="3"/>
      <c r="F50" s="3"/>
      <c r="G50" s="3"/>
      <c r="H50" s="3"/>
      <c r="I50" s="3"/>
      <c r="J50" s="3"/>
      <c r="K50" s="3"/>
    </row>
    <row r="51" spans="2:12" ht="45" customHeight="1" x14ac:dyDescent="0.25">
      <c r="B51" s="637" t="s">
        <v>788</v>
      </c>
      <c r="C51" s="637"/>
      <c r="D51" s="637"/>
      <c r="E51" s="637"/>
      <c r="F51" s="637"/>
      <c r="G51" s="637"/>
      <c r="H51" s="637"/>
      <c r="I51" s="637"/>
      <c r="J51" s="637"/>
      <c r="K51" s="637"/>
    </row>
    <row r="52" spans="2:12" x14ac:dyDescent="0.25">
      <c r="B52" s="3"/>
      <c r="C52" s="3"/>
      <c r="D52" s="3"/>
      <c r="E52" s="3"/>
      <c r="F52" s="3"/>
      <c r="G52" s="3"/>
      <c r="H52" s="3"/>
      <c r="I52" s="3"/>
      <c r="J52" s="3"/>
      <c r="K52" s="3"/>
    </row>
    <row r="53" spans="2:12" x14ac:dyDescent="0.25">
      <c r="B53" s="638" t="s">
        <v>620</v>
      </c>
      <c r="C53" s="638"/>
      <c r="D53" s="638"/>
      <c r="E53" s="638"/>
      <c r="F53" s="638"/>
      <c r="G53" s="638"/>
      <c r="H53" s="638"/>
      <c r="I53" s="638"/>
      <c r="J53" s="638"/>
      <c r="K53" s="3"/>
    </row>
    <row r="54" spans="2:12" x14ac:dyDescent="0.25">
      <c r="B54" s="3"/>
      <c r="C54" s="3"/>
      <c r="D54" s="3"/>
      <c r="E54" s="3"/>
      <c r="F54" s="3"/>
      <c r="G54" s="3"/>
      <c r="H54" s="3"/>
      <c r="I54" s="3"/>
      <c r="J54" s="3"/>
      <c r="K54" s="3"/>
    </row>
    <row r="55" spans="2:12" ht="80.25" customHeight="1" x14ac:dyDescent="0.25">
      <c r="B55" s="637" t="s">
        <v>793</v>
      </c>
      <c r="C55" s="637"/>
      <c r="D55" s="637"/>
      <c r="E55" s="637"/>
      <c r="F55" s="637"/>
      <c r="G55" s="637"/>
      <c r="H55" s="637"/>
      <c r="I55" s="637"/>
      <c r="J55" s="637"/>
      <c r="K55" s="637"/>
    </row>
    <row r="56" spans="2:12" x14ac:dyDescent="0.25">
      <c r="B56" s="427"/>
      <c r="C56" s="3"/>
      <c r="D56" s="3"/>
      <c r="E56" s="3"/>
      <c r="F56" s="3"/>
      <c r="G56" s="3"/>
      <c r="H56" s="3"/>
      <c r="I56" s="3"/>
      <c r="J56" s="3"/>
      <c r="K56" s="3"/>
    </row>
    <row r="57" spans="2:12" ht="33" customHeight="1" x14ac:dyDescent="0.25">
      <c r="B57" s="498" t="s">
        <v>703</v>
      </c>
      <c r="C57" s="637" t="s">
        <v>791</v>
      </c>
      <c r="D57" s="637"/>
      <c r="E57" s="637"/>
      <c r="F57" s="637"/>
      <c r="G57" s="637"/>
      <c r="H57" s="637"/>
      <c r="I57" s="637"/>
      <c r="J57" s="637"/>
      <c r="K57" s="637"/>
      <c r="L57" s="448"/>
    </row>
    <row r="58" spans="2:12" x14ac:dyDescent="0.25">
      <c r="B58" s="483"/>
      <c r="C58" s="488"/>
      <c r="D58" s="488"/>
      <c r="E58" s="488"/>
      <c r="F58" s="488"/>
      <c r="G58" s="488"/>
      <c r="H58" s="488"/>
      <c r="I58" s="488"/>
      <c r="J58" s="488"/>
      <c r="K58" s="488"/>
    </row>
    <row r="59" spans="2:12" ht="33" customHeight="1" x14ac:dyDescent="0.25">
      <c r="B59" s="498" t="s">
        <v>703</v>
      </c>
      <c r="C59" s="637" t="s">
        <v>764</v>
      </c>
      <c r="D59" s="637"/>
      <c r="E59" s="637"/>
      <c r="F59" s="637"/>
      <c r="G59" s="637"/>
      <c r="H59" s="637"/>
      <c r="I59" s="637"/>
      <c r="J59" s="637"/>
      <c r="K59" s="637"/>
    </row>
    <row r="60" spans="2:12" x14ac:dyDescent="0.25">
      <c r="B60" s="483"/>
      <c r="C60" s="488"/>
      <c r="D60" s="488"/>
      <c r="E60" s="488"/>
      <c r="F60" s="488"/>
      <c r="G60" s="488"/>
      <c r="H60" s="488"/>
      <c r="I60" s="488"/>
      <c r="J60" s="488"/>
      <c r="K60" s="488"/>
    </row>
    <row r="61" spans="2:12" ht="15.75" customHeight="1" x14ac:dyDescent="0.25">
      <c r="B61" s="498" t="s">
        <v>703</v>
      </c>
      <c r="C61" s="637" t="s">
        <v>753</v>
      </c>
      <c r="D61" s="637"/>
      <c r="E61" s="637"/>
      <c r="F61" s="637"/>
      <c r="G61" s="637"/>
      <c r="H61" s="637"/>
      <c r="I61" s="637"/>
      <c r="J61" s="637"/>
      <c r="K61" s="488"/>
    </row>
    <row r="62" spans="2:12" x14ac:dyDescent="0.25">
      <c r="B62" s="483"/>
      <c r="C62" s="488"/>
      <c r="D62" s="488"/>
      <c r="E62" s="488"/>
      <c r="F62" s="488"/>
      <c r="G62" s="488"/>
      <c r="H62" s="488"/>
      <c r="I62" s="488"/>
      <c r="J62" s="488"/>
      <c r="K62" s="488"/>
    </row>
    <row r="63" spans="2:12" ht="63" customHeight="1" x14ac:dyDescent="0.25">
      <c r="B63" s="498" t="s">
        <v>703</v>
      </c>
      <c r="C63" s="637" t="s">
        <v>787</v>
      </c>
      <c r="D63" s="637"/>
      <c r="E63" s="637"/>
      <c r="F63" s="637"/>
      <c r="G63" s="637"/>
      <c r="H63" s="637"/>
      <c r="I63" s="637"/>
      <c r="J63" s="637"/>
      <c r="K63" s="637"/>
    </row>
    <row r="64" spans="2:12" x14ac:dyDescent="0.25">
      <c r="B64" s="483"/>
      <c r="C64" s="488"/>
      <c r="D64" s="488"/>
      <c r="E64" s="488"/>
      <c r="F64" s="488"/>
      <c r="G64" s="488"/>
      <c r="H64" s="488"/>
      <c r="I64" s="488"/>
      <c r="J64" s="488"/>
      <c r="K64" s="488"/>
    </row>
    <row r="65" spans="2:11" ht="15.75" customHeight="1" x14ac:dyDescent="0.25">
      <c r="B65" s="498" t="s">
        <v>703</v>
      </c>
      <c r="C65" s="642" t="s">
        <v>765</v>
      </c>
      <c r="D65" s="642"/>
      <c r="E65" s="642"/>
      <c r="F65" s="642"/>
      <c r="G65" s="642"/>
      <c r="H65" s="642"/>
      <c r="I65" s="642"/>
      <c r="J65" s="642"/>
      <c r="K65" s="642"/>
    </row>
    <row r="66" spans="2:11" ht="15.75" customHeight="1" x14ac:dyDescent="0.25">
      <c r="B66" s="483"/>
      <c r="C66" s="488"/>
      <c r="D66" s="488"/>
      <c r="E66" s="488"/>
      <c r="F66" s="488"/>
      <c r="G66" s="488"/>
      <c r="H66" s="488"/>
      <c r="I66" s="488"/>
      <c r="J66" s="488"/>
      <c r="K66" s="488"/>
    </row>
    <row r="67" spans="2:11" ht="33" customHeight="1" x14ac:dyDescent="0.25">
      <c r="B67" s="498" t="s">
        <v>703</v>
      </c>
      <c r="C67" s="642" t="s">
        <v>766</v>
      </c>
      <c r="D67" s="642"/>
      <c r="E67" s="642"/>
      <c r="F67" s="642"/>
      <c r="G67" s="642"/>
      <c r="H67" s="642"/>
      <c r="I67" s="642"/>
      <c r="J67" s="642"/>
      <c r="K67" s="642"/>
    </row>
    <row r="68" spans="2:11" ht="15.75" customHeight="1" x14ac:dyDescent="0.25">
      <c r="B68" s="498"/>
      <c r="C68" s="487"/>
      <c r="D68" s="487"/>
      <c r="E68" s="487"/>
      <c r="F68" s="487"/>
      <c r="G68" s="487"/>
      <c r="H68" s="487"/>
      <c r="I68" s="487"/>
      <c r="J68" s="487"/>
      <c r="K68" s="488"/>
    </row>
    <row r="69" spans="2:11" ht="15.75" customHeight="1" x14ac:dyDescent="0.25">
      <c r="B69" s="498" t="s">
        <v>703</v>
      </c>
      <c r="C69" s="642" t="s">
        <v>745</v>
      </c>
      <c r="D69" s="642"/>
      <c r="E69" s="642"/>
      <c r="F69" s="642"/>
      <c r="G69" s="642"/>
      <c r="H69" s="642"/>
      <c r="I69" s="642"/>
      <c r="J69" s="642"/>
      <c r="K69" s="642"/>
    </row>
    <row r="70" spans="2:11" x14ac:dyDescent="0.25">
      <c r="B70" s="498"/>
      <c r="C70" s="487"/>
      <c r="D70" s="487"/>
      <c r="E70" s="487"/>
      <c r="F70" s="487"/>
      <c r="G70" s="487"/>
      <c r="H70" s="487"/>
      <c r="I70" s="487"/>
      <c r="J70" s="487"/>
      <c r="K70" s="488"/>
    </row>
    <row r="71" spans="2:11" ht="15.75" customHeight="1" x14ac:dyDescent="0.25">
      <c r="B71" s="498" t="s">
        <v>703</v>
      </c>
      <c r="C71" s="642" t="s">
        <v>767</v>
      </c>
      <c r="D71" s="642"/>
      <c r="E71" s="642"/>
      <c r="F71" s="642"/>
      <c r="G71" s="642"/>
      <c r="H71" s="642"/>
      <c r="I71" s="642"/>
      <c r="J71" s="642"/>
      <c r="K71" s="642"/>
    </row>
    <row r="72" spans="2:11" x14ac:dyDescent="0.25">
      <c r="B72" s="498"/>
      <c r="C72" s="487"/>
      <c r="D72" s="487"/>
      <c r="E72" s="487"/>
      <c r="F72" s="487"/>
      <c r="G72" s="487"/>
      <c r="H72" s="487"/>
      <c r="I72" s="487"/>
      <c r="J72" s="487"/>
      <c r="K72" s="488"/>
    </row>
    <row r="73" spans="2:11" ht="15.75" customHeight="1" x14ac:dyDescent="0.25"/>
    <row r="74" spans="2:11" x14ac:dyDescent="0.25">
      <c r="B74" s="46"/>
      <c r="C74" s="487"/>
      <c r="D74" s="487"/>
      <c r="E74" s="487"/>
      <c r="F74" s="487"/>
      <c r="G74" s="487"/>
      <c r="H74" s="487"/>
      <c r="I74" s="487"/>
      <c r="J74" s="487"/>
      <c r="K74" s="3"/>
    </row>
    <row r="75" spans="2:11" x14ac:dyDescent="0.25">
      <c r="B75" s="46"/>
      <c r="C75" s="487"/>
      <c r="D75" s="487"/>
      <c r="E75" s="487"/>
      <c r="F75" s="487"/>
      <c r="G75" s="487"/>
      <c r="H75" s="487"/>
      <c r="I75" s="487"/>
      <c r="J75" s="487"/>
      <c r="K75" s="3"/>
    </row>
    <row r="76" spans="2:11" x14ac:dyDescent="0.25">
      <c r="B76" s="46"/>
      <c r="C76" s="487"/>
      <c r="D76" s="487"/>
      <c r="E76" s="487"/>
      <c r="F76" s="487"/>
      <c r="G76" s="487"/>
      <c r="H76" s="487"/>
      <c r="I76" s="487"/>
      <c r="J76" s="487"/>
      <c r="K76" s="3"/>
    </row>
    <row r="77" spans="2:11" x14ac:dyDescent="0.25">
      <c r="B77" s="46"/>
      <c r="C77" s="487"/>
      <c r="D77" s="487"/>
      <c r="E77" s="487"/>
      <c r="F77" s="487"/>
      <c r="G77" s="487"/>
      <c r="H77" s="487"/>
      <c r="I77" s="487"/>
      <c r="J77" s="487"/>
      <c r="K77" s="3"/>
    </row>
    <row r="78" spans="2:11" x14ac:dyDescent="0.25">
      <c r="B78" s="46"/>
      <c r="C78" s="487"/>
      <c r="D78" s="487"/>
      <c r="E78" s="487"/>
      <c r="F78" s="487"/>
      <c r="G78" s="487"/>
      <c r="H78" s="487"/>
      <c r="I78" s="487"/>
      <c r="J78" s="487"/>
      <c r="K78" s="3"/>
    </row>
    <row r="79" spans="2:11" x14ac:dyDescent="0.25">
      <c r="B79" s="46"/>
      <c r="C79" s="487"/>
      <c r="D79" s="487"/>
      <c r="E79" s="487"/>
      <c r="F79" s="487"/>
      <c r="G79" s="487"/>
      <c r="H79" s="487"/>
      <c r="I79" s="487"/>
      <c r="J79" s="487"/>
      <c r="K79" s="3"/>
    </row>
    <row r="80" spans="2:11" x14ac:dyDescent="0.25">
      <c r="B80" s="46"/>
      <c r="C80" s="487"/>
      <c r="D80" s="487"/>
      <c r="E80" s="487"/>
      <c r="F80" s="487"/>
      <c r="G80" s="487"/>
      <c r="H80" s="487"/>
      <c r="I80" s="487"/>
      <c r="J80" s="487"/>
      <c r="K80" s="3"/>
    </row>
    <row r="81" spans="2:11" x14ac:dyDescent="0.25">
      <c r="B81" s="46"/>
      <c r="C81" s="487"/>
      <c r="D81" s="487"/>
      <c r="E81" s="487"/>
      <c r="F81" s="487"/>
      <c r="G81" s="487"/>
      <c r="H81" s="487"/>
      <c r="I81" s="487"/>
      <c r="J81" s="487"/>
      <c r="K81" s="3"/>
    </row>
    <row r="82" spans="2:11" x14ac:dyDescent="0.25">
      <c r="B82" s="46"/>
      <c r="C82" s="487"/>
      <c r="D82" s="487"/>
      <c r="E82" s="487"/>
      <c r="F82" s="487"/>
      <c r="G82" s="487"/>
      <c r="H82" s="487"/>
      <c r="I82" s="487"/>
      <c r="J82" s="487"/>
      <c r="K82" s="3"/>
    </row>
    <row r="83" spans="2:11" x14ac:dyDescent="0.25">
      <c r="B83" s="46"/>
      <c r="C83" s="487"/>
      <c r="D83" s="487"/>
      <c r="E83" s="487"/>
      <c r="F83" s="487"/>
      <c r="G83" s="487"/>
      <c r="H83" s="487"/>
      <c r="I83" s="487"/>
      <c r="J83" s="487"/>
      <c r="K83" s="3"/>
    </row>
    <row r="84" spans="2:11" x14ac:dyDescent="0.25">
      <c r="B84" s="46"/>
      <c r="C84" s="487"/>
      <c r="D84" s="487"/>
      <c r="E84" s="487"/>
      <c r="F84" s="487"/>
      <c r="G84" s="487"/>
      <c r="H84" s="487"/>
      <c r="I84" s="487"/>
      <c r="J84" s="487"/>
      <c r="K84" s="3"/>
    </row>
    <row r="85" spans="2:11" x14ac:dyDescent="0.25">
      <c r="B85" s="46"/>
      <c r="C85" s="487"/>
      <c r="D85" s="487"/>
      <c r="E85" s="487"/>
      <c r="F85" s="487"/>
      <c r="G85" s="487"/>
      <c r="H85" s="487"/>
      <c r="I85" s="487"/>
      <c r="J85" s="487"/>
      <c r="K85" s="3"/>
    </row>
    <row r="86" spans="2:11" x14ac:dyDescent="0.25">
      <c r="B86" s="46"/>
      <c r="C86" s="487"/>
      <c r="D86" s="487"/>
      <c r="E86" s="487"/>
      <c r="F86" s="487"/>
      <c r="G86" s="487"/>
      <c r="H86" s="487"/>
      <c r="I86" s="487"/>
      <c r="J86" s="487"/>
      <c r="K86" s="3"/>
    </row>
    <row r="87" spans="2:11" x14ac:dyDescent="0.25">
      <c r="B87" s="46"/>
      <c r="C87" s="487"/>
      <c r="D87" s="487"/>
      <c r="E87" s="487"/>
      <c r="F87" s="487"/>
      <c r="G87" s="487"/>
      <c r="H87" s="487"/>
      <c r="I87" s="487"/>
      <c r="J87" s="487"/>
      <c r="K87" s="3"/>
    </row>
    <row r="88" spans="2:11" x14ac:dyDescent="0.25">
      <c r="B88" s="46"/>
      <c r="C88" s="487"/>
      <c r="D88" s="487"/>
      <c r="E88" s="487"/>
      <c r="F88" s="487"/>
      <c r="G88" s="487"/>
      <c r="H88" s="487"/>
      <c r="I88" s="487"/>
      <c r="J88" s="487"/>
      <c r="K88" s="3"/>
    </row>
    <row r="89" spans="2:11" x14ac:dyDescent="0.25">
      <c r="B89" s="46"/>
      <c r="C89" s="487"/>
      <c r="D89" s="487"/>
      <c r="E89" s="487"/>
      <c r="F89" s="487"/>
      <c r="G89" s="487"/>
      <c r="H89" s="487"/>
      <c r="I89" s="487"/>
      <c r="J89" s="487"/>
      <c r="K89" s="3"/>
    </row>
    <row r="90" spans="2:11" x14ac:dyDescent="0.25">
      <c r="B90" s="46"/>
      <c r="C90" s="487"/>
      <c r="D90" s="487"/>
      <c r="E90" s="487"/>
      <c r="F90" s="487"/>
      <c r="G90" s="487"/>
      <c r="H90" s="487"/>
      <c r="I90" s="487"/>
      <c r="J90" s="487"/>
      <c r="K90" s="3"/>
    </row>
    <row r="91" spans="2:11" x14ac:dyDescent="0.25">
      <c r="B91" s="46"/>
      <c r="C91" s="487"/>
      <c r="D91" s="487"/>
      <c r="E91" s="487"/>
      <c r="F91" s="487"/>
      <c r="G91" s="487"/>
      <c r="H91" s="487"/>
      <c r="I91" s="487"/>
      <c r="J91" s="487"/>
      <c r="K91" s="3"/>
    </row>
    <row r="92" spans="2:11" x14ac:dyDescent="0.25">
      <c r="B92" s="490"/>
      <c r="C92" s="449"/>
      <c r="D92" s="449"/>
      <c r="E92" s="449"/>
      <c r="F92" s="487"/>
      <c r="G92" s="487"/>
      <c r="H92" s="487"/>
      <c r="I92" s="487"/>
      <c r="J92" s="487"/>
      <c r="K92" s="3"/>
    </row>
    <row r="93" spans="2:11" ht="156" customHeight="1" x14ac:dyDescent="0.25">
      <c r="B93" s="642" t="s">
        <v>768</v>
      </c>
      <c r="C93" s="642"/>
      <c r="D93" s="642"/>
      <c r="E93" s="642"/>
      <c r="F93" s="642"/>
      <c r="G93" s="642"/>
      <c r="H93" s="642"/>
      <c r="I93" s="642"/>
      <c r="J93" s="642"/>
      <c r="K93" s="642"/>
    </row>
    <row r="94" spans="2:11" x14ac:dyDescent="0.25">
      <c r="B94" s="3"/>
      <c r="C94" s="3"/>
      <c r="D94" s="3"/>
      <c r="E94" s="3"/>
      <c r="F94" s="3"/>
      <c r="G94" s="3"/>
      <c r="H94" s="3"/>
      <c r="I94" s="3"/>
      <c r="J94" s="3"/>
      <c r="K94" s="3"/>
    </row>
    <row r="95" spans="2:11" ht="156.75" customHeight="1" x14ac:dyDescent="0.25">
      <c r="B95" s="637" t="s">
        <v>792</v>
      </c>
      <c r="C95" s="637"/>
      <c r="D95" s="637"/>
      <c r="E95" s="637"/>
      <c r="F95" s="637"/>
      <c r="G95" s="637"/>
      <c r="H95" s="637"/>
      <c r="I95" s="637"/>
      <c r="J95" s="637"/>
      <c r="K95" s="637"/>
    </row>
    <row r="96" spans="2:11" x14ac:dyDescent="0.25">
      <c r="B96" s="3"/>
      <c r="C96" s="3"/>
      <c r="D96" s="3"/>
      <c r="E96" s="3"/>
      <c r="F96" s="3"/>
      <c r="G96" s="3"/>
      <c r="H96" s="3"/>
      <c r="I96" s="3"/>
      <c r="J96" s="3"/>
      <c r="K96" s="3"/>
    </row>
    <row r="97" spans="2:11" ht="100.5" customHeight="1" x14ac:dyDescent="0.25">
      <c r="B97" s="637" t="s">
        <v>797</v>
      </c>
      <c r="C97" s="637"/>
      <c r="D97" s="637"/>
      <c r="E97" s="637"/>
      <c r="F97" s="637"/>
      <c r="G97" s="637"/>
      <c r="H97" s="637"/>
      <c r="I97" s="637"/>
      <c r="J97" s="637"/>
      <c r="K97" s="637"/>
    </row>
    <row r="98" spans="2:11" x14ac:dyDescent="0.25">
      <c r="B98" s="3"/>
      <c r="C98" s="3"/>
      <c r="D98" s="3"/>
      <c r="E98" s="3"/>
      <c r="F98" s="3"/>
      <c r="G98" s="3"/>
      <c r="H98" s="3"/>
      <c r="I98" s="3"/>
      <c r="J98" s="3"/>
      <c r="K98" s="3"/>
    </row>
    <row r="99" spans="2:11" ht="33.75" customHeight="1" x14ac:dyDescent="0.25">
      <c r="B99" s="637" t="s">
        <v>770</v>
      </c>
      <c r="C99" s="637"/>
      <c r="D99" s="637"/>
      <c r="E99" s="637"/>
      <c r="F99" s="637"/>
      <c r="G99" s="637"/>
      <c r="H99" s="637"/>
      <c r="I99" s="637"/>
      <c r="J99" s="637"/>
      <c r="K99" s="637"/>
    </row>
    <row r="100" spans="2:11" x14ac:dyDescent="0.25">
      <c r="B100" s="3"/>
      <c r="C100" s="3"/>
      <c r="D100" s="3"/>
      <c r="E100" s="3"/>
      <c r="F100" s="3"/>
      <c r="G100" s="3"/>
      <c r="H100" s="3"/>
      <c r="I100" s="3"/>
      <c r="J100" s="3"/>
      <c r="K100" s="3"/>
    </row>
    <row r="101" spans="2:11" x14ac:dyDescent="0.25">
      <c r="B101" s="646" t="s">
        <v>704</v>
      </c>
      <c r="C101" s="646"/>
      <c r="D101" s="646"/>
      <c r="E101" s="646"/>
      <c r="F101" s="646"/>
      <c r="G101" s="646"/>
      <c r="H101" s="646"/>
      <c r="I101" s="646"/>
      <c r="J101" s="646"/>
      <c r="K101" s="646"/>
    </row>
    <row r="102" spans="2:11" x14ac:dyDescent="0.25">
      <c r="B102" s="646" t="s">
        <v>705</v>
      </c>
      <c r="C102" s="646"/>
      <c r="D102" s="646"/>
      <c r="E102" s="646"/>
      <c r="F102" s="646"/>
      <c r="G102" s="646"/>
      <c r="H102" s="646"/>
      <c r="I102" s="646"/>
      <c r="J102" s="646"/>
      <c r="K102" s="646"/>
    </row>
    <row r="103" spans="2:11" x14ac:dyDescent="0.25">
      <c r="B103" s="645" t="s">
        <v>706</v>
      </c>
      <c r="C103" s="645"/>
      <c r="D103" s="645"/>
      <c r="E103" s="645"/>
      <c r="F103" s="645"/>
      <c r="G103" s="645"/>
      <c r="H103" s="645"/>
      <c r="I103" s="645"/>
      <c r="J103" s="645"/>
      <c r="K103" s="645"/>
    </row>
    <row r="104" spans="2:11" x14ac:dyDescent="0.25">
      <c r="B104" s="485"/>
      <c r="C104" s="3"/>
      <c r="D104" s="3"/>
      <c r="E104" s="3"/>
      <c r="F104" s="3"/>
      <c r="G104" s="3"/>
      <c r="H104" s="3"/>
      <c r="I104" s="3"/>
      <c r="J104" s="3"/>
      <c r="K104" s="3"/>
    </row>
    <row r="105" spans="2:11" ht="46.15" customHeight="1" x14ac:dyDescent="0.25">
      <c r="B105" s="465" t="s">
        <v>713</v>
      </c>
      <c r="C105" s="3"/>
      <c r="D105" s="647" t="s">
        <v>712</v>
      </c>
      <c r="E105" s="647"/>
      <c r="F105" s="648" t="s">
        <v>760</v>
      </c>
      <c r="G105" s="648"/>
      <c r="H105" s="648" t="s">
        <v>711</v>
      </c>
      <c r="I105" s="648"/>
      <c r="J105" s="648" t="s">
        <v>710</v>
      </c>
      <c r="K105" s="648"/>
    </row>
    <row r="106" spans="2:11" x14ac:dyDescent="0.25">
      <c r="B106" s="3"/>
      <c r="C106" s="3"/>
      <c r="D106" s="3"/>
      <c r="E106" s="3"/>
      <c r="F106" s="3"/>
      <c r="G106" s="3"/>
      <c r="H106" s="3"/>
      <c r="I106" s="3"/>
      <c r="J106" s="3"/>
      <c r="K106" s="3"/>
    </row>
    <row r="107" spans="2:11" x14ac:dyDescent="0.25">
      <c r="B107" s="484">
        <f>'Ex A 1 of 2'!C6</f>
        <v>46054</v>
      </c>
      <c r="C107" s="3"/>
      <c r="D107" s="643">
        <v>7.1479999999999997</v>
      </c>
      <c r="E107" s="643"/>
      <c r="F107" s="644">
        <v>1.4800000000000001E-2</v>
      </c>
      <c r="G107" s="644"/>
      <c r="H107" s="643">
        <v>6.2899999999999998E-2</v>
      </c>
      <c r="I107" s="643"/>
      <c r="J107" s="643">
        <v>7.3182999999999998</v>
      </c>
      <c r="K107" s="643"/>
    </row>
    <row r="108" spans="2:11" x14ac:dyDescent="0.25">
      <c r="B108" s="484">
        <f>'Ex A 1 of 2'!D6</f>
        <v>46082</v>
      </c>
      <c r="C108" s="3"/>
      <c r="D108" s="643">
        <v>7.335</v>
      </c>
      <c r="E108" s="643"/>
      <c r="F108" s="644">
        <v>1.4800000000000001E-2</v>
      </c>
      <c r="G108" s="644"/>
      <c r="H108" s="643">
        <v>6.2899999999999998E-2</v>
      </c>
      <c r="I108" s="643"/>
      <c r="J108" s="643">
        <v>7.5080999999999998</v>
      </c>
      <c r="K108" s="643"/>
    </row>
    <row r="109" spans="2:11" x14ac:dyDescent="0.25">
      <c r="B109" s="484">
        <f>'Ex A 1 of 2'!E6</f>
        <v>46113</v>
      </c>
      <c r="C109" s="3"/>
      <c r="D109" s="643">
        <v>7.4770000000000003</v>
      </c>
      <c r="E109" s="643"/>
      <c r="F109" s="644">
        <v>1.4800000000000001E-2</v>
      </c>
      <c r="G109" s="644"/>
      <c r="H109" s="643">
        <v>6.2899999999999998E-2</v>
      </c>
      <c r="I109" s="643"/>
      <c r="J109" s="643">
        <v>7.6521999999999997</v>
      </c>
      <c r="K109" s="643"/>
    </row>
    <row r="110" spans="2:11" x14ac:dyDescent="0.25">
      <c r="B110" s="485"/>
      <c r="C110" s="3"/>
      <c r="D110" s="3"/>
      <c r="E110" s="3"/>
      <c r="F110" s="3"/>
      <c r="G110" s="3"/>
      <c r="H110" s="3"/>
      <c r="I110" s="3"/>
      <c r="J110" s="3"/>
      <c r="K110" s="3"/>
    </row>
    <row r="111" spans="2:11" x14ac:dyDescent="0.25">
      <c r="B111" s="485"/>
      <c r="C111" s="3"/>
      <c r="D111" s="3"/>
      <c r="E111" s="3"/>
      <c r="F111" s="3"/>
      <c r="G111" s="3"/>
      <c r="H111" s="3"/>
      <c r="I111" s="3"/>
      <c r="J111" s="3"/>
      <c r="K111" s="3"/>
    </row>
    <row r="112" spans="2:11" x14ac:dyDescent="0.25">
      <c r="B112" s="646" t="s">
        <v>707</v>
      </c>
      <c r="C112" s="646"/>
      <c r="D112" s="646"/>
      <c r="E112" s="646"/>
      <c r="F112" s="646"/>
      <c r="G112" s="646"/>
      <c r="H112" s="646"/>
      <c r="I112" s="646"/>
      <c r="J112" s="646"/>
      <c r="K112" s="646"/>
    </row>
    <row r="113" spans="2:11" x14ac:dyDescent="0.25">
      <c r="B113" s="646" t="s">
        <v>708</v>
      </c>
      <c r="C113" s="646"/>
      <c r="D113" s="646"/>
      <c r="E113" s="646"/>
      <c r="F113" s="646"/>
      <c r="G113" s="646"/>
      <c r="H113" s="646"/>
      <c r="I113" s="646"/>
      <c r="J113" s="646"/>
      <c r="K113" s="646"/>
    </row>
    <row r="114" spans="2:11" x14ac:dyDescent="0.25">
      <c r="B114" s="645" t="s">
        <v>709</v>
      </c>
      <c r="C114" s="645"/>
      <c r="D114" s="645"/>
      <c r="E114" s="645"/>
      <c r="F114" s="645"/>
      <c r="G114" s="645"/>
      <c r="H114" s="645"/>
      <c r="I114" s="645"/>
      <c r="J114" s="645"/>
      <c r="K114" s="645"/>
    </row>
    <row r="115" spans="2:11" x14ac:dyDescent="0.25">
      <c r="B115" s="485"/>
      <c r="C115" s="3"/>
      <c r="D115" s="3"/>
      <c r="E115" s="3"/>
      <c r="F115" s="3"/>
      <c r="G115" s="3"/>
      <c r="H115" s="3"/>
      <c r="I115" s="3"/>
      <c r="J115" s="3"/>
      <c r="K115" s="3"/>
    </row>
    <row r="116" spans="2:11" ht="46.15" customHeight="1" x14ac:dyDescent="0.25">
      <c r="B116" s="465" t="s">
        <v>713</v>
      </c>
      <c r="C116" s="3"/>
      <c r="D116" s="647" t="s">
        <v>712</v>
      </c>
      <c r="E116" s="647"/>
      <c r="F116" s="648" t="s">
        <v>759</v>
      </c>
      <c r="G116" s="648"/>
      <c r="H116" s="648" t="s">
        <v>717</v>
      </c>
      <c r="I116" s="648"/>
      <c r="J116" s="648" t="s">
        <v>710</v>
      </c>
      <c r="K116" s="648"/>
    </row>
    <row r="117" spans="2:11" x14ac:dyDescent="0.25">
      <c r="B117" s="3"/>
      <c r="C117" s="3"/>
      <c r="D117" s="3"/>
      <c r="E117" s="3"/>
      <c r="F117" s="3"/>
      <c r="G117" s="3"/>
      <c r="H117" s="3"/>
      <c r="I117" s="3"/>
      <c r="J117" s="3"/>
      <c r="K117" s="3"/>
    </row>
    <row r="118" spans="2:11" x14ac:dyDescent="0.25">
      <c r="B118" s="484">
        <f>B107</f>
        <v>46054</v>
      </c>
      <c r="C118" s="3"/>
      <c r="D118" s="643">
        <v>7.1159999999999997</v>
      </c>
      <c r="E118" s="643"/>
      <c r="F118" s="644">
        <v>5.8999999999999999E-3</v>
      </c>
      <c r="G118" s="644"/>
      <c r="H118" s="643">
        <v>3.7499999999999999E-2</v>
      </c>
      <c r="I118" s="643"/>
      <c r="J118" s="643">
        <v>7.1957000000000004</v>
      </c>
      <c r="K118" s="643"/>
    </row>
    <row r="119" spans="2:11" x14ac:dyDescent="0.25">
      <c r="B119" s="484">
        <f>B108</f>
        <v>46082</v>
      </c>
      <c r="C119" s="3"/>
      <c r="D119" s="643">
        <v>7.3029999999999999</v>
      </c>
      <c r="E119" s="643"/>
      <c r="F119" s="644">
        <v>5.8999999999999999E-3</v>
      </c>
      <c r="G119" s="644"/>
      <c r="H119" s="643">
        <v>3.7499999999999999E-2</v>
      </c>
      <c r="I119" s="643"/>
      <c r="J119" s="643">
        <v>7.3837999999999999</v>
      </c>
      <c r="K119" s="643"/>
    </row>
    <row r="120" spans="2:11" x14ac:dyDescent="0.25">
      <c r="B120" s="484">
        <f>B109</f>
        <v>46113</v>
      </c>
      <c r="C120" s="3"/>
      <c r="D120" s="643">
        <v>7.4450000000000003</v>
      </c>
      <c r="E120" s="643"/>
      <c r="F120" s="644">
        <v>5.8999999999999999E-3</v>
      </c>
      <c r="G120" s="644"/>
      <c r="H120" s="643">
        <v>3.7499999999999999E-2</v>
      </c>
      <c r="I120" s="643"/>
      <c r="J120" s="643">
        <v>7.5266999999999999</v>
      </c>
      <c r="K120" s="643"/>
    </row>
    <row r="121" spans="2:11" x14ac:dyDescent="0.25">
      <c r="B121" s="485"/>
      <c r="C121" s="3"/>
      <c r="D121" s="3"/>
      <c r="E121" s="3"/>
      <c r="F121" s="3"/>
      <c r="G121" s="3"/>
      <c r="H121" s="3"/>
      <c r="I121" s="3"/>
      <c r="J121" s="3"/>
      <c r="K121" s="3"/>
    </row>
    <row r="122" spans="2:11" x14ac:dyDescent="0.25">
      <c r="B122" s="446"/>
      <c r="C122" s="489"/>
      <c r="D122" s="489"/>
      <c r="E122" s="489"/>
      <c r="F122" s="489"/>
      <c r="G122" s="3"/>
      <c r="H122" s="3"/>
      <c r="I122" s="3"/>
      <c r="J122" s="3"/>
      <c r="K122" s="3"/>
    </row>
    <row r="123" spans="2:11" x14ac:dyDescent="0.25">
      <c r="B123" s="646" t="s">
        <v>771</v>
      </c>
      <c r="C123" s="646"/>
      <c r="D123" s="646"/>
      <c r="E123" s="646"/>
      <c r="F123" s="646"/>
      <c r="G123" s="646"/>
      <c r="H123" s="646"/>
      <c r="I123" s="646"/>
      <c r="J123" s="646"/>
      <c r="K123" s="646"/>
    </row>
    <row r="124" spans="2:11" x14ac:dyDescent="0.25">
      <c r="B124" s="646" t="s">
        <v>705</v>
      </c>
      <c r="C124" s="646"/>
      <c r="D124" s="646"/>
      <c r="E124" s="646"/>
      <c r="F124" s="646"/>
      <c r="G124" s="646"/>
      <c r="H124" s="646"/>
      <c r="I124" s="646"/>
      <c r="J124" s="646"/>
      <c r="K124" s="646"/>
    </row>
    <row r="125" spans="2:11" x14ac:dyDescent="0.25">
      <c r="B125" s="645" t="s">
        <v>773</v>
      </c>
      <c r="C125" s="645"/>
      <c r="D125" s="645"/>
      <c r="E125" s="645"/>
      <c r="F125" s="645"/>
      <c r="G125" s="645"/>
      <c r="H125" s="645"/>
      <c r="I125" s="645"/>
      <c r="J125" s="645"/>
      <c r="K125" s="645"/>
    </row>
    <row r="126" spans="2:11" x14ac:dyDescent="0.25">
      <c r="B126" s="485"/>
      <c r="C126" s="3"/>
      <c r="D126" s="3"/>
      <c r="E126" s="3"/>
      <c r="F126" s="3"/>
      <c r="G126" s="3"/>
      <c r="H126" s="3"/>
      <c r="I126" s="3"/>
      <c r="J126" s="3"/>
      <c r="K126" s="3"/>
    </row>
    <row r="127" spans="2:11" ht="46.15" customHeight="1" x14ac:dyDescent="0.25">
      <c r="B127" s="465" t="s">
        <v>713</v>
      </c>
      <c r="C127" s="3"/>
      <c r="D127" s="647" t="s">
        <v>712</v>
      </c>
      <c r="E127" s="647"/>
      <c r="F127" s="648" t="s">
        <v>772</v>
      </c>
      <c r="G127" s="648"/>
      <c r="H127" s="648" t="s">
        <v>717</v>
      </c>
      <c r="I127" s="648"/>
      <c r="J127" s="648" t="s">
        <v>710</v>
      </c>
      <c r="K127" s="648"/>
    </row>
    <row r="128" spans="2:11" x14ac:dyDescent="0.25">
      <c r="B128" s="3"/>
      <c r="C128" s="3"/>
      <c r="D128" s="3"/>
      <c r="E128" s="3"/>
      <c r="F128" s="3"/>
      <c r="G128" s="3"/>
      <c r="H128" s="3"/>
      <c r="I128" s="3"/>
      <c r="J128" s="3"/>
      <c r="K128" s="3"/>
    </row>
    <row r="129" spans="2:11" x14ac:dyDescent="0.25">
      <c r="B129" s="484">
        <f>B118</f>
        <v>46054</v>
      </c>
      <c r="C129" s="3"/>
      <c r="D129" s="643">
        <v>7.1479999999999997</v>
      </c>
      <c r="E129" s="643"/>
      <c r="F129" s="644">
        <v>1.2999999999999999E-2</v>
      </c>
      <c r="G129" s="644"/>
      <c r="H129" s="643">
        <v>5.2299999999999999E-2</v>
      </c>
      <c r="I129" s="643"/>
      <c r="J129" s="643">
        <v>7.2944000000000004</v>
      </c>
      <c r="K129" s="643"/>
    </row>
    <row r="130" spans="2:11" x14ac:dyDescent="0.25">
      <c r="B130" s="484">
        <f>B119</f>
        <v>46082</v>
      </c>
      <c r="C130" s="3"/>
      <c r="D130" s="643">
        <v>7.335</v>
      </c>
      <c r="E130" s="643"/>
      <c r="F130" s="644">
        <v>1.2999999999999999E-2</v>
      </c>
      <c r="G130" s="644"/>
      <c r="H130" s="643">
        <v>5.2299999999999999E-2</v>
      </c>
      <c r="I130" s="643"/>
      <c r="J130" s="643">
        <v>7.4839000000000002</v>
      </c>
      <c r="K130" s="643"/>
    </row>
    <row r="131" spans="2:11" x14ac:dyDescent="0.25">
      <c r="B131" s="484">
        <f>B120</f>
        <v>46113</v>
      </c>
      <c r="C131" s="3"/>
      <c r="D131" s="643">
        <v>7.4770000000000003</v>
      </c>
      <c r="E131" s="643"/>
      <c r="F131" s="644">
        <v>1.2999999999999999E-2</v>
      </c>
      <c r="G131" s="644"/>
      <c r="H131" s="643">
        <v>5.2299999999999999E-2</v>
      </c>
      <c r="I131" s="643"/>
      <c r="J131" s="643">
        <v>7.6277999999999997</v>
      </c>
      <c r="K131" s="643"/>
    </row>
    <row r="132" spans="2:11" x14ac:dyDescent="0.25">
      <c r="B132" s="485"/>
      <c r="C132" s="3"/>
      <c r="D132" s="3"/>
      <c r="E132" s="3"/>
      <c r="F132" s="3"/>
      <c r="G132" s="3"/>
      <c r="H132" s="3"/>
      <c r="I132" s="3"/>
      <c r="J132" s="3"/>
      <c r="K132" s="3"/>
    </row>
    <row r="133" spans="2:11" x14ac:dyDescent="0.25">
      <c r="B133" s="446"/>
      <c r="C133" s="489"/>
      <c r="D133" s="489"/>
      <c r="E133" s="489"/>
      <c r="F133" s="489"/>
      <c r="G133" s="3"/>
      <c r="H133" s="3"/>
      <c r="I133" s="3"/>
      <c r="J133" s="3"/>
      <c r="K133" s="3"/>
    </row>
    <row r="134" spans="2:11" x14ac:dyDescent="0.25">
      <c r="B134" s="646" t="s">
        <v>778</v>
      </c>
      <c r="C134" s="646"/>
      <c r="D134" s="646"/>
      <c r="E134" s="646"/>
      <c r="F134" s="646"/>
      <c r="G134" s="646"/>
      <c r="H134" s="646"/>
      <c r="I134" s="646"/>
      <c r="J134" s="646"/>
      <c r="K134" s="646"/>
    </row>
    <row r="135" spans="2:11" x14ac:dyDescent="0.25">
      <c r="B135" s="646" t="s">
        <v>705</v>
      </c>
      <c r="C135" s="646"/>
      <c r="D135" s="646"/>
      <c r="E135" s="646"/>
      <c r="F135" s="646"/>
      <c r="G135" s="646"/>
      <c r="H135" s="646"/>
      <c r="I135" s="646"/>
      <c r="J135" s="646"/>
      <c r="K135" s="646"/>
    </row>
    <row r="136" spans="2:11" x14ac:dyDescent="0.25">
      <c r="B136" s="645" t="s">
        <v>714</v>
      </c>
      <c r="C136" s="645"/>
      <c r="D136" s="645"/>
      <c r="E136" s="645"/>
      <c r="F136" s="645"/>
      <c r="G136" s="645"/>
      <c r="H136" s="645"/>
      <c r="I136" s="645"/>
      <c r="J136" s="645"/>
      <c r="K136" s="645"/>
    </row>
    <row r="137" spans="2:11" x14ac:dyDescent="0.25">
      <c r="B137" s="485"/>
      <c r="C137" s="3"/>
      <c r="D137" s="3"/>
      <c r="E137" s="3"/>
      <c r="F137" s="3"/>
      <c r="G137" s="3"/>
      <c r="H137" s="3"/>
      <c r="I137" s="3"/>
      <c r="J137" s="3"/>
      <c r="K137" s="3"/>
    </row>
    <row r="138" spans="2:11" ht="46.15" customHeight="1" x14ac:dyDescent="0.25">
      <c r="B138" s="465" t="s">
        <v>713</v>
      </c>
      <c r="C138" s="3"/>
      <c r="D138" s="647" t="s">
        <v>715</v>
      </c>
      <c r="E138" s="647"/>
      <c r="F138" s="648" t="s">
        <v>758</v>
      </c>
      <c r="G138" s="648"/>
      <c r="H138" s="648" t="s">
        <v>716</v>
      </c>
      <c r="I138" s="648"/>
      <c r="J138" s="648" t="s">
        <v>710</v>
      </c>
      <c r="K138" s="648"/>
    </row>
    <row r="139" spans="2:11" x14ac:dyDescent="0.25">
      <c r="B139" s="3"/>
      <c r="C139" s="3"/>
      <c r="D139" s="3"/>
      <c r="E139" s="3"/>
      <c r="F139" s="3"/>
      <c r="G139" s="3"/>
      <c r="H139" s="3"/>
      <c r="I139" s="3"/>
      <c r="J139" s="3"/>
      <c r="K139" s="3"/>
    </row>
    <row r="140" spans="2:11" x14ac:dyDescent="0.25">
      <c r="B140" s="484">
        <f>B118</f>
        <v>46054</v>
      </c>
      <c r="C140" s="3"/>
      <c r="D140" s="643">
        <v>7.2220000000000004</v>
      </c>
      <c r="E140" s="643"/>
      <c r="F140" s="644">
        <v>1.2999999999999999E-3</v>
      </c>
      <c r="G140" s="644"/>
      <c r="H140" s="643">
        <v>4.1500000000000002E-2</v>
      </c>
      <c r="I140" s="643"/>
      <c r="J140" s="643">
        <v>7.2728999999999999</v>
      </c>
      <c r="K140" s="643"/>
    </row>
    <row r="141" spans="2:11" x14ac:dyDescent="0.25">
      <c r="B141" s="484">
        <f>B119</f>
        <v>46082</v>
      </c>
      <c r="C141" s="3"/>
      <c r="D141" s="643">
        <v>7.4089999999999998</v>
      </c>
      <c r="E141" s="643"/>
      <c r="F141" s="644">
        <v>1.2999999999999999E-3</v>
      </c>
      <c r="G141" s="644"/>
      <c r="H141" s="643">
        <v>4.1500000000000002E-2</v>
      </c>
      <c r="I141" s="643"/>
      <c r="J141" s="643">
        <v>7.4600999999999997</v>
      </c>
      <c r="K141" s="643"/>
    </row>
    <row r="142" spans="2:11" x14ac:dyDescent="0.25">
      <c r="B142" s="484">
        <f>B120</f>
        <v>46113</v>
      </c>
      <c r="C142" s="3"/>
      <c r="D142" s="643">
        <v>7.5510000000000002</v>
      </c>
      <c r="E142" s="643"/>
      <c r="F142" s="644">
        <v>1.2999999999999999E-3</v>
      </c>
      <c r="G142" s="644"/>
      <c r="H142" s="643">
        <v>4.1500000000000002E-2</v>
      </c>
      <c r="I142" s="643"/>
      <c r="J142" s="643">
        <v>7.6022999999999996</v>
      </c>
      <c r="K142" s="643"/>
    </row>
    <row r="143" spans="2:11" x14ac:dyDescent="0.25">
      <c r="B143" s="485"/>
      <c r="C143" s="3"/>
      <c r="D143" s="3"/>
      <c r="E143" s="3"/>
      <c r="F143" s="3"/>
      <c r="G143" s="3"/>
      <c r="H143" s="3"/>
      <c r="I143" s="3"/>
      <c r="J143" s="3"/>
      <c r="K143" s="3"/>
    </row>
    <row r="144" spans="2:11" x14ac:dyDescent="0.25">
      <c r="B144" s="485"/>
      <c r="C144" s="485"/>
      <c r="D144" s="3"/>
      <c r="E144" s="3"/>
      <c r="F144" s="3"/>
      <c r="G144" s="3"/>
      <c r="H144" s="3"/>
      <c r="I144" s="3"/>
      <c r="J144" s="3"/>
      <c r="K144" s="3"/>
    </row>
    <row r="145" spans="2:11" ht="31.9" customHeight="1" x14ac:dyDescent="0.25">
      <c r="B145" s="637" t="s">
        <v>774</v>
      </c>
      <c r="C145" s="637"/>
      <c r="D145" s="637"/>
      <c r="E145" s="637"/>
      <c r="F145" s="637"/>
      <c r="G145" s="637"/>
      <c r="H145" s="637"/>
      <c r="I145" s="637"/>
      <c r="J145" s="637"/>
      <c r="K145" s="637"/>
    </row>
    <row r="146" spans="2:11" x14ac:dyDescent="0.25">
      <c r="B146" s="3"/>
      <c r="C146" s="3"/>
      <c r="D146" s="3"/>
      <c r="E146" s="3"/>
      <c r="F146" s="3"/>
      <c r="G146" s="3"/>
      <c r="H146" s="3"/>
      <c r="I146" s="3"/>
      <c r="J146" s="3"/>
      <c r="K146" s="3"/>
    </row>
    <row r="147" spans="2:11" x14ac:dyDescent="0.25">
      <c r="B147" s="638" t="s">
        <v>718</v>
      </c>
      <c r="C147" s="638"/>
      <c r="D147" s="638"/>
      <c r="E147" s="638"/>
      <c r="F147" s="638"/>
      <c r="G147" s="638"/>
      <c r="H147" s="638"/>
      <c r="I147" s="638"/>
      <c r="J147" s="638"/>
      <c r="K147" s="3"/>
    </row>
    <row r="148" spans="2:11" x14ac:dyDescent="0.25">
      <c r="B148" s="427"/>
      <c r="C148" s="3"/>
      <c r="D148" s="3"/>
      <c r="E148" s="3"/>
      <c r="F148" s="3"/>
      <c r="G148" s="3"/>
      <c r="H148" s="3"/>
      <c r="I148" s="3"/>
      <c r="J148" s="3"/>
      <c r="K148" s="3"/>
    </row>
    <row r="149" spans="2:11" ht="33.75" customHeight="1" x14ac:dyDescent="0.25">
      <c r="B149" s="637" t="s">
        <v>775</v>
      </c>
      <c r="C149" s="637"/>
      <c r="D149" s="637"/>
      <c r="E149" s="637"/>
      <c r="F149" s="637"/>
      <c r="G149" s="637"/>
      <c r="H149" s="637"/>
      <c r="I149" s="637"/>
      <c r="J149" s="637"/>
      <c r="K149" s="637"/>
    </row>
    <row r="150" spans="2:11" x14ac:dyDescent="0.25">
      <c r="B150" s="503"/>
      <c r="C150" s="503"/>
      <c r="D150" s="503"/>
      <c r="E150" s="503"/>
      <c r="F150" s="503"/>
      <c r="G150" s="503"/>
      <c r="H150" s="503"/>
      <c r="I150" s="503"/>
      <c r="J150" s="503"/>
      <c r="K150" s="503"/>
    </row>
    <row r="151" spans="2:11" ht="48" customHeight="1" x14ac:dyDescent="0.25">
      <c r="B151" s="637" t="s">
        <v>719</v>
      </c>
      <c r="C151" s="637"/>
      <c r="D151" s="637"/>
      <c r="E151" s="637"/>
      <c r="F151" s="637"/>
      <c r="G151" s="637"/>
      <c r="H151" s="637"/>
      <c r="I151" s="637"/>
      <c r="J151" s="637"/>
      <c r="K151" s="637"/>
    </row>
  </sheetData>
  <mergeCells count="120">
    <mergeCell ref="F109:G109"/>
    <mergeCell ref="D109:E109"/>
    <mergeCell ref="D108:E108"/>
    <mergeCell ref="D107:E107"/>
    <mergeCell ref="J107:K107"/>
    <mergeCell ref="J108:K108"/>
    <mergeCell ref="J109:K109"/>
    <mergeCell ref="H109:I109"/>
    <mergeCell ref="H108:I108"/>
    <mergeCell ref="H107:I107"/>
    <mergeCell ref="B31:J31"/>
    <mergeCell ref="B33:K33"/>
    <mergeCell ref="B37:K37"/>
    <mergeCell ref="B39:K39"/>
    <mergeCell ref="C61:J61"/>
    <mergeCell ref="C57:K57"/>
    <mergeCell ref="C63:K63"/>
    <mergeCell ref="C59:K59"/>
    <mergeCell ref="B9:J9"/>
    <mergeCell ref="B21:J21"/>
    <mergeCell ref="B43:J43"/>
    <mergeCell ref="B41:J41"/>
    <mergeCell ref="B15:K15"/>
    <mergeCell ref="B25:K25"/>
    <mergeCell ref="B53:J53"/>
    <mergeCell ref="B51:K51"/>
    <mergeCell ref="B55:K55"/>
    <mergeCell ref="B11:J11"/>
    <mergeCell ref="B47:K47"/>
    <mergeCell ref="B35:K35"/>
    <mergeCell ref="B93:K93"/>
    <mergeCell ref="C69:K69"/>
    <mergeCell ref="C71:K71"/>
    <mergeCell ref="C65:K65"/>
    <mergeCell ref="C67:K67"/>
    <mergeCell ref="B114:K114"/>
    <mergeCell ref="B113:K113"/>
    <mergeCell ref="B112:K112"/>
    <mergeCell ref="J116:K116"/>
    <mergeCell ref="H116:I116"/>
    <mergeCell ref="F116:G116"/>
    <mergeCell ref="D116:E116"/>
    <mergeCell ref="B101:K101"/>
    <mergeCell ref="B103:K103"/>
    <mergeCell ref="B102:K102"/>
    <mergeCell ref="J105:K105"/>
    <mergeCell ref="H105:I105"/>
    <mergeCell ref="F105:G105"/>
    <mergeCell ref="D105:E105"/>
    <mergeCell ref="B95:K95"/>
    <mergeCell ref="B97:K97"/>
    <mergeCell ref="B99:K99"/>
    <mergeCell ref="F107:G107"/>
    <mergeCell ref="F108:G108"/>
    <mergeCell ref="J119:K119"/>
    <mergeCell ref="J118:K118"/>
    <mergeCell ref="H119:I119"/>
    <mergeCell ref="H118:I118"/>
    <mergeCell ref="F119:G119"/>
    <mergeCell ref="F118:G118"/>
    <mergeCell ref="D118:E118"/>
    <mergeCell ref="D119:E119"/>
    <mergeCell ref="J120:K120"/>
    <mergeCell ref="H120:I120"/>
    <mergeCell ref="F120:G120"/>
    <mergeCell ref="D120:E120"/>
    <mergeCell ref="B134:K134"/>
    <mergeCell ref="B123:K123"/>
    <mergeCell ref="B124:K124"/>
    <mergeCell ref="B125:K125"/>
    <mergeCell ref="D127:E127"/>
    <mergeCell ref="F127:G127"/>
    <mergeCell ref="H127:I127"/>
    <mergeCell ref="J127:K127"/>
    <mergeCell ref="D129:E129"/>
    <mergeCell ref="F129:G129"/>
    <mergeCell ref="H129:I129"/>
    <mergeCell ref="J129:K129"/>
    <mergeCell ref="D130:E130"/>
    <mergeCell ref="F130:G130"/>
    <mergeCell ref="H130:I130"/>
    <mergeCell ref="J130:K130"/>
    <mergeCell ref="D131:E131"/>
    <mergeCell ref="F131:G131"/>
    <mergeCell ref="H131:I131"/>
    <mergeCell ref="J131:K131"/>
    <mergeCell ref="D140:E140"/>
    <mergeCell ref="B136:K136"/>
    <mergeCell ref="B135:K135"/>
    <mergeCell ref="D138:E138"/>
    <mergeCell ref="F138:G138"/>
    <mergeCell ref="H138:I138"/>
    <mergeCell ref="J138:K138"/>
    <mergeCell ref="H142:I142"/>
    <mergeCell ref="F142:G142"/>
    <mergeCell ref="D142:E142"/>
    <mergeCell ref="B149:K149"/>
    <mergeCell ref="B151:K151"/>
    <mergeCell ref="B147:J147"/>
    <mergeCell ref="B1:K1"/>
    <mergeCell ref="B3:K3"/>
    <mergeCell ref="B5:K5"/>
    <mergeCell ref="B7:K7"/>
    <mergeCell ref="B13:K13"/>
    <mergeCell ref="B17:K17"/>
    <mergeCell ref="B19:K19"/>
    <mergeCell ref="B23:K23"/>
    <mergeCell ref="B27:K27"/>
    <mergeCell ref="B29:K29"/>
    <mergeCell ref="B45:K45"/>
    <mergeCell ref="B49:K49"/>
    <mergeCell ref="J142:K142"/>
    <mergeCell ref="B145:K145"/>
    <mergeCell ref="J140:K140"/>
    <mergeCell ref="J141:K141"/>
    <mergeCell ref="H141:I141"/>
    <mergeCell ref="H140:I140"/>
    <mergeCell ref="F140:G140"/>
    <mergeCell ref="F141:G141"/>
    <mergeCell ref="D141:E141"/>
  </mergeCells>
  <pageMargins left="0.7" right="0.7" top="0.75" bottom="0.75" header="0.3" footer="0.3"/>
  <pageSetup scale="69" fitToHeight="5" orientation="portrait" cellComments="atEnd" r:id="rId1"/>
  <headerFooter>
    <oddHeader>&amp;R&amp;"Times New Roman,Bold"Exhibit A-1
&amp;P of &amp;N</oddHeader>
    <oddFooter>&amp;L_x000D_&amp;1#&amp;"Calibri"&amp;14&amp;K000000 Business Use</oddFooter>
  </headerFooter>
  <rowBreaks count="4" manualBreakCount="4">
    <brk id="29" max="10" man="1"/>
    <brk id="52" max="10" man="1"/>
    <brk id="93" max="10" man="1"/>
    <brk id="133" max="10"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tabColor theme="3" tint="0.59999389629810485"/>
    <pageSetUpPr fitToPage="1"/>
  </sheetPr>
  <dimension ref="A1:XFC96"/>
  <sheetViews>
    <sheetView zoomScale="70" zoomScaleNormal="70" workbookViewId="0"/>
  </sheetViews>
  <sheetFormatPr defaultColWidth="9.77734375" defaultRowHeight="15.75" x14ac:dyDescent="0.25"/>
  <cols>
    <col min="1" max="1" width="8.21875" style="289" bestFit="1" customWidth="1"/>
    <col min="2" max="2" width="75.21875" style="263" bestFit="1" customWidth="1"/>
    <col min="3" max="3" width="14.88671875" style="263" customWidth="1"/>
    <col min="4" max="4" width="16.6640625" style="263" customWidth="1"/>
    <col min="5" max="5" width="14.21875" style="263" customWidth="1"/>
    <col min="6" max="6" width="14.77734375" style="263" customWidth="1"/>
    <col min="7" max="7" width="5.6640625" style="263" customWidth="1"/>
    <col min="8" max="8" width="4.44140625" style="263" customWidth="1"/>
    <col min="9" max="9" width="10.33203125" style="263" bestFit="1" customWidth="1"/>
    <col min="10" max="16384" width="9.77734375" style="263"/>
  </cols>
  <sheetData>
    <row r="1" spans="1:9 16383:16383" ht="18.75" x14ac:dyDescent="0.3">
      <c r="A1" s="262"/>
      <c r="B1" s="11"/>
      <c r="C1" s="11"/>
      <c r="D1" s="11"/>
      <c r="E1" s="11"/>
      <c r="F1" s="11"/>
    </row>
    <row r="2" spans="1:9 16383:16383" ht="18.75" x14ac:dyDescent="0.3">
      <c r="A2" s="264" t="s">
        <v>5</v>
      </c>
      <c r="B2" s="265"/>
      <c r="C2" s="265"/>
      <c r="D2" s="265"/>
      <c r="E2" s="265"/>
      <c r="F2" s="265"/>
      <c r="G2" s="266"/>
      <c r="XFC2" s="535"/>
    </row>
    <row r="3" spans="1:9 16383:16383" ht="18.75" x14ac:dyDescent="0.3">
      <c r="A3" s="267" t="s">
        <v>222</v>
      </c>
      <c r="B3" s="268"/>
      <c r="C3" s="268"/>
      <c r="D3" s="268"/>
      <c r="E3" s="265"/>
      <c r="F3" s="265"/>
      <c r="G3" s="266"/>
    </row>
    <row r="4" spans="1:9 16383:16383" ht="18.75" x14ac:dyDescent="0.3">
      <c r="A4" s="75" t="str">
        <f>CONCATENATE("For the Three-Month Period From ",'Input Data'!D4," thru ",'Input Data'!D5)</f>
        <v>For the Three-Month Period From February 1, 2026 thru April 30, 2026</v>
      </c>
      <c r="B4" s="268"/>
      <c r="C4" s="268"/>
      <c r="D4" s="268"/>
      <c r="E4" s="265"/>
      <c r="F4" s="265"/>
      <c r="G4" s="266"/>
    </row>
    <row r="5" spans="1:9 16383:16383" ht="19.5" customHeight="1" x14ac:dyDescent="0.3">
      <c r="A5" s="262"/>
      <c r="B5" s="11"/>
      <c r="C5" s="11"/>
      <c r="D5" s="11"/>
      <c r="E5" s="11"/>
      <c r="F5" s="254"/>
      <c r="G5" s="11"/>
    </row>
    <row r="6" spans="1:9 16383:16383" ht="18.75" x14ac:dyDescent="0.3">
      <c r="A6" s="269" t="s">
        <v>245</v>
      </c>
      <c r="B6" s="269" t="s">
        <v>31</v>
      </c>
      <c r="C6" s="270">
        <f>'Input Data'!C4</f>
        <v>46054</v>
      </c>
      <c r="D6" s="270">
        <f>EDATE(C6,1)</f>
        <v>46082</v>
      </c>
      <c r="E6" s="270">
        <f>EDATE(D6,1)</f>
        <v>46113</v>
      </c>
      <c r="F6" s="271" t="s">
        <v>30</v>
      </c>
      <c r="G6" s="11"/>
    </row>
    <row r="7" spans="1:9 16383:16383" ht="18.75" x14ac:dyDescent="0.3">
      <c r="A7" s="262"/>
      <c r="B7" s="11"/>
      <c r="C7" s="11"/>
      <c r="D7" s="11"/>
      <c r="E7" s="11"/>
      <c r="F7" s="11"/>
      <c r="G7" s="11"/>
    </row>
    <row r="8" spans="1:9 16383:16383" ht="18.75" x14ac:dyDescent="0.3">
      <c r="A8" s="272" t="s">
        <v>246</v>
      </c>
      <c r="B8" s="273" t="s">
        <v>544</v>
      </c>
      <c r="C8" s="274">
        <f>'Input Data'!C24</f>
        <v>406891</v>
      </c>
      <c r="D8" s="274">
        <f>'Input Data'!D24</f>
        <v>661195</v>
      </c>
      <c r="E8" s="274">
        <f>'Input Data'!E24</f>
        <v>1390508</v>
      </c>
      <c r="F8" s="41">
        <f>ROUND(SUM(C8:E8),0)</f>
        <v>2458594</v>
      </c>
      <c r="G8" s="11"/>
      <c r="I8" s="275"/>
    </row>
    <row r="9" spans="1:9 16383:16383" ht="18.75" x14ac:dyDescent="0.3">
      <c r="A9" s="272">
        <f>A8+1</f>
        <v>2</v>
      </c>
      <c r="B9" s="273" t="s">
        <v>546</v>
      </c>
      <c r="C9" s="274">
        <f>'Input Data'!C25</f>
        <v>1654231</v>
      </c>
      <c r="D9" s="274">
        <f>'Input Data'!D25</f>
        <v>1353984</v>
      </c>
      <c r="E9" s="274">
        <f>'Input Data'!E25</f>
        <v>1589111</v>
      </c>
      <c r="F9" s="41">
        <f>ROUND(SUM(C9:E9),0)</f>
        <v>4597326</v>
      </c>
      <c r="G9" s="11"/>
    </row>
    <row r="10" spans="1:9 16383:16383" ht="18.75" x14ac:dyDescent="0.3">
      <c r="A10" s="272">
        <f>A9+1</f>
        <v>3</v>
      </c>
      <c r="B10" s="273" t="s">
        <v>779</v>
      </c>
      <c r="C10" s="274">
        <f>'Input Data'!C28</f>
        <v>540600</v>
      </c>
      <c r="D10" s="274">
        <f>'Input Data'!D28</f>
        <v>374000</v>
      </c>
      <c r="E10" s="274">
        <f>'Input Data'!E28</f>
        <v>0</v>
      </c>
      <c r="F10" s="41">
        <f>ROUND(SUM(C10:E10),0)</f>
        <v>914600</v>
      </c>
      <c r="G10" s="11"/>
    </row>
    <row r="11" spans="1:9 16383:16383" ht="18.75" x14ac:dyDescent="0.3">
      <c r="A11" s="272">
        <f>A10+1</f>
        <v>4</v>
      </c>
      <c r="B11" s="273" t="s">
        <v>552</v>
      </c>
      <c r="C11" s="274">
        <f>'Input Data'!C26</f>
        <v>549800</v>
      </c>
      <c r="D11" s="274">
        <f>'Input Data'!D26</f>
        <v>608700</v>
      </c>
      <c r="E11" s="274">
        <f>'Input Data'!E26</f>
        <v>0</v>
      </c>
      <c r="F11" s="41">
        <f>ROUND(SUM(C11:E11),0)</f>
        <v>1158500</v>
      </c>
      <c r="G11" s="11"/>
    </row>
    <row r="12" spans="1:9 16383:16383" ht="18.75" x14ac:dyDescent="0.3">
      <c r="A12" s="272">
        <f>A11+1</f>
        <v>5</v>
      </c>
      <c r="B12" s="273" t="s">
        <v>820</v>
      </c>
      <c r="C12" s="540">
        <f>'Input Data'!C27</f>
        <v>0</v>
      </c>
      <c r="D12" s="540">
        <f>'Input Data'!D27</f>
        <v>0</v>
      </c>
      <c r="E12" s="540">
        <f>'Input Data'!E27</f>
        <v>0</v>
      </c>
      <c r="F12" s="276">
        <f>ROUND(SUM(C12:E12),0)</f>
        <v>0</v>
      </c>
      <c r="G12" s="11"/>
    </row>
    <row r="13" spans="1:9 16383:16383" ht="18.75" x14ac:dyDescent="0.3">
      <c r="A13" s="272">
        <f>A12+1</f>
        <v>6</v>
      </c>
      <c r="B13" s="273" t="s">
        <v>32</v>
      </c>
      <c r="C13" s="41">
        <f>SUM(C8:C12)</f>
        <v>3151522</v>
      </c>
      <c r="D13" s="41">
        <f>SUM(D8:D12)</f>
        <v>2997879</v>
      </c>
      <c r="E13" s="41">
        <f>SUM(E8:E12)</f>
        <v>2979619</v>
      </c>
      <c r="F13" s="41">
        <f>SUM(C13:E13)</f>
        <v>9129020</v>
      </c>
      <c r="G13" s="11"/>
    </row>
    <row r="14" spans="1:9 16383:16383" ht="18.75" x14ac:dyDescent="0.3">
      <c r="A14" s="272"/>
      <c r="B14" s="11"/>
      <c r="C14" s="274"/>
      <c r="D14" s="274"/>
      <c r="E14" s="274"/>
      <c r="F14" s="41"/>
      <c r="G14" s="11"/>
    </row>
    <row r="15" spans="1:9 16383:16383" ht="18.75" x14ac:dyDescent="0.3">
      <c r="A15" s="272">
        <f>A13+1</f>
        <v>7</v>
      </c>
      <c r="B15" s="273" t="s">
        <v>33</v>
      </c>
      <c r="C15" s="274">
        <f>'Input Data'!C30</f>
        <v>73500</v>
      </c>
      <c r="D15" s="274">
        <f>'Input Data'!D30</f>
        <v>62900</v>
      </c>
      <c r="E15" s="274">
        <f>'Input Data'!E30</f>
        <v>0</v>
      </c>
      <c r="F15" s="41">
        <f>SUM(C15:E15)</f>
        <v>136400</v>
      </c>
      <c r="G15" s="11"/>
    </row>
    <row r="16" spans="1:9 16383:16383" ht="18.75" x14ac:dyDescent="0.3">
      <c r="A16" s="272">
        <f>A15+1</f>
        <v>8</v>
      </c>
      <c r="B16" s="273" t="s">
        <v>34</v>
      </c>
      <c r="C16" s="541">
        <f>'Input Data'!C31</f>
        <v>0</v>
      </c>
      <c r="D16" s="541">
        <f>'Input Data'!D31</f>
        <v>0</v>
      </c>
      <c r="E16" s="541">
        <f>'Input Data'!E31</f>
        <v>504800</v>
      </c>
      <c r="F16" s="276">
        <f>SUM(C16:E16)</f>
        <v>504800</v>
      </c>
      <c r="G16" s="11"/>
    </row>
    <row r="17" spans="1:10" ht="18.75" x14ac:dyDescent="0.3">
      <c r="A17" s="272">
        <f>A16+1</f>
        <v>9</v>
      </c>
      <c r="B17" s="273" t="s">
        <v>35</v>
      </c>
      <c r="C17" s="41">
        <f>C13+C15-C16</f>
        <v>3225022</v>
      </c>
      <c r="D17" s="41">
        <f>D13+D15-D16</f>
        <v>3060779</v>
      </c>
      <c r="E17" s="41">
        <f>E13+E15-E16</f>
        <v>2474819</v>
      </c>
      <c r="F17" s="41">
        <f>F13+F15-F16</f>
        <v>8760620</v>
      </c>
      <c r="G17" s="11"/>
    </row>
    <row r="18" spans="1:10" ht="18.75" x14ac:dyDescent="0.3">
      <c r="A18" s="272"/>
      <c r="B18" s="273" t="s">
        <v>443</v>
      </c>
      <c r="C18" s="11"/>
      <c r="D18" s="11"/>
      <c r="E18" s="11"/>
      <c r="F18" s="11"/>
      <c r="G18" s="11"/>
    </row>
    <row r="19" spans="1:10" ht="18.75" x14ac:dyDescent="0.3">
      <c r="A19" s="272"/>
      <c r="B19" s="11"/>
      <c r="C19" s="274"/>
      <c r="D19" s="274"/>
      <c r="E19" s="274"/>
      <c r="F19" s="274"/>
      <c r="G19" s="11"/>
    </row>
    <row r="20" spans="1:10" ht="18.75" x14ac:dyDescent="0.3">
      <c r="A20" s="272"/>
      <c r="B20" s="269" t="s">
        <v>36</v>
      </c>
      <c r="C20" s="274"/>
      <c r="D20" s="274"/>
      <c r="E20" s="274"/>
      <c r="F20" s="274"/>
      <c r="G20" s="11"/>
    </row>
    <row r="21" spans="1:10" ht="18.75" x14ac:dyDescent="0.3">
      <c r="A21" s="272">
        <f>A17+1</f>
        <v>10</v>
      </c>
      <c r="B21" s="273" t="s">
        <v>37</v>
      </c>
      <c r="C21" s="41">
        <f>ROUND(C13/'Input Data'!$C$17,0)</f>
        <v>2959176</v>
      </c>
      <c r="D21" s="41">
        <f>ROUND(D13/'Input Data'!$C$17,0)</f>
        <v>2814910</v>
      </c>
      <c r="E21" s="41">
        <f>ROUND(E13/'Input Data'!$C$17,0)</f>
        <v>2797764</v>
      </c>
      <c r="F21" s="274"/>
      <c r="G21" s="11"/>
    </row>
    <row r="22" spans="1:10" ht="18.75" x14ac:dyDescent="0.3">
      <c r="A22" s="272">
        <f>A21+1</f>
        <v>11</v>
      </c>
      <c r="B22" s="273" t="s">
        <v>39</v>
      </c>
      <c r="C22" s="41">
        <f>ROUND(C15/'Input Data'!$C$17,0)</f>
        <v>69014</v>
      </c>
      <c r="D22" s="41">
        <f>ROUND(D15/'Input Data'!$C$17,0)</f>
        <v>59061</v>
      </c>
      <c r="E22" s="41">
        <f>ROUND(E15/'Input Data'!$C$17,0)</f>
        <v>0</v>
      </c>
      <c r="F22" s="274"/>
      <c r="G22" s="11"/>
    </row>
    <row r="23" spans="1:10" ht="18.75" x14ac:dyDescent="0.3">
      <c r="A23" s="272">
        <f>A22+1</f>
        <v>12</v>
      </c>
      <c r="B23" s="273" t="s">
        <v>40</v>
      </c>
      <c r="C23" s="277">
        <f>ROUND(C16/'Input Data'!$C$17,0)</f>
        <v>0</v>
      </c>
      <c r="D23" s="277">
        <f>ROUND(D16/'Input Data'!$C$17,0)</f>
        <v>0</v>
      </c>
      <c r="E23" s="277">
        <f>ROUND(E16/'Input Data'!$C$17,0)</f>
        <v>473991</v>
      </c>
      <c r="F23" s="542"/>
      <c r="G23" s="11"/>
    </row>
    <row r="24" spans="1:10" ht="18.75" x14ac:dyDescent="0.3">
      <c r="A24" s="272">
        <f>A23+1</f>
        <v>13</v>
      </c>
      <c r="B24" s="273" t="s">
        <v>35</v>
      </c>
      <c r="C24" s="41">
        <f>C21+C22-C23</f>
        <v>3028190</v>
      </c>
      <c r="D24" s="41">
        <f>D21+D22-D23</f>
        <v>2873971</v>
      </c>
      <c r="E24" s="41">
        <f>E21+E22-E23</f>
        <v>2323773</v>
      </c>
      <c r="F24" s="11"/>
      <c r="G24" s="11"/>
    </row>
    <row r="25" spans="1:10" ht="18.75" x14ac:dyDescent="0.3">
      <c r="A25" s="272"/>
      <c r="B25" s="273" t="s">
        <v>443</v>
      </c>
      <c r="C25" s="11"/>
      <c r="D25" s="11"/>
      <c r="E25" s="11"/>
      <c r="F25" s="274"/>
      <c r="G25" s="11"/>
    </row>
    <row r="26" spans="1:10" ht="18.75" x14ac:dyDescent="0.3">
      <c r="A26" s="272"/>
      <c r="B26" s="11"/>
      <c r="C26" s="274"/>
      <c r="D26" s="11"/>
      <c r="E26" s="274"/>
      <c r="F26" s="274"/>
      <c r="G26" s="11"/>
    </row>
    <row r="27" spans="1:10" ht="18.75" x14ac:dyDescent="0.3">
      <c r="A27" s="272">
        <f>A24+1</f>
        <v>14</v>
      </c>
      <c r="B27" s="273" t="s">
        <v>444</v>
      </c>
      <c r="C27" s="541">
        <f>VLOOKUP(C6,Forecast!A9:K1000,3,FALSE)</f>
        <v>16121</v>
      </c>
      <c r="D27" s="541">
        <f>VLOOKUP(D6,Forecast!A9:K1000,3,FALSE)</f>
        <v>31846</v>
      </c>
      <c r="E27" s="541">
        <f>VLOOKUP(E6,Forecast!A9:K150,3,FALSE)</f>
        <v>36046</v>
      </c>
      <c r="F27" s="274"/>
      <c r="G27" s="11"/>
      <c r="I27"/>
      <c r="J27"/>
    </row>
    <row r="28" spans="1:10" ht="18.75" x14ac:dyDescent="0.3">
      <c r="A28" s="272">
        <f>A27+1</f>
        <v>15</v>
      </c>
      <c r="B28" s="273" t="s">
        <v>821</v>
      </c>
      <c r="C28" s="41">
        <f>C24+C27</f>
        <v>3044311</v>
      </c>
      <c r="D28" s="41">
        <f>D24+D27</f>
        <v>2905817</v>
      </c>
      <c r="E28" s="41">
        <f>E24+E27</f>
        <v>2359819</v>
      </c>
      <c r="F28" s="274"/>
      <c r="G28" s="11"/>
      <c r="I28" s="40"/>
    </row>
    <row r="29" spans="1:10" ht="18.75" x14ac:dyDescent="0.3">
      <c r="A29" s="272"/>
      <c r="B29" s="11"/>
      <c r="C29" s="274"/>
      <c r="D29" s="274"/>
      <c r="E29" s="274"/>
      <c r="F29" s="274"/>
      <c r="G29" s="11"/>
      <c r="I29" s="40"/>
    </row>
    <row r="30" spans="1:10" ht="18.75" x14ac:dyDescent="0.3">
      <c r="A30" s="272">
        <f>A28+1</f>
        <v>16</v>
      </c>
      <c r="B30" s="273" t="s">
        <v>41</v>
      </c>
      <c r="C30" s="274">
        <f>VLOOKUP(C6,Forecast!$A9:$K1000,4,FALSE)+VLOOKUP(C6,Forecast!$A9:$K1000,5,FALSE)</f>
        <v>1769</v>
      </c>
      <c r="D30" s="274">
        <f>VLOOKUP(D6,Forecast!$A9:$K1000,4,FALSE)+VLOOKUP(D6,Forecast!$A9:$K1000,5,FALSE)</f>
        <v>2226</v>
      </c>
      <c r="E30" s="274">
        <f>VLOOKUP(E6,Forecast!$A9:$K150,4,FALSE)+VLOOKUP(E6,Forecast!$A9:$K150,5,FALSE)</f>
        <v>1039</v>
      </c>
      <c r="F30" s="274"/>
      <c r="G30" s="11"/>
      <c r="I30" s="40"/>
    </row>
    <row r="31" spans="1:10" ht="18.75" x14ac:dyDescent="0.3">
      <c r="A31" s="272">
        <f>A30+1</f>
        <v>17</v>
      </c>
      <c r="B31" s="273" t="s">
        <v>42</v>
      </c>
      <c r="C31" s="541">
        <f>VLOOKUP(C6,Forecast!$A9:$K1000,6,FALSE)</f>
        <v>0</v>
      </c>
      <c r="D31" s="541">
        <f>VLOOKUP(D6,Forecast!$A9:$K1000,6,FALSE)</f>
        <v>0</v>
      </c>
      <c r="E31" s="541">
        <f>VLOOKUP(E6,Forecast!$A9:$K150,6,FALSE)</f>
        <v>721340</v>
      </c>
      <c r="F31" s="274"/>
      <c r="G31" s="11"/>
    </row>
    <row r="32" spans="1:10" ht="18.75" x14ac:dyDescent="0.3">
      <c r="A32" s="272">
        <f>A31+1</f>
        <v>18</v>
      </c>
      <c r="B32" s="273" t="s">
        <v>822</v>
      </c>
      <c r="C32" s="41">
        <f>C24-C30-C31</f>
        <v>3026421</v>
      </c>
      <c r="D32" s="41">
        <f>D24-D30-D31</f>
        <v>2871745</v>
      </c>
      <c r="E32" s="41">
        <f>E24-E30-E31</f>
        <v>1601394</v>
      </c>
      <c r="F32" s="41">
        <f>SUM(C32:E32)</f>
        <v>7499560</v>
      </c>
      <c r="G32" s="11"/>
    </row>
    <row r="33" spans="1:9" ht="18.75" x14ac:dyDescent="0.3">
      <c r="A33" s="272"/>
      <c r="B33" s="11"/>
      <c r="C33" s="274"/>
      <c r="D33" s="274"/>
      <c r="E33" s="274"/>
      <c r="F33" s="274"/>
      <c r="G33" s="11"/>
    </row>
    <row r="34" spans="1:9" ht="18.75" x14ac:dyDescent="0.3">
      <c r="A34" s="272">
        <f>A32+1</f>
        <v>19</v>
      </c>
      <c r="B34" s="273" t="s">
        <v>43</v>
      </c>
      <c r="C34" s="274">
        <f>'Input Data'!C16</f>
        <v>6680000</v>
      </c>
      <c r="D34" s="274">
        <f>C39</f>
        <v>4150000</v>
      </c>
      <c r="E34" s="274">
        <f>D39</f>
        <v>2860000</v>
      </c>
      <c r="F34" s="274"/>
      <c r="G34" s="11"/>
    </row>
    <row r="35" spans="1:9" ht="18.75" x14ac:dyDescent="0.3">
      <c r="A35" s="272">
        <f>A34+1</f>
        <v>20</v>
      </c>
      <c r="B35" s="273" t="s">
        <v>823</v>
      </c>
      <c r="C35" s="541">
        <f>C31</f>
        <v>0</v>
      </c>
      <c r="D35" s="541">
        <f>(D31)</f>
        <v>0</v>
      </c>
      <c r="E35" s="541">
        <f>(E31)</f>
        <v>721340</v>
      </c>
      <c r="F35" s="274"/>
      <c r="G35" s="11"/>
    </row>
    <row r="36" spans="1:9" ht="18.75" x14ac:dyDescent="0.3">
      <c r="A36" s="272">
        <f>A35+1</f>
        <v>21</v>
      </c>
      <c r="B36" s="273" t="s">
        <v>44</v>
      </c>
      <c r="C36" s="41">
        <f>C34+C35</f>
        <v>6680000</v>
      </c>
      <c r="D36" s="41">
        <f>D34+D35</f>
        <v>4150000</v>
      </c>
      <c r="E36" s="41">
        <f>E34+E35</f>
        <v>3581340</v>
      </c>
      <c r="F36" s="274"/>
      <c r="G36" s="11"/>
      <c r="I36" s="40"/>
    </row>
    <row r="37" spans="1:9" ht="18.75" x14ac:dyDescent="0.3">
      <c r="A37" s="272">
        <f>A36+1</f>
        <v>22</v>
      </c>
      <c r="B37" s="273" t="s">
        <v>45</v>
      </c>
      <c r="C37" s="274">
        <f>VLOOKUP(C6,Forecast!$A9:$K1000,7,FALSE)</f>
        <v>2517509</v>
      </c>
      <c r="D37" s="274">
        <f>VLOOKUP(D6,Forecast!$A9:$K1000,7,FALSE)</f>
        <v>1278438</v>
      </c>
      <c r="E37" s="274">
        <f>VLOOKUP(E6,Forecast!$A9:$K150,7,FALSE)</f>
        <v>601589</v>
      </c>
      <c r="F37" s="41">
        <f>SUM(C37:E37)</f>
        <v>4397536</v>
      </c>
      <c r="G37" s="11"/>
      <c r="I37" s="40"/>
    </row>
    <row r="38" spans="1:9" ht="18.75" x14ac:dyDescent="0.3">
      <c r="A38" s="272">
        <f>A37+1</f>
        <v>23</v>
      </c>
      <c r="B38" s="273" t="s">
        <v>46</v>
      </c>
      <c r="C38" s="540">
        <f>VLOOKUP(C6,Forecast!$A9:$K1000,8,FALSE)</f>
        <v>12491</v>
      </c>
      <c r="D38" s="540">
        <f>VLOOKUP(D6,Forecast!$A9:$K1000,8,FALSE)</f>
        <v>11562</v>
      </c>
      <c r="E38" s="540">
        <f>VLOOKUP(E6,Forecast!$A9:$K150,8,FALSE)</f>
        <v>10340</v>
      </c>
      <c r="F38" s="41">
        <f>C38+D38+E38</f>
        <v>34393</v>
      </c>
      <c r="G38" s="11"/>
      <c r="I38" s="40"/>
    </row>
    <row r="39" spans="1:9" ht="18.75" x14ac:dyDescent="0.3">
      <c r="A39" s="272">
        <f>A38+1</f>
        <v>24</v>
      </c>
      <c r="B39" s="273" t="s">
        <v>47</v>
      </c>
      <c r="C39" s="41">
        <f>C36-C37-C38</f>
        <v>4150000</v>
      </c>
      <c r="D39" s="41">
        <f>D36-D37-D38</f>
        <v>2860000</v>
      </c>
      <c r="E39" s="41">
        <f>E36-E37-E38</f>
        <v>2969411</v>
      </c>
      <c r="F39" s="274"/>
      <c r="G39" s="11"/>
    </row>
    <row r="40" spans="1:9" ht="18.75" x14ac:dyDescent="0.3">
      <c r="A40" s="272"/>
      <c r="B40" s="11"/>
      <c r="C40" s="274"/>
      <c r="D40" s="274"/>
      <c r="E40" s="274"/>
      <c r="F40" s="274"/>
      <c r="G40" s="11"/>
    </row>
    <row r="41" spans="1:9" ht="18.75" x14ac:dyDescent="0.3">
      <c r="A41" s="272">
        <f>A39+1</f>
        <v>25</v>
      </c>
      <c r="B41" s="273" t="s">
        <v>824</v>
      </c>
      <c r="C41" s="41">
        <f>C32+C37+C38</f>
        <v>5556421</v>
      </c>
      <c r="D41" s="41">
        <f>D32+D37+D38</f>
        <v>4161745</v>
      </c>
      <c r="E41" s="41">
        <f>E32+E37+E38</f>
        <v>2213323</v>
      </c>
      <c r="F41" s="41">
        <f>SUM(C41:E41)</f>
        <v>11931489</v>
      </c>
      <c r="G41" s="11"/>
    </row>
    <row r="42" spans="1:9" ht="18.75" x14ac:dyDescent="0.3">
      <c r="A42" s="272"/>
      <c r="B42" s="11"/>
      <c r="C42" s="274"/>
      <c r="D42" s="274"/>
      <c r="E42" s="274"/>
      <c r="F42" s="274"/>
      <c r="G42" s="11"/>
    </row>
    <row r="43" spans="1:9" ht="18.75" x14ac:dyDescent="0.3">
      <c r="A43" s="272"/>
      <c r="B43" s="269" t="s">
        <v>48</v>
      </c>
      <c r="C43" s="274"/>
      <c r="D43" s="274"/>
      <c r="E43" s="274"/>
      <c r="F43" s="274"/>
      <c r="G43" s="11"/>
    </row>
    <row r="44" spans="1:9" ht="18.75" x14ac:dyDescent="0.3">
      <c r="A44" s="272">
        <f>A41+1</f>
        <v>26</v>
      </c>
      <c r="B44" s="273" t="s">
        <v>826</v>
      </c>
      <c r="C44" s="278">
        <f>ROUND(C28*C70,0)</f>
        <v>2443364</v>
      </c>
      <c r="D44" s="278">
        <f>ROUND(D28*D70,0)</f>
        <v>2332209</v>
      </c>
      <c r="E44" s="278">
        <f>ROUND(E28*E70,0)</f>
        <v>1893991</v>
      </c>
      <c r="F44" s="41"/>
      <c r="G44" s="11"/>
    </row>
    <row r="45" spans="1:9" ht="18.75" x14ac:dyDescent="0.3">
      <c r="A45" s="272">
        <f>A44+1</f>
        <v>27</v>
      </c>
      <c r="B45" s="273" t="s">
        <v>827</v>
      </c>
      <c r="C45" s="277">
        <f>ROUND(C27*C70,0)</f>
        <v>12939</v>
      </c>
      <c r="D45" s="277">
        <f>ROUND(D27*D70,0)</f>
        <v>25560</v>
      </c>
      <c r="E45" s="277">
        <f>ROUND(E27*E70,0)</f>
        <v>28931</v>
      </c>
      <c r="F45" s="41"/>
      <c r="G45" s="11"/>
    </row>
    <row r="46" spans="1:9" ht="18.75" x14ac:dyDescent="0.3">
      <c r="A46" s="272">
        <f t="shared" ref="A46:A58" si="0">A45+1</f>
        <v>28</v>
      </c>
      <c r="B46" s="273" t="s">
        <v>445</v>
      </c>
      <c r="C46" s="278">
        <f>C44-C45</f>
        <v>2430425</v>
      </c>
      <c r="D46" s="278">
        <f>D44-D45</f>
        <v>2306649</v>
      </c>
      <c r="E46" s="278">
        <f>E44-E45</f>
        <v>1865060</v>
      </c>
      <c r="F46" s="41"/>
      <c r="G46" s="11"/>
    </row>
    <row r="47" spans="1:9" ht="18.75" x14ac:dyDescent="0.3">
      <c r="A47" s="272">
        <f t="shared" si="0"/>
        <v>29</v>
      </c>
      <c r="B47" s="273" t="s">
        <v>828</v>
      </c>
      <c r="C47" s="41">
        <f>ROUND(C8*C71,0)</f>
        <v>1560468</v>
      </c>
      <c r="D47" s="41">
        <f t="shared" ref="D47:E51" si="1">ROUND(D8*D71,0)</f>
        <v>2264064</v>
      </c>
      <c r="E47" s="41">
        <f t="shared" si="1"/>
        <v>4734680</v>
      </c>
      <c r="F47" s="41"/>
      <c r="G47" s="11"/>
    </row>
    <row r="48" spans="1:9" ht="18.75" x14ac:dyDescent="0.3">
      <c r="A48" s="272">
        <f t="shared" si="0"/>
        <v>30</v>
      </c>
      <c r="B48" s="273" t="s">
        <v>829</v>
      </c>
      <c r="C48" s="41">
        <f>ROUND(C9*C72,0)</f>
        <v>6260768</v>
      </c>
      <c r="D48" s="41">
        <f t="shared" si="1"/>
        <v>4571727</v>
      </c>
      <c r="E48" s="41">
        <f t="shared" si="1"/>
        <v>5335440</v>
      </c>
      <c r="F48" s="41"/>
      <c r="G48" s="11"/>
    </row>
    <row r="49" spans="1:7" ht="18.75" x14ac:dyDescent="0.3">
      <c r="A49" s="272">
        <f t="shared" si="0"/>
        <v>31</v>
      </c>
      <c r="B49" s="273" t="s">
        <v>830</v>
      </c>
      <c r="C49" s="41">
        <f>ROUND(C10*C73,0)</f>
        <v>2062821</v>
      </c>
      <c r="D49" s="41">
        <f t="shared" si="1"/>
        <v>1273769</v>
      </c>
      <c r="E49" s="41">
        <f t="shared" si="1"/>
        <v>0</v>
      </c>
      <c r="F49" s="41"/>
      <c r="G49" s="11"/>
    </row>
    <row r="50" spans="1:7" ht="18.75" x14ac:dyDescent="0.3">
      <c r="A50" s="272">
        <f t="shared" si="0"/>
        <v>32</v>
      </c>
      <c r="B50" s="273" t="s">
        <v>831</v>
      </c>
      <c r="C50" s="41">
        <f>ROUND(C11*C74,0)</f>
        <v>2112277</v>
      </c>
      <c r="D50" s="41">
        <f t="shared" si="1"/>
        <v>2086258</v>
      </c>
      <c r="E50" s="41">
        <f t="shared" si="1"/>
        <v>0</v>
      </c>
      <c r="F50" s="41"/>
      <c r="G50" s="11"/>
    </row>
    <row r="51" spans="1:7" ht="18.75" x14ac:dyDescent="0.3">
      <c r="A51" s="272">
        <f t="shared" si="0"/>
        <v>33</v>
      </c>
      <c r="B51" s="273" t="s">
        <v>832</v>
      </c>
      <c r="C51" s="543">
        <f>ROUND(C12*C75,0)</f>
        <v>0</v>
      </c>
      <c r="D51" s="543">
        <f t="shared" si="1"/>
        <v>0</v>
      </c>
      <c r="E51" s="543">
        <f t="shared" si="1"/>
        <v>0</v>
      </c>
      <c r="F51" s="543"/>
      <c r="G51" s="11"/>
    </row>
    <row r="52" spans="1:7" ht="18.75" x14ac:dyDescent="0.3">
      <c r="A52" s="272">
        <f t="shared" si="0"/>
        <v>34</v>
      </c>
      <c r="B52" s="273" t="s">
        <v>49</v>
      </c>
      <c r="C52" s="278">
        <f>SUM(C46:C51)</f>
        <v>14426759</v>
      </c>
      <c r="D52" s="278">
        <f>SUM(D46:D51)</f>
        <v>12502467</v>
      </c>
      <c r="E52" s="278">
        <f>SUM(E46:E51)</f>
        <v>11935180</v>
      </c>
      <c r="F52" s="278">
        <f>SUM(C52:E52)</f>
        <v>38864406</v>
      </c>
      <c r="G52" s="11"/>
    </row>
    <row r="53" spans="1:7" ht="18.75" x14ac:dyDescent="0.3">
      <c r="A53" s="272">
        <f t="shared" si="0"/>
        <v>35</v>
      </c>
      <c r="B53" s="273" t="s">
        <v>833</v>
      </c>
      <c r="C53" s="41">
        <f>ROUND(C15*C71,0)</f>
        <v>281880</v>
      </c>
      <c r="D53" s="41">
        <f>ROUND(D15*D71,0)</f>
        <v>215382</v>
      </c>
      <c r="E53" s="41">
        <f>ROUND(E15*E71,0)</f>
        <v>0</v>
      </c>
      <c r="F53" s="41">
        <f t="shared" ref="F53:F57" si="2">SUM(C53:E53)</f>
        <v>497262</v>
      </c>
      <c r="G53" s="11"/>
    </row>
    <row r="54" spans="1:7" ht="18.75" x14ac:dyDescent="0.3">
      <c r="A54" s="272">
        <f t="shared" si="0"/>
        <v>36</v>
      </c>
      <c r="B54" s="273" t="s">
        <v>834</v>
      </c>
      <c r="C54" s="277">
        <f>ROUND(C16*C71,0)</f>
        <v>0</v>
      </c>
      <c r="D54" s="277">
        <f>ROUND(D16*D71,0)</f>
        <v>0</v>
      </c>
      <c r="E54" s="277">
        <f>ROUND(E16*E71,0)</f>
        <v>1718844</v>
      </c>
      <c r="F54" s="277">
        <f t="shared" si="2"/>
        <v>1718844</v>
      </c>
      <c r="G54" s="11"/>
    </row>
    <row r="55" spans="1:7" ht="18.75" x14ac:dyDescent="0.3">
      <c r="A55" s="272">
        <f t="shared" si="0"/>
        <v>37</v>
      </c>
      <c r="B55" s="273" t="s">
        <v>50</v>
      </c>
      <c r="C55" s="278">
        <f>C52+C53-C54</f>
        <v>14708639</v>
      </c>
      <c r="D55" s="278">
        <f>D52+D53-D54</f>
        <v>12717849</v>
      </c>
      <c r="E55" s="278">
        <f>E52+E53-E54</f>
        <v>10216336</v>
      </c>
      <c r="F55" s="278">
        <f t="shared" si="2"/>
        <v>37642824</v>
      </c>
      <c r="G55" s="11"/>
    </row>
    <row r="56" spans="1:7" ht="18.75" x14ac:dyDescent="0.3">
      <c r="A56" s="272">
        <f t="shared" si="0"/>
        <v>38</v>
      </c>
      <c r="B56" s="273" t="s">
        <v>835</v>
      </c>
      <c r="C56" s="41">
        <f>ROUND(C30*C76,0)</f>
        <v>8592</v>
      </c>
      <c r="D56" s="41">
        <f>ROUND(D30*D76,0)</f>
        <v>9850</v>
      </c>
      <c r="E56" s="41">
        <f>ROUND(E30*E76,0)</f>
        <v>4568</v>
      </c>
      <c r="F56" s="41">
        <f t="shared" si="2"/>
        <v>23010</v>
      </c>
      <c r="G56" s="11"/>
    </row>
    <row r="57" spans="1:7" ht="18.75" x14ac:dyDescent="0.3">
      <c r="A57" s="272">
        <f t="shared" si="0"/>
        <v>39</v>
      </c>
      <c r="B57" s="273" t="s">
        <v>836</v>
      </c>
      <c r="C57" s="277">
        <f>ROUND(C31*C76,0)</f>
        <v>0</v>
      </c>
      <c r="D57" s="277">
        <f>ROUND(D31*D76,0)</f>
        <v>0</v>
      </c>
      <c r="E57" s="277">
        <f>ROUND(E31*E76,0)</f>
        <v>3171299</v>
      </c>
      <c r="F57" s="277">
        <f t="shared" si="2"/>
        <v>3171299</v>
      </c>
      <c r="G57" s="11"/>
    </row>
    <row r="58" spans="1:7" ht="18.75" x14ac:dyDescent="0.3">
      <c r="A58" s="272">
        <f t="shared" si="0"/>
        <v>40</v>
      </c>
      <c r="B58" s="273" t="s">
        <v>51</v>
      </c>
      <c r="C58" s="278">
        <f>C55-C56-C57</f>
        <v>14700047</v>
      </c>
      <c r="D58" s="278">
        <f>D55-D56-D57</f>
        <v>12707999</v>
      </c>
      <c r="E58" s="278">
        <f>E55-E56-E57</f>
        <v>7040469</v>
      </c>
      <c r="F58" s="278">
        <f>SUM(C58:E58)</f>
        <v>34448515</v>
      </c>
      <c r="G58" s="11"/>
    </row>
    <row r="59" spans="1:7" ht="18.75" x14ac:dyDescent="0.3">
      <c r="A59" s="272"/>
      <c r="B59" s="11"/>
      <c r="C59" s="41"/>
      <c r="D59" s="41"/>
      <c r="E59" s="41"/>
      <c r="F59" s="41"/>
      <c r="G59" s="11"/>
    </row>
    <row r="60" spans="1:7" ht="18.75" x14ac:dyDescent="0.3">
      <c r="A60" s="272">
        <f>A58+1</f>
        <v>41</v>
      </c>
      <c r="B60" s="273" t="s">
        <v>43</v>
      </c>
      <c r="C60" s="279">
        <f>ROUND(C34*'Input Data'!C15,0)</f>
        <v>22966508</v>
      </c>
      <c r="D60" s="278">
        <f>C65</f>
        <v>14268115</v>
      </c>
      <c r="E60" s="278">
        <f>D65</f>
        <v>9832966</v>
      </c>
      <c r="F60" s="41"/>
      <c r="G60" s="11"/>
    </row>
    <row r="61" spans="1:7" ht="18.75" x14ac:dyDescent="0.3">
      <c r="A61" s="272">
        <f>A60+1</f>
        <v>42</v>
      </c>
      <c r="B61" s="273" t="s">
        <v>837</v>
      </c>
      <c r="C61" s="277">
        <f>(C57)</f>
        <v>0</v>
      </c>
      <c r="D61" s="277">
        <f>(D57)</f>
        <v>0</v>
      </c>
      <c r="E61" s="277">
        <f>(E57)</f>
        <v>3171299</v>
      </c>
      <c r="F61" s="41"/>
      <c r="G61" s="11"/>
    </row>
    <row r="62" spans="1:7" ht="18.75" x14ac:dyDescent="0.3">
      <c r="A62" s="272">
        <f>A61+1</f>
        <v>43</v>
      </c>
      <c r="B62" s="273" t="s">
        <v>44</v>
      </c>
      <c r="C62" s="278">
        <f>C60+C61</f>
        <v>22966508</v>
      </c>
      <c r="D62" s="278">
        <f>D60+D61</f>
        <v>14268115</v>
      </c>
      <c r="E62" s="278">
        <f>E60+E61</f>
        <v>13004265</v>
      </c>
      <c r="F62" s="41"/>
      <c r="G62" s="11"/>
    </row>
    <row r="63" spans="1:7" ht="18.75" x14ac:dyDescent="0.3">
      <c r="A63" s="272">
        <f>A62+1</f>
        <v>44</v>
      </c>
      <c r="B63" s="273" t="s">
        <v>838</v>
      </c>
      <c r="C63" s="41">
        <f>ROUND(C37*C77,0)</f>
        <v>8655448</v>
      </c>
      <c r="D63" s="41">
        <f>ROUND(D37*D77,0)</f>
        <v>4395398</v>
      </c>
      <c r="E63" s="41">
        <f>ROUND(E37*E77,0)</f>
        <v>2184430</v>
      </c>
      <c r="F63" s="278">
        <f>SUM(C63:E63)</f>
        <v>15235276</v>
      </c>
      <c r="G63" s="11"/>
    </row>
    <row r="64" spans="1:7" ht="18.75" x14ac:dyDescent="0.3">
      <c r="A64" s="272">
        <f>A63+1</f>
        <v>45</v>
      </c>
      <c r="B64" s="273" t="s">
        <v>839</v>
      </c>
      <c r="C64" s="277">
        <f>ROUND(C38*C77,0)</f>
        <v>42945</v>
      </c>
      <c r="D64" s="277">
        <f>ROUND(D38*D77,0)</f>
        <v>39751</v>
      </c>
      <c r="E64" s="277">
        <f>ROUND(E38*E77,0)</f>
        <v>37546</v>
      </c>
      <c r="F64" s="276">
        <f>C64+D64+E64</f>
        <v>120242</v>
      </c>
      <c r="G64" s="11"/>
    </row>
    <row r="65" spans="1:14" ht="18.75" x14ac:dyDescent="0.3">
      <c r="A65" s="272">
        <f>A64+1</f>
        <v>46</v>
      </c>
      <c r="B65" s="273" t="s">
        <v>47</v>
      </c>
      <c r="C65" s="278">
        <f>C62-C63-C64</f>
        <v>14268115</v>
      </c>
      <c r="D65" s="278">
        <f>D62-D63-D64</f>
        <v>9832966</v>
      </c>
      <c r="E65" s="278">
        <f>E62-E63-E64</f>
        <v>10782289</v>
      </c>
      <c r="F65" s="41"/>
      <c r="G65" s="11"/>
    </row>
    <row r="66" spans="1:14" ht="18.75" x14ac:dyDescent="0.3">
      <c r="A66" s="272"/>
      <c r="B66" s="273"/>
      <c r="C66" s="278"/>
      <c r="D66" s="278"/>
      <c r="E66" s="278"/>
      <c r="F66" s="41"/>
      <c r="G66" s="11"/>
    </row>
    <row r="67" spans="1:14" ht="18.75" x14ac:dyDescent="0.3">
      <c r="A67" s="272">
        <f>A65+1</f>
        <v>47</v>
      </c>
      <c r="B67" s="273" t="s">
        <v>840</v>
      </c>
      <c r="C67" s="280">
        <f>C58+C63+C64</f>
        <v>23398440</v>
      </c>
      <c r="D67" s="280">
        <f>D58+D63+D64</f>
        <v>17143148</v>
      </c>
      <c r="E67" s="280">
        <f>E58+E63+E64</f>
        <v>9262445</v>
      </c>
      <c r="F67" s="280">
        <f>F58+F63+F64</f>
        <v>49804033</v>
      </c>
      <c r="G67" s="11"/>
    </row>
    <row r="68" spans="1:14" ht="18.75" x14ac:dyDescent="0.3">
      <c r="A68" s="272"/>
      <c r="B68" s="11"/>
      <c r="C68" s="274"/>
      <c r="D68" s="274"/>
      <c r="E68" s="274"/>
      <c r="F68" s="274"/>
      <c r="G68" s="11"/>
    </row>
    <row r="69" spans="1:14" ht="18.75" x14ac:dyDescent="0.3">
      <c r="A69" s="272"/>
      <c r="B69" s="269" t="s">
        <v>52</v>
      </c>
      <c r="C69" s="274"/>
      <c r="D69" s="274"/>
      <c r="E69" s="274"/>
      <c r="F69" s="274"/>
      <c r="G69" s="11"/>
    </row>
    <row r="70" spans="1:14" ht="18.75" x14ac:dyDescent="0.3">
      <c r="A70" s="272">
        <f>A67+1</f>
        <v>48</v>
      </c>
      <c r="B70" s="273" t="s">
        <v>53</v>
      </c>
      <c r="C70" s="281">
        <f>'Ex A 2 of 2'!F29</f>
        <v>0.80259999999999998</v>
      </c>
      <c r="D70" s="282">
        <f>C70</f>
        <v>0.80259999999999998</v>
      </c>
      <c r="E70" s="282">
        <f>C70</f>
        <v>0.80259999999999998</v>
      </c>
      <c r="F70" s="274"/>
      <c r="G70" s="11"/>
    </row>
    <row r="71" spans="1:14" ht="18.75" x14ac:dyDescent="0.3">
      <c r="A71" s="272">
        <f t="shared" ref="A71:A77" si="3">A70+1</f>
        <v>49</v>
      </c>
      <c r="B71" s="273" t="s">
        <v>545</v>
      </c>
      <c r="C71" s="281">
        <f>'Input Data'!C33</f>
        <v>3.8351000000000002</v>
      </c>
      <c r="D71" s="281">
        <f>'Input Data'!D33</f>
        <v>3.4241999999999999</v>
      </c>
      <c r="E71" s="281">
        <f>'Input Data'!E33</f>
        <v>3.4049999999999998</v>
      </c>
      <c r="F71" s="283"/>
      <c r="G71" s="11"/>
      <c r="L71" s="284"/>
      <c r="M71" s="284"/>
      <c r="N71" s="284"/>
    </row>
    <row r="72" spans="1:14" ht="18.75" x14ac:dyDescent="0.3">
      <c r="A72" s="272">
        <f t="shared" si="3"/>
        <v>50</v>
      </c>
      <c r="B72" s="273" t="s">
        <v>547</v>
      </c>
      <c r="C72" s="281">
        <f>'Input Data'!C34</f>
        <v>3.7847</v>
      </c>
      <c r="D72" s="281">
        <f>'Input Data'!D34</f>
        <v>3.3765000000000001</v>
      </c>
      <c r="E72" s="281">
        <f>'Input Data'!E34</f>
        <v>3.3574999999999999</v>
      </c>
      <c r="F72" s="283"/>
      <c r="G72" s="11"/>
      <c r="L72" s="284"/>
      <c r="M72" s="284"/>
      <c r="N72" s="284"/>
    </row>
    <row r="73" spans="1:14" ht="18.75" x14ac:dyDescent="0.3">
      <c r="A73" s="272">
        <f t="shared" si="3"/>
        <v>51</v>
      </c>
      <c r="B73" s="273" t="s">
        <v>781</v>
      </c>
      <c r="C73" s="281">
        <f>'Input Data'!C37</f>
        <v>3.8157999999999999</v>
      </c>
      <c r="D73" s="281">
        <f>'Input Data'!D37</f>
        <v>3.4058000000000002</v>
      </c>
      <c r="E73" s="281">
        <f>'Input Data'!E37</f>
        <v>3.3866000000000001</v>
      </c>
      <c r="F73" s="283"/>
      <c r="G73" s="11"/>
      <c r="L73" s="284"/>
      <c r="M73" s="284"/>
      <c r="N73" s="284"/>
    </row>
    <row r="74" spans="1:14" ht="18.75" x14ac:dyDescent="0.3">
      <c r="A74" s="272">
        <f t="shared" si="3"/>
        <v>52</v>
      </c>
      <c r="B74" s="273" t="s">
        <v>559</v>
      </c>
      <c r="C74" s="281">
        <f>'Input Data'!C35</f>
        <v>3.8418999999999999</v>
      </c>
      <c r="D74" s="281">
        <f>'Input Data'!D35</f>
        <v>3.4274</v>
      </c>
      <c r="E74" s="281">
        <f>'Input Data'!E35</f>
        <v>3.4079999999999999</v>
      </c>
      <c r="F74" s="283"/>
      <c r="G74" s="11"/>
      <c r="L74" s="284"/>
      <c r="M74" s="284"/>
      <c r="N74" s="284"/>
    </row>
    <row r="75" spans="1:14" ht="18.75" x14ac:dyDescent="0.3">
      <c r="A75" s="272">
        <f t="shared" si="3"/>
        <v>53</v>
      </c>
      <c r="B75" s="273" t="s">
        <v>825</v>
      </c>
      <c r="C75" s="281">
        <f>'Input Data'!C36</f>
        <v>3.7726999999999999</v>
      </c>
      <c r="D75" s="281">
        <f>'Input Data'!D36</f>
        <v>3.3650000000000002</v>
      </c>
      <c r="E75" s="281">
        <f>'Input Data'!E36</f>
        <v>3.3460000000000001</v>
      </c>
      <c r="F75" s="283"/>
      <c r="G75" s="11"/>
      <c r="L75" s="284"/>
      <c r="M75" s="284"/>
      <c r="N75" s="284"/>
    </row>
    <row r="76" spans="1:14" ht="18.75" x14ac:dyDescent="0.3">
      <c r="A76" s="272">
        <f t="shared" si="3"/>
        <v>54</v>
      </c>
      <c r="B76" s="273" t="s">
        <v>849</v>
      </c>
      <c r="C76" s="281">
        <f>ROUND(C55/C24,4)</f>
        <v>4.8571999999999997</v>
      </c>
      <c r="D76" s="281">
        <f>ROUND(D55/D24,4)</f>
        <v>4.4252000000000002</v>
      </c>
      <c r="E76" s="281">
        <f>ROUND(E55/E24,4)</f>
        <v>4.3963999999999999</v>
      </c>
      <c r="F76" s="274"/>
      <c r="G76" s="11"/>
    </row>
    <row r="77" spans="1:14" ht="18.75" x14ac:dyDescent="0.3">
      <c r="A77" s="272">
        <f t="shared" si="3"/>
        <v>55</v>
      </c>
      <c r="B77" s="273" t="s">
        <v>841</v>
      </c>
      <c r="C77" s="281">
        <f>ROUND(C62/C36,4)</f>
        <v>3.4380999999999999</v>
      </c>
      <c r="D77" s="281">
        <f>ROUND(D62/D36,4)</f>
        <v>3.4380999999999999</v>
      </c>
      <c r="E77" s="281">
        <f>ROUND(E62/E36,4)</f>
        <v>3.6311</v>
      </c>
      <c r="F77" s="274"/>
      <c r="G77" s="11"/>
    </row>
    <row r="78" spans="1:14" ht="18.75" x14ac:dyDescent="0.3">
      <c r="A78" s="272"/>
      <c r="B78" s="11"/>
      <c r="C78" s="274"/>
      <c r="D78" s="274"/>
      <c r="E78" s="274"/>
      <c r="F78" s="274"/>
      <c r="G78" s="11"/>
    </row>
    <row r="79" spans="1:14" ht="18.75" x14ac:dyDescent="0.3">
      <c r="A79" s="272"/>
      <c r="B79" s="269" t="s">
        <v>54</v>
      </c>
      <c r="C79" s="285"/>
      <c r="D79" s="285"/>
      <c r="E79" s="285"/>
      <c r="F79" s="274"/>
      <c r="G79" s="11"/>
    </row>
    <row r="80" spans="1:14" ht="18.75" x14ac:dyDescent="0.3">
      <c r="A80" s="272">
        <f>A77+1</f>
        <v>56</v>
      </c>
      <c r="B80" s="273" t="s">
        <v>55</v>
      </c>
      <c r="C80" s="274"/>
      <c r="D80" s="274"/>
      <c r="E80" s="274"/>
      <c r="F80" s="286">
        <f>ROUND(F41*'Input Data'!C18,4)</f>
        <v>11763255.005100001</v>
      </c>
      <c r="G80" s="273" t="s">
        <v>56</v>
      </c>
    </row>
    <row r="81" spans="1:7" ht="18.75" x14ac:dyDescent="0.3">
      <c r="A81" s="272"/>
      <c r="B81" s="287" t="str">
        <f>CONCATENATE('Input Data'!D4," through ",'Input Data'!D5)</f>
        <v>February 1, 2026 through April 30, 2026</v>
      </c>
      <c r="C81" s="274"/>
      <c r="D81" s="274"/>
      <c r="E81" s="274"/>
      <c r="F81" s="11"/>
      <c r="G81" s="11"/>
    </row>
    <row r="82" spans="1:7" ht="18.75" x14ac:dyDescent="0.3">
      <c r="A82" s="272"/>
      <c r="B82" s="11"/>
      <c r="C82" s="274"/>
      <c r="D82" s="274"/>
      <c r="E82" s="274"/>
      <c r="F82" s="274"/>
      <c r="G82" s="11"/>
    </row>
    <row r="83" spans="1:7" ht="18.75" x14ac:dyDescent="0.3">
      <c r="A83" s="272">
        <f>A80+1</f>
        <v>57</v>
      </c>
      <c r="B83" s="287" t="s">
        <v>842</v>
      </c>
      <c r="C83" s="274"/>
      <c r="D83" s="274"/>
      <c r="E83" s="274"/>
      <c r="F83" s="288">
        <f>F67/F80</f>
        <v>4.2338649445589072</v>
      </c>
      <c r="G83" s="273" t="s">
        <v>57</v>
      </c>
    </row>
    <row r="84" spans="1:7" ht="18.75" x14ac:dyDescent="0.3">
      <c r="A84" s="272"/>
      <c r="B84" s="11"/>
      <c r="C84" s="11"/>
      <c r="D84" s="11"/>
      <c r="E84" s="11"/>
      <c r="F84" s="11"/>
      <c r="G84" s="11"/>
    </row>
    <row r="85" spans="1:7" ht="18.75" x14ac:dyDescent="0.3">
      <c r="A85" s="272"/>
      <c r="B85" s="11"/>
      <c r="C85" s="11"/>
      <c r="D85" s="11"/>
      <c r="E85" s="11"/>
      <c r="F85" s="11"/>
      <c r="G85" s="11"/>
    </row>
    <row r="86" spans="1:7" ht="18.75" x14ac:dyDescent="0.3">
      <c r="A86" s="272"/>
      <c r="B86" s="11"/>
      <c r="C86" s="11"/>
      <c r="D86" s="11"/>
      <c r="E86" s="11"/>
      <c r="F86" s="11"/>
      <c r="G86" s="11"/>
    </row>
    <row r="87" spans="1:7" ht="18.75" x14ac:dyDescent="0.3">
      <c r="A87" s="272"/>
      <c r="B87" s="11"/>
      <c r="C87" s="11"/>
      <c r="D87" s="11"/>
      <c r="E87" s="11"/>
      <c r="F87" s="11"/>
      <c r="G87" s="11"/>
    </row>
    <row r="88" spans="1:7" ht="18.75" x14ac:dyDescent="0.3">
      <c r="A88" s="272"/>
      <c r="B88" s="11"/>
      <c r="C88" s="11"/>
      <c r="D88" s="11"/>
      <c r="E88" s="11"/>
      <c r="F88" s="11"/>
      <c r="G88" s="11"/>
    </row>
    <row r="89" spans="1:7" ht="18.75" x14ac:dyDescent="0.3">
      <c r="A89" s="272"/>
      <c r="B89" s="11"/>
      <c r="C89" s="11"/>
      <c r="D89" s="11"/>
      <c r="E89" s="11"/>
      <c r="F89" s="11"/>
      <c r="G89" s="11"/>
    </row>
    <row r="90" spans="1:7" ht="18.75" x14ac:dyDescent="0.3">
      <c r="A90" s="272"/>
      <c r="B90" s="11"/>
      <c r="C90" s="11"/>
      <c r="D90" s="11"/>
      <c r="E90" s="11"/>
      <c r="F90" s="11"/>
      <c r="G90" s="11"/>
    </row>
    <row r="91" spans="1:7" ht="18.75" x14ac:dyDescent="0.3">
      <c r="A91" s="272"/>
      <c r="B91" s="11"/>
      <c r="C91" s="11"/>
      <c r="D91" s="11"/>
      <c r="E91" s="11"/>
      <c r="F91" s="11"/>
      <c r="G91" s="11"/>
    </row>
    <row r="92" spans="1:7" ht="18.75" x14ac:dyDescent="0.3">
      <c r="A92" s="272"/>
      <c r="B92" s="11"/>
      <c r="C92" s="11"/>
      <c r="D92" s="11"/>
      <c r="E92" s="11"/>
      <c r="F92" s="11"/>
      <c r="G92" s="11"/>
    </row>
    <row r="93" spans="1:7" ht="18.75" x14ac:dyDescent="0.3">
      <c r="A93" s="272"/>
      <c r="B93" s="11"/>
      <c r="C93" s="11"/>
      <c r="D93" s="11"/>
      <c r="E93" s="11"/>
      <c r="F93" s="11"/>
      <c r="G93" s="11"/>
    </row>
    <row r="94" spans="1:7" ht="18.75" x14ac:dyDescent="0.3">
      <c r="A94" s="272"/>
      <c r="B94" s="11"/>
      <c r="C94" s="281"/>
      <c r="D94" s="11"/>
      <c r="E94" s="11"/>
      <c r="F94" s="11"/>
      <c r="G94" s="11"/>
    </row>
    <row r="95" spans="1:7" ht="18.75" x14ac:dyDescent="0.3">
      <c r="A95" s="262"/>
      <c r="B95" s="11"/>
      <c r="C95" s="11"/>
      <c r="D95" s="11"/>
      <c r="E95" s="11"/>
      <c r="F95" s="11"/>
      <c r="G95" s="11"/>
    </row>
    <row r="96" spans="1:7" ht="18.75" x14ac:dyDescent="0.3">
      <c r="A96" s="262"/>
      <c r="B96" s="11"/>
      <c r="C96" s="11"/>
      <c r="D96" s="11"/>
      <c r="E96" s="11"/>
      <c r="F96" s="11"/>
      <c r="G96" s="11"/>
    </row>
  </sheetData>
  <protectedRanges>
    <protectedRange password="C6AD" sqref="C13:E13" name="Range1"/>
    <protectedRange password="C6AD" sqref="D70:E70" name="Range2"/>
  </protectedRanges>
  <phoneticPr fontId="4" type="noConversion"/>
  <pageMargins left="0.7" right="0.7" top="0.75" bottom="0.75" header="0.3" footer="0.3"/>
  <pageSetup scale="46" orientation="portrait" r:id="rId1"/>
  <headerFooter>
    <oddHeader>&amp;R&amp;"Times New Roman,Bold"Exhibit A
Page 1 of 2</oddHead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ransitionEvaluation="1" codeName="Sheet6">
    <tabColor theme="3" tint="0.59999389629810485"/>
    <pageSetUpPr fitToPage="1"/>
  </sheetPr>
  <dimension ref="A1:R77"/>
  <sheetViews>
    <sheetView zoomScale="80" zoomScaleNormal="80" workbookViewId="0">
      <selection sqref="A1:F1"/>
    </sheetView>
  </sheetViews>
  <sheetFormatPr defaultColWidth="9.77734375" defaultRowHeight="15.75" x14ac:dyDescent="0.25"/>
  <cols>
    <col min="1" max="1" width="8.21875" style="3" customWidth="1"/>
    <col min="2" max="2" width="60.33203125" style="3" customWidth="1"/>
    <col min="3" max="3" width="10.6640625" style="3" customWidth="1"/>
    <col min="4" max="4" width="9.6640625" style="3" customWidth="1"/>
    <col min="5" max="5" width="7.44140625" style="3" customWidth="1"/>
    <col min="6" max="6" width="13.6640625" style="3" customWidth="1"/>
    <col min="7" max="7" width="11.44140625" style="12" customWidth="1"/>
    <col min="8" max="8" width="6" style="3" hidden="1" customWidth="1"/>
    <col min="9" max="9" width="12.5546875" style="3" hidden="1" customWidth="1"/>
    <col min="10" max="10" width="13.44140625" style="3" hidden="1" customWidth="1"/>
    <col min="11" max="11" width="14.77734375" style="3" hidden="1" customWidth="1"/>
    <col min="12" max="12" width="14.5546875" style="3" hidden="1" customWidth="1"/>
    <col min="13" max="13" width="9.77734375" style="3" hidden="1" customWidth="1"/>
    <col min="14" max="14" width="11.109375" style="3" hidden="1" customWidth="1"/>
    <col min="15" max="15" width="9.77734375" style="3" hidden="1" customWidth="1"/>
    <col min="16" max="16" width="12" style="3" hidden="1" customWidth="1"/>
    <col min="17" max="18" width="9.77734375" style="3" hidden="1" customWidth="1"/>
    <col min="19" max="24" width="9.77734375" style="3" customWidth="1"/>
    <col min="25" max="16384" width="9.77734375" style="3"/>
  </cols>
  <sheetData>
    <row r="1" spans="1:17" ht="18.75" x14ac:dyDescent="0.25">
      <c r="A1" s="659" t="s">
        <v>29</v>
      </c>
      <c r="B1" s="659"/>
      <c r="C1" s="659"/>
      <c r="D1" s="659"/>
      <c r="E1" s="659"/>
      <c r="F1" s="659"/>
      <c r="G1" s="54"/>
    </row>
    <row r="2" spans="1:17" ht="18.75" x14ac:dyDescent="0.25">
      <c r="A2" s="660" t="s">
        <v>259</v>
      </c>
      <c r="B2" s="660"/>
      <c r="C2" s="660"/>
      <c r="D2" s="660"/>
      <c r="E2" s="660"/>
      <c r="F2" s="660"/>
      <c r="G2" s="54"/>
    </row>
    <row r="3" spans="1:17" customFormat="1" ht="17.25" customHeight="1" x14ac:dyDescent="0.3">
      <c r="A3" s="623" t="str">
        <f>CONCATENATE("For the Three-Month Period From ",'Input Data'!D4," thru ",'Input Data'!D5)</f>
        <v>For the Three-Month Period From February 1, 2026 thru April 30, 2026</v>
      </c>
      <c r="B3" s="623"/>
      <c r="C3" s="623"/>
      <c r="D3" s="623"/>
      <c r="E3" s="623"/>
      <c r="F3" s="623"/>
    </row>
    <row r="4" spans="1:17" ht="18.75" x14ac:dyDescent="0.3">
      <c r="A4" s="501"/>
      <c r="B4" s="501"/>
      <c r="C4" s="501"/>
      <c r="D4" s="501"/>
      <c r="E4" s="501"/>
      <c r="F4" s="501"/>
      <c r="G4" s="52"/>
    </row>
    <row r="5" spans="1:17" x14ac:dyDescent="0.25">
      <c r="B5" s="454"/>
      <c r="C5" s="219"/>
      <c r="D5" s="219"/>
      <c r="E5" s="219"/>
      <c r="F5" s="52"/>
      <c r="G5" s="15"/>
    </row>
    <row r="6" spans="1:17" x14ac:dyDescent="0.25">
      <c r="B6" s="454"/>
      <c r="C6" s="219"/>
      <c r="D6" s="219"/>
      <c r="E6" s="219"/>
      <c r="F6" s="71"/>
      <c r="G6" s="42"/>
    </row>
    <row r="7" spans="1:17" x14ac:dyDescent="0.25">
      <c r="B7" s="15"/>
      <c r="C7" s="15"/>
      <c r="D7" s="15"/>
      <c r="E7" s="15"/>
      <c r="F7" s="15"/>
      <c r="G7" s="10"/>
    </row>
    <row r="8" spans="1:17" x14ac:dyDescent="0.25">
      <c r="B8" s="43"/>
      <c r="C8" s="188"/>
      <c r="D8" s="188"/>
      <c r="E8" s="188"/>
      <c r="F8" s="42"/>
    </row>
    <row r="9" spans="1:17" ht="18.75" x14ac:dyDescent="0.3">
      <c r="A9" s="658" t="s">
        <v>247</v>
      </c>
      <c r="B9" s="658"/>
      <c r="C9" s="658"/>
      <c r="D9" s="658"/>
      <c r="E9" s="658"/>
      <c r="F9" s="658"/>
      <c r="G9" s="3"/>
      <c r="I9" s="189" t="s">
        <v>273</v>
      </c>
    </row>
    <row r="10" spans="1:17" ht="16.5" thickBot="1" x14ac:dyDescent="0.3">
      <c r="G10" s="3"/>
      <c r="I10" s="189" t="s">
        <v>352</v>
      </c>
    </row>
    <row r="11" spans="1:17" ht="48" thickBot="1" x14ac:dyDescent="0.3">
      <c r="A11" s="56" t="s">
        <v>245</v>
      </c>
      <c r="B11" s="56" t="s">
        <v>252</v>
      </c>
      <c r="C11" s="57" t="s">
        <v>249</v>
      </c>
      <c r="D11" s="56" t="s">
        <v>31</v>
      </c>
      <c r="E11" s="57" t="s">
        <v>250</v>
      </c>
      <c r="F11" s="57" t="s">
        <v>247</v>
      </c>
      <c r="I11" s="655" t="s">
        <v>322</v>
      </c>
      <c r="J11" s="656"/>
      <c r="K11" s="656"/>
      <c r="L11" s="657"/>
    </row>
    <row r="12" spans="1:17" ht="16.5" thickBot="1" x14ac:dyDescent="0.3">
      <c r="F12" s="12"/>
      <c r="I12" s="652" t="s">
        <v>243</v>
      </c>
      <c r="J12" s="653"/>
      <c r="K12" s="653"/>
      <c r="L12" s="654"/>
    </row>
    <row r="13" spans="1:17" x14ac:dyDescent="0.25">
      <c r="A13" s="13">
        <v>1</v>
      </c>
      <c r="B13" s="12" t="s">
        <v>251</v>
      </c>
      <c r="C13" s="81">
        <f>'Input Data'!C43</f>
        <v>12.7104</v>
      </c>
      <c r="D13" s="47">
        <f>'Input Data'!C50</f>
        <v>119913</v>
      </c>
      <c r="E13" s="13">
        <v>12</v>
      </c>
      <c r="F13" s="71">
        <f>ROUND((C13*D13*12),0)</f>
        <v>18289706</v>
      </c>
      <c r="I13" s="58"/>
      <c r="L13" s="44"/>
    </row>
    <row r="14" spans="1:17" x14ac:dyDescent="0.25">
      <c r="A14" s="13">
        <v>2</v>
      </c>
      <c r="B14" s="12" t="s">
        <v>553</v>
      </c>
      <c r="C14" s="81">
        <f>'Input Data'!C44</f>
        <v>4.1792999999999996</v>
      </c>
      <c r="D14" s="47">
        <f>'Input Data'!C51</f>
        <v>60000</v>
      </c>
      <c r="E14" s="13">
        <v>12</v>
      </c>
      <c r="F14" s="47">
        <f>ROUND((C14*D14*12),0)</f>
        <v>3009096</v>
      </c>
      <c r="I14" s="59" t="s">
        <v>78</v>
      </c>
      <c r="J14" s="36" t="s">
        <v>94</v>
      </c>
      <c r="K14" s="37" t="s">
        <v>233</v>
      </c>
      <c r="L14" s="60" t="s">
        <v>258</v>
      </c>
      <c r="N14" s="3" t="s">
        <v>550</v>
      </c>
    </row>
    <row r="15" spans="1:17" x14ac:dyDescent="0.25">
      <c r="A15" s="13">
        <v>3</v>
      </c>
      <c r="B15" s="12" t="s">
        <v>763</v>
      </c>
      <c r="C15" s="81">
        <f>'Input Data'!C47</f>
        <v>12.840999999999999</v>
      </c>
      <c r="D15" s="47">
        <f>'Input Data'!C54</f>
        <v>12500</v>
      </c>
      <c r="E15" s="13">
        <v>12</v>
      </c>
      <c r="F15" s="47">
        <f>ROUND((C15*D15*12),0)</f>
        <v>1926150</v>
      </c>
      <c r="I15" s="67">
        <f>'Input Data'!C4</f>
        <v>46054</v>
      </c>
      <c r="J15" s="68">
        <f>VLOOKUP(I15,Forecast!A$1:K$200,2)</f>
        <v>3028190</v>
      </c>
      <c r="K15" s="68">
        <f>VLOOKUP(I15,Forecast!A$1:K$200,3)</f>
        <v>16121</v>
      </c>
      <c r="L15" s="69">
        <f>SUM(J15:K15)</f>
        <v>3044311</v>
      </c>
      <c r="N15" s="68">
        <f>VLOOKUP($I15,Forecast!$A$10:$J$224,2,FALSE)</f>
        <v>3028190</v>
      </c>
      <c r="O15" s="3">
        <f>J15-N15</f>
        <v>0</v>
      </c>
      <c r="P15" s="68">
        <f>VLOOKUP($I15,Forecast!$A$10:$J$224,3,FALSE)</f>
        <v>16121</v>
      </c>
      <c r="Q15" s="3">
        <f>K15-P15</f>
        <v>0</v>
      </c>
    </row>
    <row r="16" spans="1:17" x14ac:dyDescent="0.25">
      <c r="A16" s="13">
        <v>4</v>
      </c>
      <c r="B16" s="12" t="s">
        <v>843</v>
      </c>
      <c r="C16" s="81">
        <f>'Input Data'!C45</f>
        <v>5.3605999999999998</v>
      </c>
      <c r="D16" s="47">
        <f>'Input Data'!C52</f>
        <v>20000</v>
      </c>
      <c r="E16" s="13">
        <v>12</v>
      </c>
      <c r="F16" s="47">
        <f>ROUND((C16*D16*12),0)</f>
        <v>1286544</v>
      </c>
      <c r="I16" s="67">
        <f>EOMONTH(I15,0)+1</f>
        <v>46082</v>
      </c>
      <c r="J16" s="68">
        <f>VLOOKUP(I16,Forecast!A$1:K$200,2)</f>
        <v>2873971</v>
      </c>
      <c r="K16" s="68">
        <f>VLOOKUP(I16,Forecast!A$1:K$200,3)</f>
        <v>31846</v>
      </c>
      <c r="L16" s="69">
        <f t="shared" ref="L16:L26" si="0">SUM(J16:K16)</f>
        <v>2905817</v>
      </c>
      <c r="N16" s="68">
        <f>VLOOKUP($I16,Forecast!$A$10:$J$224,2,FALSE)</f>
        <v>2873971</v>
      </c>
      <c r="O16" s="3">
        <f t="shared" ref="O16:O25" si="1">J16-N16</f>
        <v>0</v>
      </c>
      <c r="P16" s="68">
        <f>VLOOKUP($I16,Forecast!$A$10:$J$224,3,FALSE)</f>
        <v>31846</v>
      </c>
      <c r="Q16" s="3">
        <f t="shared" ref="Q16:Q26" si="2">K16-P16</f>
        <v>0</v>
      </c>
    </row>
    <row r="17" spans="1:17" x14ac:dyDescent="0.25">
      <c r="A17" s="13">
        <v>5</v>
      </c>
      <c r="B17" s="12" t="s">
        <v>844</v>
      </c>
      <c r="C17" s="81">
        <f>'Input Data'!C46</f>
        <v>4.9043999999999999</v>
      </c>
      <c r="D17" s="47">
        <f>'Input Data'!C53</f>
        <v>20000</v>
      </c>
      <c r="E17" s="13">
        <v>12</v>
      </c>
      <c r="F17" s="47">
        <f>ROUND((C17*D17*12),0)</f>
        <v>1177056</v>
      </c>
      <c r="I17" s="67">
        <f t="shared" ref="I17:I26" si="3">EOMONTH(I16,0)+1</f>
        <v>46113</v>
      </c>
      <c r="J17" s="68">
        <f>VLOOKUP(I17,Forecast!A$1:K$200,2)</f>
        <v>2323774</v>
      </c>
      <c r="K17" s="68">
        <f>VLOOKUP(I17,Forecast!A$1:K$200,3)</f>
        <v>36046</v>
      </c>
      <c r="L17" s="69">
        <f t="shared" si="0"/>
        <v>2359820</v>
      </c>
      <c r="N17" s="68">
        <f>VLOOKUP($I17,Forecast!$A$10:$J$224,2,FALSE)</f>
        <v>2323774</v>
      </c>
      <c r="O17" s="3">
        <f t="shared" si="1"/>
        <v>0</v>
      </c>
      <c r="P17" s="68">
        <f>VLOOKUP($I17,Forecast!$A$10:$J$224,3,FALSE)</f>
        <v>36046</v>
      </c>
      <c r="Q17" s="3">
        <f t="shared" si="2"/>
        <v>0</v>
      </c>
    </row>
    <row r="18" spans="1:17" x14ac:dyDescent="0.25">
      <c r="A18" s="13">
        <v>6</v>
      </c>
      <c r="B18" s="587" t="s">
        <v>58</v>
      </c>
      <c r="C18" s="579"/>
      <c r="D18" s="579"/>
      <c r="E18" s="300"/>
      <c r="F18" s="80">
        <f>'Input Data'!C57</f>
        <v>1139978</v>
      </c>
      <c r="I18" s="67">
        <f t="shared" si="3"/>
        <v>46143</v>
      </c>
      <c r="J18" s="68">
        <f>VLOOKUP(I18,Forecast!A$1:K$200,2)</f>
        <v>2020694</v>
      </c>
      <c r="K18" s="68">
        <f>VLOOKUP(I18,Forecast!A$1:K$200,3)</f>
        <v>39280</v>
      </c>
      <c r="L18" s="69">
        <f t="shared" si="0"/>
        <v>2059974</v>
      </c>
      <c r="N18" s="68">
        <f>VLOOKUP($I18,Forecast!$A$10:$J$224,2,FALSE)</f>
        <v>2020694</v>
      </c>
      <c r="O18" s="3">
        <f t="shared" si="1"/>
        <v>0</v>
      </c>
      <c r="P18" s="68">
        <f>VLOOKUP($I18,Forecast!$A$10:$J$224,3,FALSE)</f>
        <v>39280</v>
      </c>
      <c r="Q18" s="3">
        <f t="shared" si="2"/>
        <v>0</v>
      </c>
    </row>
    <row r="19" spans="1:17" x14ac:dyDescent="0.25">
      <c r="A19" s="13">
        <v>7</v>
      </c>
      <c r="C19" s="15"/>
      <c r="D19" s="15"/>
      <c r="E19" s="53" t="s">
        <v>254</v>
      </c>
      <c r="F19" s="588">
        <f>SUM(F13:F18)</f>
        <v>26828530</v>
      </c>
      <c r="I19" s="67">
        <f t="shared" si="3"/>
        <v>46174</v>
      </c>
      <c r="J19" s="68">
        <f>VLOOKUP(I19,Forecast!A$1:K$200,2)</f>
        <v>2257758</v>
      </c>
      <c r="K19" s="68">
        <f>VLOOKUP(I19,Forecast!A$1:K$200,3)</f>
        <v>36150</v>
      </c>
      <c r="L19" s="69">
        <f t="shared" si="0"/>
        <v>2293908</v>
      </c>
      <c r="N19" s="68">
        <f>VLOOKUP($I19,Forecast!$A$10:$J$224,2,FALSE)</f>
        <v>2257758</v>
      </c>
      <c r="O19" s="3">
        <f t="shared" si="1"/>
        <v>0</v>
      </c>
      <c r="P19" s="68">
        <f>VLOOKUP($I19,Forecast!$A$10:$J$224,3,FALSE)</f>
        <v>36150</v>
      </c>
      <c r="Q19" s="3">
        <f t="shared" si="2"/>
        <v>0</v>
      </c>
    </row>
    <row r="20" spans="1:17" x14ac:dyDescent="0.25">
      <c r="A20" s="13"/>
      <c r="B20" s="15"/>
      <c r="C20" s="15"/>
      <c r="D20" s="15"/>
      <c r="E20" s="15"/>
      <c r="F20" s="588"/>
      <c r="I20" s="67">
        <f t="shared" si="3"/>
        <v>46204</v>
      </c>
      <c r="J20" s="68">
        <f>VLOOKUP(I20,Forecast!A$1:K$200,2)</f>
        <v>2173064</v>
      </c>
      <c r="K20" s="68">
        <f>VLOOKUP(I20,Forecast!A$1:K$200,3)</f>
        <v>41435</v>
      </c>
      <c r="L20" s="69">
        <f t="shared" si="0"/>
        <v>2214499</v>
      </c>
      <c r="N20" s="68">
        <f>VLOOKUP($I20,Forecast!$A$10:$J$224,2,FALSE)</f>
        <v>2173064</v>
      </c>
      <c r="O20" s="3">
        <f t="shared" si="1"/>
        <v>0</v>
      </c>
      <c r="P20" s="68">
        <f>VLOOKUP($I20,Forecast!$A$10:$J$224,3,FALSE)</f>
        <v>41435</v>
      </c>
      <c r="Q20" s="3">
        <f t="shared" si="2"/>
        <v>0</v>
      </c>
    </row>
    <row r="21" spans="1:17" x14ac:dyDescent="0.25">
      <c r="A21" s="13"/>
      <c r="B21" s="15"/>
      <c r="C21" s="15"/>
      <c r="D21" s="15"/>
      <c r="E21" s="15"/>
      <c r="F21" s="588"/>
      <c r="I21" s="67">
        <f t="shared" si="3"/>
        <v>46235</v>
      </c>
      <c r="J21" s="68">
        <f>VLOOKUP(I21,Forecast!A$1:K$200,2)</f>
        <v>2165864</v>
      </c>
      <c r="K21" s="68">
        <f>VLOOKUP(I21,Forecast!A$1:K$200,3)</f>
        <v>46911</v>
      </c>
      <c r="L21" s="69">
        <f t="shared" si="0"/>
        <v>2212775</v>
      </c>
      <c r="N21" s="68">
        <f>VLOOKUP($I21,Forecast!$A$10:$J$224,2,FALSE)</f>
        <v>2165864</v>
      </c>
      <c r="O21" s="3">
        <f t="shared" si="1"/>
        <v>0</v>
      </c>
      <c r="P21" s="68">
        <f>VLOOKUP($I21,Forecast!$A$10:$J$224,3,FALSE)</f>
        <v>46911</v>
      </c>
      <c r="Q21" s="3">
        <f t="shared" si="2"/>
        <v>0</v>
      </c>
    </row>
    <row r="22" spans="1:17" x14ac:dyDescent="0.25">
      <c r="A22" s="454"/>
      <c r="F22" s="55"/>
      <c r="I22" s="67">
        <f t="shared" si="3"/>
        <v>46266</v>
      </c>
      <c r="J22" s="68">
        <f>VLOOKUP(I22,Forecast!A$1:K$200,2)</f>
        <v>2229034</v>
      </c>
      <c r="K22" s="68">
        <f>VLOOKUP(I22,Forecast!A$1:K$200,3)</f>
        <v>41303</v>
      </c>
      <c r="L22" s="69">
        <f t="shared" si="0"/>
        <v>2270337</v>
      </c>
      <c r="N22" s="68">
        <f>VLOOKUP($I22,Forecast!$A$10:$J$224,2,FALSE)</f>
        <v>2229034</v>
      </c>
      <c r="O22" s="3">
        <f t="shared" si="1"/>
        <v>0</v>
      </c>
      <c r="P22" s="68">
        <f>VLOOKUP($I22,Forecast!$A$10:$J$224,3,FALSE)</f>
        <v>41303</v>
      </c>
      <c r="Q22" s="3">
        <f t="shared" si="2"/>
        <v>0</v>
      </c>
    </row>
    <row r="23" spans="1:17" x14ac:dyDescent="0.25">
      <c r="A23" s="454"/>
      <c r="F23" s="55"/>
      <c r="I23" s="67">
        <f t="shared" si="3"/>
        <v>46296</v>
      </c>
      <c r="J23" s="68">
        <f>VLOOKUP(I23,Forecast!A$1:K$200,2)</f>
        <v>2798009</v>
      </c>
      <c r="K23" s="68">
        <f>VLOOKUP(I23,Forecast!A$1:K$200,3)</f>
        <v>42157</v>
      </c>
      <c r="L23" s="69">
        <f t="shared" si="0"/>
        <v>2840166</v>
      </c>
      <c r="N23" s="68">
        <f>VLOOKUP($I23,Forecast!$A$10:$J$224,2,FALSE)</f>
        <v>2798009</v>
      </c>
      <c r="O23" s="3">
        <f t="shared" si="1"/>
        <v>0</v>
      </c>
      <c r="P23" s="68">
        <f>VLOOKUP($I23,Forecast!$A$10:$J$224,3,FALSE)</f>
        <v>42157</v>
      </c>
      <c r="Q23" s="3">
        <f t="shared" si="2"/>
        <v>0</v>
      </c>
    </row>
    <row r="24" spans="1:17" ht="18.75" x14ac:dyDescent="0.3">
      <c r="A24" s="658" t="s">
        <v>248</v>
      </c>
      <c r="B24" s="658"/>
      <c r="C24" s="658"/>
      <c r="D24" s="658"/>
      <c r="E24" s="658"/>
      <c r="F24" s="658"/>
      <c r="I24" s="67">
        <f t="shared" si="3"/>
        <v>46327</v>
      </c>
      <c r="J24" s="68">
        <f>VLOOKUP(I24,Forecast!A$1:K$200,2)</f>
        <v>3619692</v>
      </c>
      <c r="K24" s="68">
        <f>VLOOKUP(I24,Forecast!A$1:K$200,3)</f>
        <v>34274</v>
      </c>
      <c r="L24" s="69">
        <f t="shared" si="0"/>
        <v>3653966</v>
      </c>
      <c r="N24" s="68">
        <f>VLOOKUP($I24,Forecast!$A$10:$J$224,2,FALSE)</f>
        <v>3619692</v>
      </c>
      <c r="O24" s="3">
        <f t="shared" si="1"/>
        <v>0</v>
      </c>
      <c r="P24" s="68">
        <f>VLOOKUP($I24,Forecast!$A$10:$J$224,3,FALSE)</f>
        <v>34274</v>
      </c>
      <c r="Q24" s="3">
        <f t="shared" si="2"/>
        <v>0</v>
      </c>
    </row>
    <row r="25" spans="1:17" ht="18.75" x14ac:dyDescent="0.3">
      <c r="B25" s="533"/>
      <c r="C25" s="533"/>
      <c r="D25" s="533"/>
      <c r="E25" s="533"/>
      <c r="F25" s="533"/>
      <c r="I25" s="67">
        <f t="shared" si="3"/>
        <v>46357</v>
      </c>
      <c r="J25" s="68">
        <f>VLOOKUP(I25,Forecast!A$1:K$200,2)</f>
        <v>3612112</v>
      </c>
      <c r="K25" s="68">
        <f>VLOOKUP(I25,Forecast!A$1:K$200,3)</f>
        <v>22523</v>
      </c>
      <c r="L25" s="69">
        <f t="shared" si="0"/>
        <v>3634635</v>
      </c>
      <c r="N25" s="68">
        <f>VLOOKUP($I25,Forecast!$A$10:$J$224,2,FALSE)</f>
        <v>3612112</v>
      </c>
      <c r="O25" s="3">
        <f t="shared" si="1"/>
        <v>0</v>
      </c>
      <c r="P25" s="68">
        <f>VLOOKUP($I25,Forecast!$A$10:$J$224,3,FALSE)</f>
        <v>22523</v>
      </c>
      <c r="Q25" s="3">
        <f t="shared" si="2"/>
        <v>0</v>
      </c>
    </row>
    <row r="26" spans="1:17" x14ac:dyDescent="0.25">
      <c r="A26" s="13"/>
      <c r="E26" s="46"/>
      <c r="I26" s="67">
        <f t="shared" si="3"/>
        <v>46388</v>
      </c>
      <c r="J26" s="68">
        <f>VLOOKUP(I26,Forecast!A$1:K$200,2)</f>
        <v>3926602</v>
      </c>
      <c r="K26" s="68">
        <f>VLOOKUP(I26,Forecast!A$1:K$200,3)</f>
        <v>11955</v>
      </c>
      <c r="L26" s="69">
        <f t="shared" si="0"/>
        <v>3938557</v>
      </c>
      <c r="N26" s="68">
        <f>VLOOKUP($I26,Forecast!$A$10:$J$224,2,FALSE)</f>
        <v>3926602</v>
      </c>
      <c r="O26" s="3">
        <f>J26-N26</f>
        <v>0</v>
      </c>
      <c r="P26" s="68">
        <f>VLOOKUP($I26,Forecast!$A$10:$J$224,3,FALSE)</f>
        <v>11955</v>
      </c>
      <c r="Q26" s="3">
        <f t="shared" si="2"/>
        <v>0</v>
      </c>
    </row>
    <row r="27" spans="1:17" ht="16.5" thickBot="1" x14ac:dyDescent="0.3">
      <c r="A27" s="13">
        <v>8</v>
      </c>
      <c r="B27" s="3" t="s">
        <v>845</v>
      </c>
      <c r="E27" s="12"/>
      <c r="F27" s="55">
        <f>F19</f>
        <v>26828530</v>
      </c>
      <c r="I27" s="61"/>
      <c r="L27" s="44"/>
      <c r="P27" s="68"/>
    </row>
    <row r="28" spans="1:17" ht="16.5" thickBot="1" x14ac:dyDescent="0.3">
      <c r="A28" s="13">
        <v>9</v>
      </c>
      <c r="B28" s="587" t="s">
        <v>782</v>
      </c>
      <c r="C28" s="27"/>
      <c r="D28" s="27"/>
      <c r="E28" s="587"/>
      <c r="F28" s="80">
        <f>L28</f>
        <v>33428765</v>
      </c>
      <c r="G28" s="3"/>
      <c r="I28" s="77" t="s">
        <v>744</v>
      </c>
      <c r="J28" s="78"/>
      <c r="K28" s="78"/>
      <c r="L28" s="79">
        <f>SUM(L15:L27)</f>
        <v>33428765</v>
      </c>
      <c r="P28" s="68">
        <f>SUM(N15:N26)+SUM(P15:P26)</f>
        <v>33428765</v>
      </c>
      <c r="Q28" s="3">
        <f>L28-P28</f>
        <v>0</v>
      </c>
    </row>
    <row r="29" spans="1:17" x14ac:dyDescent="0.25">
      <c r="A29" s="465">
        <v>10</v>
      </c>
      <c r="B29" s="15"/>
      <c r="C29" s="15"/>
      <c r="D29" s="15"/>
      <c r="E29" s="53" t="s">
        <v>854</v>
      </c>
      <c r="F29" s="589">
        <f>ROUND(F27/F28,4)</f>
        <v>0.80259999999999998</v>
      </c>
      <c r="G29" s="3"/>
      <c r="I29"/>
    </row>
    <row r="30" spans="1:17" x14ac:dyDescent="0.25">
      <c r="I30"/>
    </row>
    <row r="31" spans="1:17" x14ac:dyDescent="0.25">
      <c r="I31"/>
    </row>
    <row r="32" spans="1:17" x14ac:dyDescent="0.25">
      <c r="I32"/>
    </row>
    <row r="33" spans="1:9" x14ac:dyDescent="0.25">
      <c r="I33"/>
    </row>
    <row r="34" spans="1:9" x14ac:dyDescent="0.25">
      <c r="I34"/>
    </row>
    <row r="35" spans="1:9" ht="18.75" customHeight="1" x14ac:dyDescent="0.25">
      <c r="I35"/>
    </row>
    <row r="36" spans="1:9" ht="18.75" customHeight="1" x14ac:dyDescent="0.3">
      <c r="A36" s="623" t="s">
        <v>59</v>
      </c>
      <c r="B36" s="623"/>
      <c r="C36" s="623"/>
      <c r="D36" s="623"/>
      <c r="E36" s="623"/>
      <c r="F36" s="623"/>
    </row>
    <row r="37" spans="1:9" ht="18.75" x14ac:dyDescent="0.3">
      <c r="A37" s="658" t="s">
        <v>442</v>
      </c>
      <c r="B37" s="658"/>
      <c r="C37" s="658"/>
      <c r="D37" s="658"/>
      <c r="E37" s="658"/>
      <c r="F37" s="658"/>
      <c r="G37" s="3"/>
    </row>
    <row r="38" spans="1:9" ht="18.75" x14ac:dyDescent="0.3">
      <c r="B38" s="533"/>
      <c r="C38" s="533"/>
      <c r="D38" s="533"/>
      <c r="E38" s="533"/>
      <c r="F38" s="533"/>
      <c r="G38" s="15"/>
    </row>
    <row r="39" spans="1:9" x14ac:dyDescent="0.25">
      <c r="A39" s="13"/>
      <c r="F39" s="12"/>
      <c r="G39" s="15"/>
    </row>
    <row r="40" spans="1:9" x14ac:dyDescent="0.25">
      <c r="A40" s="13">
        <v>11</v>
      </c>
      <c r="B40" s="12" t="s">
        <v>846</v>
      </c>
      <c r="F40" s="81">
        <f>(F29)</f>
        <v>0.80259999999999998</v>
      </c>
      <c r="G40" s="3"/>
    </row>
    <row r="41" spans="1:9" x14ac:dyDescent="0.25">
      <c r="A41" s="13">
        <v>12</v>
      </c>
      <c r="B41" s="12" t="s">
        <v>470</v>
      </c>
      <c r="F41" s="183">
        <f>'Ex D-1 1 of 2'!H17</f>
        <v>0</v>
      </c>
    </row>
    <row r="42" spans="1:9" x14ac:dyDescent="0.25">
      <c r="A42" s="13">
        <v>13</v>
      </c>
      <c r="B42" s="587" t="s">
        <v>471</v>
      </c>
      <c r="C42" s="27"/>
      <c r="D42" s="27"/>
      <c r="E42" s="27"/>
      <c r="F42" s="590">
        <f>ROUND('Ex E-1 1 of 1'!D21,4)</f>
        <v>0</v>
      </c>
    </row>
    <row r="43" spans="1:9" x14ac:dyDescent="0.25">
      <c r="A43" s="13">
        <v>14</v>
      </c>
      <c r="B43" s="45"/>
      <c r="C43" s="15"/>
      <c r="D43" s="15"/>
      <c r="E43" s="53" t="s">
        <v>256</v>
      </c>
      <c r="F43" s="591">
        <f>SUM(F40:F42)</f>
        <v>0.80259999999999998</v>
      </c>
    </row>
    <row r="47" spans="1:9" x14ac:dyDescent="0.25">
      <c r="I47" s="48"/>
    </row>
    <row r="48" spans="1:9" x14ac:dyDescent="0.25">
      <c r="I48"/>
    </row>
    <row r="49" spans="1:11" x14ac:dyDescent="0.25">
      <c r="I49"/>
      <c r="J49"/>
    </row>
    <row r="50" spans="1:11" ht="18.75" x14ac:dyDescent="0.3">
      <c r="A50" s="623" t="s">
        <v>255</v>
      </c>
      <c r="B50" s="623"/>
      <c r="C50" s="623"/>
      <c r="D50" s="623"/>
      <c r="E50" s="623"/>
      <c r="F50" s="623"/>
      <c r="I50"/>
      <c r="J50" s="367" t="s">
        <v>743</v>
      </c>
      <c r="K50" s="368"/>
    </row>
    <row r="51" spans="1:11" ht="18.75" x14ac:dyDescent="0.3">
      <c r="A51" s="658" t="s">
        <v>393</v>
      </c>
      <c r="B51" s="658"/>
      <c r="C51" s="658"/>
      <c r="D51" s="658"/>
      <c r="E51" s="658"/>
      <c r="F51" s="658"/>
      <c r="H51" s="147"/>
      <c r="I51"/>
      <c r="J51" s="259" t="s">
        <v>446</v>
      </c>
      <c r="K51" s="457">
        <f>'Input Data'!C61</f>
        <v>322467</v>
      </c>
    </row>
    <row r="52" spans="1:11" ht="18.75" x14ac:dyDescent="0.3">
      <c r="B52" s="533"/>
      <c r="C52" s="533"/>
      <c r="D52" s="533"/>
      <c r="E52" s="533"/>
      <c r="F52" s="533"/>
      <c r="H52" s="147"/>
      <c r="I52"/>
      <c r="J52" s="259" t="s">
        <v>447</v>
      </c>
      <c r="K52" s="457">
        <f>'Input Data'!C62</f>
        <v>156915</v>
      </c>
    </row>
    <row r="53" spans="1:11" x14ac:dyDescent="0.25">
      <c r="A53" s="13"/>
      <c r="F53" s="55"/>
      <c r="I53"/>
      <c r="J53" s="259" t="s">
        <v>448</v>
      </c>
      <c r="K53" s="457">
        <f>'Input Data'!C63</f>
        <v>12132</v>
      </c>
    </row>
    <row r="54" spans="1:11" x14ac:dyDescent="0.25">
      <c r="A54" s="13">
        <v>15</v>
      </c>
      <c r="B54" s="3" t="s">
        <v>845</v>
      </c>
      <c r="F54" s="55">
        <f>F19</f>
        <v>26828530</v>
      </c>
      <c r="I54"/>
      <c r="J54" s="259" t="s">
        <v>562</v>
      </c>
      <c r="K54" s="457">
        <f>'Input Data'!C64</f>
        <v>449</v>
      </c>
    </row>
    <row r="55" spans="1:11" x14ac:dyDescent="0.25">
      <c r="A55" s="13">
        <v>16</v>
      </c>
      <c r="B55" s="27" t="s">
        <v>253</v>
      </c>
      <c r="C55" s="27"/>
      <c r="D55" s="27"/>
      <c r="E55" s="27"/>
      <c r="F55" s="80">
        <f>K55</f>
        <v>491963</v>
      </c>
      <c r="I55"/>
      <c r="J55" s="367" t="s">
        <v>30</v>
      </c>
      <c r="K55" s="444">
        <f>SUM(K51:K54)</f>
        <v>491963</v>
      </c>
    </row>
    <row r="56" spans="1:11" ht="16.5" thickBot="1" x14ac:dyDescent="0.3">
      <c r="A56" s="13">
        <v>17</v>
      </c>
      <c r="D56" s="47"/>
      <c r="E56" s="53" t="s">
        <v>847</v>
      </c>
      <c r="F56" s="82">
        <f>ROUND(F54/F55/365,4)</f>
        <v>0.14940000000000001</v>
      </c>
    </row>
    <row r="57" spans="1:11" ht="16.5" thickTop="1" x14ac:dyDescent="0.25">
      <c r="G57"/>
    </row>
    <row r="58" spans="1:11" x14ac:dyDescent="0.25">
      <c r="G58"/>
    </row>
    <row r="59" spans="1:11" x14ac:dyDescent="0.25">
      <c r="G59"/>
    </row>
    <row r="60" spans="1:11" x14ac:dyDescent="0.25">
      <c r="F60" s="12"/>
      <c r="G60"/>
    </row>
    <row r="61" spans="1:11" x14ac:dyDescent="0.25">
      <c r="F61" s="12"/>
      <c r="G61" s="3"/>
    </row>
    <row r="62" spans="1:11" x14ac:dyDescent="0.25">
      <c r="A62" s="13"/>
      <c r="F62" s="12"/>
      <c r="G62" s="3"/>
    </row>
    <row r="63" spans="1:11" x14ac:dyDescent="0.25">
      <c r="A63" s="13"/>
      <c r="F63" s="12"/>
      <c r="G63" s="3"/>
    </row>
    <row r="64" spans="1:11" x14ac:dyDescent="0.25">
      <c r="A64" s="13"/>
      <c r="B64" s="49"/>
      <c r="F64" s="12"/>
      <c r="G64" s="3"/>
    </row>
    <row r="65" spans="1:7" x14ac:dyDescent="0.25">
      <c r="A65" s="13"/>
      <c r="G65" s="47"/>
    </row>
    <row r="66" spans="1:7" x14ac:dyDescent="0.25">
      <c r="A66" s="13"/>
      <c r="G66" s="3"/>
    </row>
    <row r="67" spans="1:7" x14ac:dyDescent="0.25">
      <c r="G67" s="3"/>
    </row>
    <row r="69" spans="1:7" hidden="1" x14ac:dyDescent="0.25"/>
    <row r="70" spans="1:7" hidden="1" x14ac:dyDescent="0.25">
      <c r="A70" s="13"/>
    </row>
    <row r="72" spans="1:7" x14ac:dyDescent="0.25">
      <c r="F72" s="50"/>
    </row>
    <row r="73" spans="1:7" x14ac:dyDescent="0.25">
      <c r="F73" s="50"/>
    </row>
    <row r="74" spans="1:7" x14ac:dyDescent="0.25">
      <c r="F74" s="50"/>
    </row>
    <row r="75" spans="1:7" x14ac:dyDescent="0.25">
      <c r="F75" s="50"/>
    </row>
    <row r="76" spans="1:7" x14ac:dyDescent="0.25">
      <c r="F76" s="50"/>
    </row>
    <row r="77" spans="1:7" x14ac:dyDescent="0.25">
      <c r="F77" s="51"/>
    </row>
  </sheetData>
  <mergeCells count="11">
    <mergeCell ref="A51:F51"/>
    <mergeCell ref="A24:F24"/>
    <mergeCell ref="A36:F36"/>
    <mergeCell ref="A37:F37"/>
    <mergeCell ref="A50:F50"/>
    <mergeCell ref="I12:L12"/>
    <mergeCell ref="I11:L11"/>
    <mergeCell ref="A9:F9"/>
    <mergeCell ref="A1:F1"/>
    <mergeCell ref="A2:F2"/>
    <mergeCell ref="A3:F3"/>
  </mergeCells>
  <phoneticPr fontId="4" type="noConversion"/>
  <conditionalFormatting sqref="I47">
    <cfRule type="cellIs" dxfId="1" priority="1" operator="notEqual">
      <formula>0</formula>
    </cfRule>
    <cfRule type="expression" dxfId="0" priority="2">
      <formula>0</formula>
    </cfRule>
  </conditionalFormatting>
  <pageMargins left="0.7" right="0.7" top="0.75" bottom="0.75" header="0.3" footer="0.3"/>
  <pageSetup scale="69" orientation="portrait" r:id="rId1"/>
  <headerFooter>
    <oddHeader>&amp;R&amp;"Times New Roman,Bold"Exhibit A
Page 2 of 2</oddHead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5A02B-9813-4705-B31F-3F7E960D6241}">
  <sheetPr codeName="Sheet34">
    <tabColor rgb="FF00B050"/>
    <pageSetUpPr fitToPage="1"/>
  </sheetPr>
  <dimension ref="B1:I33"/>
  <sheetViews>
    <sheetView zoomScaleNormal="100" workbookViewId="0"/>
  </sheetViews>
  <sheetFormatPr defaultColWidth="8.77734375" defaultRowHeight="15.75" x14ac:dyDescent="0.25"/>
  <cols>
    <col min="1" max="1" width="1.109375" style="3" customWidth="1"/>
    <col min="2" max="2" width="8.77734375" style="3"/>
    <col min="3" max="3" width="9.6640625" style="3" customWidth="1"/>
    <col min="4" max="4" width="13.5546875" style="3" bestFit="1" customWidth="1"/>
    <col min="5" max="5" width="14.6640625" style="3" customWidth="1"/>
    <col min="6" max="6" width="8.77734375" style="3"/>
    <col min="7" max="7" width="9.6640625" style="3" customWidth="1"/>
    <col min="8" max="8" width="10.109375" style="3" customWidth="1"/>
    <col min="9" max="9" width="15.5546875" style="3" customWidth="1"/>
    <col min="10" max="16384" width="8.77734375" style="3"/>
  </cols>
  <sheetData>
    <row r="1" spans="2:9" x14ac:dyDescent="0.25">
      <c r="B1" s="639" t="s">
        <v>5</v>
      </c>
      <c r="C1" s="639"/>
      <c r="D1" s="639"/>
      <c r="E1" s="639"/>
      <c r="F1" s="639"/>
      <c r="G1" s="639"/>
      <c r="H1" s="639"/>
      <c r="I1" s="639"/>
    </row>
    <row r="2" spans="2:9" x14ac:dyDescent="0.25">
      <c r="B2" s="15"/>
      <c r="C2" s="15"/>
      <c r="D2" s="15"/>
      <c r="E2" s="15"/>
      <c r="F2" s="15"/>
      <c r="G2" s="15"/>
      <c r="H2" s="15"/>
      <c r="I2" s="15"/>
    </row>
    <row r="3" spans="2:9" x14ac:dyDescent="0.25">
      <c r="B3" s="639" t="str">
        <f>'Exhibit F Write-Up'!B3:N3</f>
        <v>Gas Supply Clause: 2025-00400</v>
      </c>
      <c r="C3" s="639"/>
      <c r="D3" s="639"/>
      <c r="E3" s="639"/>
      <c r="F3" s="639"/>
      <c r="G3" s="639"/>
      <c r="H3" s="639"/>
      <c r="I3" s="639"/>
    </row>
    <row r="4" spans="2:9" x14ac:dyDescent="0.25">
      <c r="B4" s="15"/>
      <c r="C4" s="15"/>
      <c r="D4" s="15"/>
      <c r="E4" s="15"/>
      <c r="F4" s="15"/>
      <c r="G4" s="15"/>
      <c r="H4" s="15"/>
      <c r="I4" s="15"/>
    </row>
    <row r="5" spans="2:9" x14ac:dyDescent="0.25">
      <c r="B5" s="639" t="s">
        <v>692</v>
      </c>
      <c r="C5" s="639"/>
      <c r="D5" s="639"/>
      <c r="E5" s="639"/>
      <c r="F5" s="639"/>
      <c r="G5" s="639"/>
      <c r="H5" s="639"/>
      <c r="I5" s="639"/>
    </row>
    <row r="7" spans="2:9" s="488" customFormat="1" ht="31.5" customHeight="1" x14ac:dyDescent="0.25">
      <c r="B7" s="637" t="s">
        <v>693</v>
      </c>
      <c r="C7" s="637"/>
      <c r="D7" s="637"/>
      <c r="E7" s="637"/>
      <c r="F7" s="637"/>
      <c r="G7" s="637"/>
      <c r="H7" s="637"/>
      <c r="I7" s="637"/>
    </row>
    <row r="9" spans="2:9" s="488" customFormat="1" ht="31.5" customHeight="1" x14ac:dyDescent="0.25">
      <c r="B9" s="637" t="str">
        <f>CONCATENATE("As shown on Page 1 of Exhibit B-1, the amount of recovery from Case Number ",'Ex B-1 1 of 7'!C13, " during the three-month period of ", 'Input Data'!B73, " through ", 'Input Data'!B74," was the following:")</f>
        <v>As shown on Page 1 of Exhibit B-1, the amount of recovery from Case Number 2025-00188 during the three-month period of August 2025 through October 2025 was the following:</v>
      </c>
      <c r="C9" s="637"/>
      <c r="D9" s="637"/>
      <c r="E9" s="637"/>
      <c r="F9" s="637"/>
      <c r="G9" s="637"/>
      <c r="H9" s="637"/>
      <c r="I9" s="637"/>
    </row>
    <row r="11" spans="2:9" x14ac:dyDescent="0.25">
      <c r="B11" s="12" t="s">
        <v>694</v>
      </c>
      <c r="C11" s="71"/>
      <c r="D11" s="445">
        <f>'Ex B-1 1 of 7'!D19</f>
        <v>-5700843</v>
      </c>
    </row>
    <row r="13" spans="2:9" ht="31.5" customHeight="1" x14ac:dyDescent="0.25">
      <c r="B13" s="637" t="str">
        <f>CONCATENATE("The calculation of the Gas Cost Actual Adjustment (GCAA) set forth in Exhibit B-1 results in the following factor, which LG&amp;E will place in effect ", 'Input Data'!B77, " with service rendered on and after ",'Input Data'!D4, " and continue for 12 months:")</f>
        <v>The calculation of the Gas Cost Actual Adjustment (GCAA) set forth in Exhibit B-1 results in the following factor, which LG&amp;E will place in effect as a credit with service rendered on and after February 1, 2026 and continue for 12 months:</v>
      </c>
      <c r="C13" s="637"/>
      <c r="D13" s="637"/>
      <c r="E13" s="637"/>
      <c r="F13" s="637"/>
      <c r="G13" s="637"/>
      <c r="H13" s="637"/>
      <c r="I13" s="637"/>
    </row>
    <row r="15" spans="2:9" x14ac:dyDescent="0.25">
      <c r="B15" s="3" t="s">
        <v>695</v>
      </c>
      <c r="E15" s="586">
        <f>'Ex B-1 1 of 7'!D26</f>
        <v>-1.831E-2</v>
      </c>
    </row>
    <row r="17" spans="2:9" s="488" customFormat="1" ht="47.25" customHeight="1" x14ac:dyDescent="0.25">
      <c r="B17" s="637" t="str">
        <f>CONCATENATE("Also enclosed, on pages 6 and 7 of Exhibit B-1, is a breakdown of gas purchases for the three-month period from ", 'Input Data'!B73, " through ", 'Input Data'!B74, ".  [Please note that the names of the suppliers have been redacted from these pages, in accordance with LG&amp;E's Petition for Confidentiality filed this quarter.]")</f>
        <v>Also enclosed, on pages 6 and 7 of Exhibit B-1, is a breakdown of gas purchases for the three-month period from August 2025 through October 2025.  [Please note that the names of the suppliers have been redacted from these pages, in accordance with LG&amp;E's Petition for Confidentiality filed this quarter.]</v>
      </c>
      <c r="C17" s="637"/>
      <c r="D17" s="637"/>
      <c r="E17" s="637"/>
      <c r="F17" s="637"/>
      <c r="G17" s="637"/>
      <c r="H17" s="637"/>
      <c r="I17" s="637"/>
    </row>
    <row r="19" spans="2:9" ht="47.25" customHeight="1" x14ac:dyDescent="0.25">
      <c r="B19" s="637" t="str">
        <f>CONCATENATE("In this filing, LG&amp;E will be eliminating the GCAA from Case Number ", 'Input Data'!B75, " which will have been in effect for 12 months.  Any over- or under-recovery of the amount originally established will be transferred to the Gas Cost Balance Adjustment (GCBA) which will be implemented in LG&amp;E's next Gas Supply Clause filing.")</f>
        <v>In this filing, LG&amp;E will be eliminating the GCAA from Case Number 2024-000192 which will have been in effect for 12 months.  Any over- or under-recovery of the amount originally established will be transferred to the Gas Cost Balance Adjustment (GCBA) which will be implemented in LG&amp;E's next Gas Supply Clause filing.</v>
      </c>
      <c r="C19" s="637"/>
      <c r="D19" s="637"/>
      <c r="E19" s="637"/>
      <c r="F19" s="637"/>
      <c r="G19" s="637"/>
      <c r="H19" s="637"/>
      <c r="I19" s="637"/>
    </row>
    <row r="21" spans="2:9" x14ac:dyDescent="0.25">
      <c r="B21" s="3" t="s">
        <v>696</v>
      </c>
    </row>
    <row r="23" spans="2:9" s="489" customFormat="1" x14ac:dyDescent="0.25">
      <c r="E23" s="431" t="s">
        <v>369</v>
      </c>
      <c r="G23" s="431" t="s">
        <v>116</v>
      </c>
      <c r="I23" s="431" t="s">
        <v>701</v>
      </c>
    </row>
    <row r="24" spans="2:9" s="489" customFormat="1" x14ac:dyDescent="0.25"/>
    <row r="25" spans="2:9" x14ac:dyDescent="0.25">
      <c r="B25" s="3" t="s">
        <v>697</v>
      </c>
      <c r="E25" s="549">
        <f>'Summary Sheet'!F22</f>
        <v>46054</v>
      </c>
      <c r="G25" s="3" t="str">
        <f>'Summary Sheet'!G22</f>
        <v>2025-00188</v>
      </c>
      <c r="I25" s="429">
        <f>'Summary Sheet'!K22</f>
        <v>-1.831E-2</v>
      </c>
    </row>
    <row r="26" spans="2:9" x14ac:dyDescent="0.25">
      <c r="E26" s="549"/>
      <c r="I26" s="429"/>
    </row>
    <row r="27" spans="2:9" x14ac:dyDescent="0.25">
      <c r="B27" s="3" t="s">
        <v>698</v>
      </c>
      <c r="E27" s="549">
        <f>'Summary Sheet'!F23</f>
        <v>45962</v>
      </c>
      <c r="G27" s="3" t="str">
        <f>'Summary Sheet'!G23</f>
        <v>2025-00061</v>
      </c>
      <c r="I27" s="429">
        <f>'Summary Sheet'!K23</f>
        <v>-1.4710000000000001E-2</v>
      </c>
    </row>
    <row r="28" spans="2:9" x14ac:dyDescent="0.25">
      <c r="E28" s="549"/>
      <c r="I28" s="429"/>
    </row>
    <row r="29" spans="2:9" ht="18.75" x14ac:dyDescent="0.25">
      <c r="B29" s="3" t="s">
        <v>699</v>
      </c>
      <c r="E29" s="549">
        <f>'Summary Sheet'!F24</f>
        <v>45870</v>
      </c>
      <c r="G29" s="3" t="str">
        <f>'Summary Sheet'!G24</f>
        <v>2024-00405</v>
      </c>
      <c r="I29" s="429">
        <f>'Summary Sheet'!K24</f>
        <v>3.245E-2</v>
      </c>
    </row>
    <row r="30" spans="2:9" x14ac:dyDescent="0.25">
      <c r="E30" s="549"/>
      <c r="I30" s="429"/>
    </row>
    <row r="31" spans="2:9" ht="18.75" x14ac:dyDescent="0.25">
      <c r="B31" s="3" t="s">
        <v>700</v>
      </c>
      <c r="E31" s="549">
        <f>'Summary Sheet'!F25</f>
        <v>45778</v>
      </c>
      <c r="G31" s="3" t="str">
        <f>'Summary Sheet'!G25</f>
        <v>2024-00294</v>
      </c>
      <c r="I31" s="429">
        <f>'Summary Sheet'!K25</f>
        <v>4.5519999999999998E-2</v>
      </c>
    </row>
    <row r="33" spans="2:9" x14ac:dyDescent="0.25">
      <c r="B33" s="15" t="s">
        <v>702</v>
      </c>
      <c r="I33" s="447">
        <f>SUM(I25:I31)</f>
        <v>4.4949999999999997E-2</v>
      </c>
    </row>
  </sheetData>
  <mergeCells count="8">
    <mergeCell ref="B13:I13"/>
    <mergeCell ref="B17:I17"/>
    <mergeCell ref="B19:I19"/>
    <mergeCell ref="B1:I1"/>
    <mergeCell ref="B3:I3"/>
    <mergeCell ref="B5:I5"/>
    <mergeCell ref="B7:I7"/>
    <mergeCell ref="B9:I9"/>
  </mergeCells>
  <pageMargins left="0.7" right="0.7" top="0.75" bottom="0.75" header="0.3" footer="0.3"/>
  <pageSetup scale="83" orientation="portrait" r:id="rId1"/>
  <headerFooter>
    <oddHeader>&amp;R&amp;"Times New Roman,Bold"Exhibit B</oddHead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theme="3" tint="0.59999389629810485"/>
    <pageSetUpPr fitToPage="1"/>
  </sheetPr>
  <dimension ref="A1:R111"/>
  <sheetViews>
    <sheetView zoomScale="80" zoomScaleNormal="80" workbookViewId="0">
      <selection sqref="A1:F1"/>
    </sheetView>
  </sheetViews>
  <sheetFormatPr defaultColWidth="9.77734375" defaultRowHeight="15.75" x14ac:dyDescent="0.25"/>
  <cols>
    <col min="1" max="1" width="7.77734375" style="3" customWidth="1"/>
    <col min="2" max="2" width="15.5546875" style="3" customWidth="1"/>
    <col min="3" max="3" width="22.44140625" style="3" customWidth="1"/>
    <col min="4" max="4" width="18.21875" style="3" customWidth="1"/>
    <col min="5" max="5" width="17.33203125" style="3" customWidth="1"/>
    <col min="6" max="6" width="16.21875" style="3" customWidth="1"/>
    <col min="7" max="7" width="14.88671875" style="3" customWidth="1"/>
    <col min="8" max="8" width="14.109375" style="3" customWidth="1"/>
    <col min="9" max="9" width="13.44140625" style="1" hidden="1" customWidth="1"/>
    <col min="10" max="10" width="14.5546875" style="22" hidden="1" customWidth="1"/>
    <col min="11" max="11" width="14" style="3" hidden="1" customWidth="1"/>
    <col min="12" max="12" width="15.21875" style="3" hidden="1" customWidth="1"/>
    <col min="13" max="18" width="9.77734375" style="3" hidden="1" customWidth="1"/>
    <col min="19" max="20" width="9.77734375" style="3" customWidth="1"/>
    <col min="21" max="21" width="11.5546875" style="3" customWidth="1"/>
    <col min="22" max="22" width="4.77734375" style="3" customWidth="1"/>
    <col min="23" max="23" width="4.33203125" style="3" customWidth="1"/>
    <col min="24" max="24" width="12" style="3" customWidth="1"/>
    <col min="25" max="25" width="11.5546875" style="3" customWidth="1"/>
    <col min="26" max="26" width="5.88671875" style="3" customWidth="1"/>
    <col min="27" max="28" width="9.77734375" style="3"/>
    <col min="29" max="29" width="3.109375" style="3" bestFit="1" customWidth="1"/>
    <col min="30" max="16384" width="9.77734375" style="3"/>
  </cols>
  <sheetData>
    <row r="1" spans="1:17" ht="18.75" x14ac:dyDescent="0.3">
      <c r="A1" s="635" t="s">
        <v>5</v>
      </c>
      <c r="B1" s="635"/>
      <c r="C1" s="635"/>
      <c r="D1" s="635"/>
      <c r="E1" s="635"/>
      <c r="F1" s="635"/>
    </row>
    <row r="2" spans="1:17" ht="18.75" x14ac:dyDescent="0.3">
      <c r="A2" s="623" t="s">
        <v>293</v>
      </c>
      <c r="B2" s="623"/>
      <c r="C2" s="623"/>
      <c r="D2" s="623"/>
      <c r="E2" s="623"/>
      <c r="F2" s="623"/>
    </row>
    <row r="3" spans="1:17" ht="18.75" x14ac:dyDescent="0.3">
      <c r="A3" s="623" t="s">
        <v>342</v>
      </c>
      <c r="B3" s="623"/>
      <c r="C3" s="623"/>
      <c r="D3" s="623"/>
      <c r="E3" s="623"/>
      <c r="F3" s="623"/>
    </row>
    <row r="4" spans="1:17" ht="18.75" x14ac:dyDescent="0.3">
      <c r="A4" s="623" t="s">
        <v>294</v>
      </c>
      <c r="B4" s="623"/>
      <c r="C4" s="623"/>
      <c r="D4" s="623"/>
      <c r="E4" s="623"/>
      <c r="F4" s="623"/>
    </row>
    <row r="5" spans="1:17" ht="18.75" x14ac:dyDescent="0.3">
      <c r="A5" s="623" t="str">
        <f>CONCATENATE("For Service Rendered On and After ",'Input Data'!$D$4)</f>
        <v>For Service Rendered On and After February 1, 2026</v>
      </c>
      <c r="B5" s="623"/>
      <c r="C5" s="623"/>
      <c r="D5" s="623"/>
      <c r="E5" s="623"/>
      <c r="F5" s="623"/>
    </row>
    <row r="6" spans="1:17" x14ac:dyDescent="0.25">
      <c r="I6" s="189" t="s">
        <v>273</v>
      </c>
    </row>
    <row r="7" spans="1:17" ht="16.5" thickBot="1" x14ac:dyDescent="0.3">
      <c r="F7" s="13"/>
      <c r="G7" s="13"/>
      <c r="I7" s="189" t="s">
        <v>352</v>
      </c>
      <c r="J7" s="32"/>
      <c r="K7" s="32"/>
      <c r="L7" s="32"/>
    </row>
    <row r="8" spans="1:17" ht="26.25" thickBot="1" x14ac:dyDescent="0.4">
      <c r="D8" s="13"/>
      <c r="E8" s="13"/>
      <c r="F8" s="13"/>
      <c r="G8" s="13"/>
      <c r="I8" s="661" t="s">
        <v>209</v>
      </c>
      <c r="J8" s="662"/>
      <c r="K8" s="662"/>
      <c r="L8" s="663"/>
    </row>
    <row r="9" spans="1:17" ht="16.5" thickBot="1" x14ac:dyDescent="0.3">
      <c r="D9" s="13"/>
      <c r="E9" s="13"/>
      <c r="F9" s="13"/>
      <c r="G9" s="13"/>
      <c r="I9" s="652" t="s">
        <v>243</v>
      </c>
      <c r="J9" s="653"/>
      <c r="K9" s="653"/>
      <c r="L9" s="654"/>
      <c r="M9" s="35"/>
    </row>
    <row r="10" spans="1:17" ht="47.25" x14ac:dyDescent="0.25">
      <c r="A10" s="65" t="s">
        <v>245</v>
      </c>
      <c r="B10" s="502" t="s">
        <v>346</v>
      </c>
      <c r="C10" s="65" t="s">
        <v>0</v>
      </c>
      <c r="D10" s="118" t="s">
        <v>389</v>
      </c>
      <c r="E10" s="118" t="s">
        <v>390</v>
      </c>
      <c r="F10" s="118" t="s">
        <v>307</v>
      </c>
      <c r="G10" s="90"/>
      <c r="I10" s="64"/>
      <c r="J10" s="346" t="s">
        <v>208</v>
      </c>
      <c r="K10" s="347" t="s">
        <v>609</v>
      </c>
      <c r="L10" s="348" t="s">
        <v>231</v>
      </c>
      <c r="M10" s="35"/>
      <c r="N10" s="3" t="s">
        <v>551</v>
      </c>
    </row>
    <row r="11" spans="1:17" ht="15.75" customHeight="1" x14ac:dyDescent="0.25">
      <c r="A11" s="39" t="s">
        <v>60</v>
      </c>
      <c r="B11" s="39" t="s">
        <v>61</v>
      </c>
      <c r="C11" s="39" t="s">
        <v>62</v>
      </c>
      <c r="D11" s="39" t="s">
        <v>63</v>
      </c>
      <c r="E11" s="39" t="s">
        <v>64</v>
      </c>
      <c r="F11" s="39" t="s">
        <v>492</v>
      </c>
      <c r="G11" s="39"/>
      <c r="I11" s="349">
        <f>'Input Data'!C4</f>
        <v>46054</v>
      </c>
      <c r="J11" s="147">
        <f>VLOOKUP(I11,Forecast!A$1:K$200,9)</f>
        <v>5177223</v>
      </c>
      <c r="K11" s="147">
        <f>VLOOKUP(I11,Forecast!A$1:K$200,10)</f>
        <v>16375</v>
      </c>
      <c r="L11" s="350">
        <f>SUM(J11:K11)</f>
        <v>5193598</v>
      </c>
      <c r="M11" s="35"/>
      <c r="N11" s="68">
        <f>VLOOKUP($I11,Forecast!$A$10:$J$224,9,FALSE)</f>
        <v>5177223</v>
      </c>
      <c r="O11" s="3">
        <f>J11-N11</f>
        <v>0</v>
      </c>
      <c r="P11" s="68">
        <f>VLOOKUP($I11,Forecast!$A$10:$J$224,10,FALSE)</f>
        <v>16375</v>
      </c>
      <c r="Q11" s="3">
        <f>K11-P11</f>
        <v>0</v>
      </c>
    </row>
    <row r="12" spans="1:17" ht="15.75" customHeight="1" x14ac:dyDescent="0.25">
      <c r="A12" s="39"/>
      <c r="B12" s="578"/>
      <c r="C12" s="39"/>
      <c r="D12" s="71"/>
      <c r="E12" s="71"/>
      <c r="F12" s="71"/>
      <c r="G12" s="508"/>
      <c r="I12" s="349"/>
      <c r="J12" s="147"/>
      <c r="K12" s="147"/>
      <c r="L12" s="350"/>
      <c r="M12" s="35"/>
      <c r="N12" s="68"/>
      <c r="P12" s="68"/>
    </row>
    <row r="13" spans="1:17" ht="15.75" customHeight="1" x14ac:dyDescent="0.25">
      <c r="A13" s="39">
        <v>1</v>
      </c>
      <c r="B13" s="578">
        <f>'Input Data'!C7</f>
        <v>45870</v>
      </c>
      <c r="C13" s="13" t="str">
        <f>VLOOKUP(B13,'Case Database'!$A$5:$H$200,3,FALSE)</f>
        <v>2025-00188</v>
      </c>
      <c r="D13" s="71">
        <f>'Ex B-1 2 of 7'!J21</f>
        <v>1599052</v>
      </c>
      <c r="E13" s="71">
        <f>'Ex B-1 5 of 7'!I31</f>
        <v>2058553</v>
      </c>
      <c r="F13" s="71">
        <f>E13-D13</f>
        <v>459501</v>
      </c>
      <c r="G13" s="71"/>
      <c r="H13" s="119"/>
      <c r="I13" s="67">
        <f>EOMONTH(I11,0)+1</f>
        <v>46082</v>
      </c>
      <c r="J13" s="147">
        <f>VLOOKUP(I13,Forecast!A$1:K$200,9)</f>
        <v>3881333</v>
      </c>
      <c r="K13" s="147">
        <f>VLOOKUP(I13,Forecast!A$1:K$200,10)</f>
        <v>13657</v>
      </c>
      <c r="L13" s="350">
        <f t="shared" ref="L13:L23" si="0">SUM(J13:K13)</f>
        <v>3894990</v>
      </c>
      <c r="M13" s="35"/>
      <c r="N13" s="68">
        <f>VLOOKUP($I13,Forecast!$A$10:$J$224,9,FALSE)</f>
        <v>3881333</v>
      </c>
      <c r="O13" s="3">
        <f t="shared" ref="O13:O23" si="1">J13-N13</f>
        <v>0</v>
      </c>
      <c r="P13" s="68">
        <f>VLOOKUP($I13,Forecast!$A$10:$J$224,10,FALSE)</f>
        <v>13657</v>
      </c>
      <c r="Q13" s="3">
        <f t="shared" ref="Q13:Q23" si="2">K13-P13</f>
        <v>0</v>
      </c>
    </row>
    <row r="14" spans="1:17" ht="15.75" customHeight="1" x14ac:dyDescent="0.25">
      <c r="A14" s="39">
        <v>2</v>
      </c>
      <c r="B14" s="578">
        <f>EDATE(B13,1)</f>
        <v>45901</v>
      </c>
      <c r="C14" s="13" t="str">
        <f>C13</f>
        <v>2025-00188</v>
      </c>
      <c r="D14" s="71">
        <f>'Ex B-1 2 of 7'!J22</f>
        <v>3623259</v>
      </c>
      <c r="E14" s="71">
        <f>'Ex B-1 5 of 7'!I32</f>
        <v>2279187</v>
      </c>
      <c r="F14" s="71">
        <f>E14-D14</f>
        <v>-1344072</v>
      </c>
      <c r="G14" s="119"/>
      <c r="H14" s="121"/>
      <c r="I14" s="67">
        <f t="shared" ref="I14:I23" si="3">EOMONTH(I13,0)+1</f>
        <v>46113</v>
      </c>
      <c r="J14" s="147">
        <f>VLOOKUP(I14,Forecast!A$1:K$200,9)</f>
        <v>2063154</v>
      </c>
      <c r="K14" s="147">
        <f>VLOOKUP(I14,Forecast!A$1:K$200,10)</f>
        <v>18732</v>
      </c>
      <c r="L14" s="350">
        <f t="shared" si="0"/>
        <v>2081886</v>
      </c>
      <c r="M14" s="35"/>
      <c r="N14" s="68">
        <f>VLOOKUP($I14,Forecast!$A$10:$J$224,9,FALSE)</f>
        <v>2063154</v>
      </c>
      <c r="O14" s="3">
        <f t="shared" si="1"/>
        <v>0</v>
      </c>
      <c r="P14" s="68">
        <f>VLOOKUP($I14,Forecast!$A$10:$J$224,10,FALSE)</f>
        <v>18732</v>
      </c>
      <c r="Q14" s="3">
        <f t="shared" si="2"/>
        <v>0</v>
      </c>
    </row>
    <row r="15" spans="1:17" ht="15.75" customHeight="1" x14ac:dyDescent="0.25">
      <c r="A15" s="39">
        <v>3</v>
      </c>
      <c r="B15" s="578">
        <f>EDATE(B14,1)</f>
        <v>45931</v>
      </c>
      <c r="C15" s="120" t="str">
        <f>C14</f>
        <v>2025-00188</v>
      </c>
      <c r="D15" s="71">
        <f>'Ex B-1 2 of 7'!J23</f>
        <v>4217501</v>
      </c>
      <c r="E15" s="71">
        <f>'Ex B-1 5 of 7'!I33</f>
        <v>5139186</v>
      </c>
      <c r="F15" s="71">
        <f>E15-D15</f>
        <v>921685</v>
      </c>
      <c r="G15" s="119"/>
      <c r="H15" s="121"/>
      <c r="I15" s="67">
        <f t="shared" si="3"/>
        <v>46143</v>
      </c>
      <c r="J15" s="147">
        <f>VLOOKUP(I15,Forecast!A$1:K$200,9)</f>
        <v>1098578</v>
      </c>
      <c r="K15" s="147">
        <f>VLOOKUP(I15,Forecast!A$1:K$200,10)</f>
        <v>19754</v>
      </c>
      <c r="L15" s="350">
        <f t="shared" si="0"/>
        <v>1118332</v>
      </c>
      <c r="M15" s="35"/>
      <c r="N15" s="68">
        <f>VLOOKUP($I15,Forecast!$A$10:$J$224,9,FALSE)</f>
        <v>1098578</v>
      </c>
      <c r="O15" s="3">
        <f t="shared" si="1"/>
        <v>0</v>
      </c>
      <c r="P15" s="68">
        <f>VLOOKUP($I15,Forecast!$A$10:$J$224,10,FALSE)</f>
        <v>19754</v>
      </c>
      <c r="Q15" s="3">
        <f t="shared" si="2"/>
        <v>0</v>
      </c>
    </row>
    <row r="16" spans="1:17" ht="15.75" customHeight="1" x14ac:dyDescent="0.25">
      <c r="A16" s="13">
        <v>4</v>
      </c>
      <c r="B16" s="578">
        <f>EDATE(B15,1)</f>
        <v>45962</v>
      </c>
      <c r="C16" s="120" t="s">
        <v>265</v>
      </c>
      <c r="D16" s="579">
        <f>'Ex B-1 2 of 7'!J24</f>
        <v>5737957</v>
      </c>
      <c r="E16" s="579">
        <f>'Ex B-1 5 of 7'!I34</f>
        <v>0</v>
      </c>
      <c r="F16" s="579">
        <f>E16-D16</f>
        <v>-5737957</v>
      </c>
      <c r="G16" s="119"/>
      <c r="H16" s="121"/>
      <c r="I16" s="67">
        <f t="shared" si="3"/>
        <v>46174</v>
      </c>
      <c r="J16" s="147">
        <f>VLOOKUP(I16,Forecast!A$1:K$200,9)</f>
        <v>724273</v>
      </c>
      <c r="K16" s="147">
        <f>VLOOKUP(I16,Forecast!A$1:K$200,10)</f>
        <v>20001</v>
      </c>
      <c r="L16" s="350">
        <f t="shared" si="0"/>
        <v>744274</v>
      </c>
      <c r="M16" s="35"/>
      <c r="N16" s="68">
        <f>VLOOKUP($I16,Forecast!$A$10:$J$224,9,FALSE)</f>
        <v>724273</v>
      </c>
      <c r="O16" s="3">
        <f t="shared" si="1"/>
        <v>0</v>
      </c>
      <c r="P16" s="68">
        <f>VLOOKUP($I16,Forecast!$A$10:$J$224,10,FALSE)</f>
        <v>20001</v>
      </c>
      <c r="Q16" s="3">
        <f t="shared" si="2"/>
        <v>0</v>
      </c>
    </row>
    <row r="17" spans="1:17" ht="15.75" customHeight="1" x14ac:dyDescent="0.25">
      <c r="A17" s="13">
        <v>5</v>
      </c>
      <c r="B17" s="580"/>
      <c r="C17" s="120"/>
      <c r="D17" s="71">
        <f>(SUM(D13:D16))</f>
        <v>15177769</v>
      </c>
      <c r="E17" s="71">
        <f>(SUM(E13:E16))</f>
        <v>9476926</v>
      </c>
      <c r="F17" s="71">
        <f>(SUM(F13:F16))</f>
        <v>-5700843</v>
      </c>
      <c r="G17" s="119"/>
      <c r="H17" s="121"/>
      <c r="I17" s="67">
        <f t="shared" si="3"/>
        <v>46204</v>
      </c>
      <c r="J17" s="147">
        <f>VLOOKUP(I17,Forecast!A$1:K$200,9)</f>
        <v>647121</v>
      </c>
      <c r="K17" s="147">
        <f>VLOOKUP(I17,Forecast!A$1:K$200,10)</f>
        <v>17463</v>
      </c>
      <c r="L17" s="350">
        <f t="shared" si="0"/>
        <v>664584</v>
      </c>
      <c r="M17" s="35"/>
      <c r="N17" s="68">
        <f>VLOOKUP($I17,Forecast!$A$10:$J$224,9,FALSE)</f>
        <v>647121</v>
      </c>
      <c r="O17" s="3">
        <f t="shared" si="1"/>
        <v>0</v>
      </c>
      <c r="P17" s="68">
        <f>VLOOKUP($I17,Forecast!$A$10:$J$224,10,FALSE)</f>
        <v>17463</v>
      </c>
      <c r="Q17" s="3">
        <f t="shared" si="2"/>
        <v>0</v>
      </c>
    </row>
    <row r="18" spans="1:17" ht="15.75" customHeight="1" x14ac:dyDescent="0.25">
      <c r="A18" s="13"/>
      <c r="B18" s="581"/>
      <c r="C18" s="581"/>
      <c r="D18" s="119"/>
      <c r="E18" s="119"/>
      <c r="F18" s="119"/>
      <c r="G18" s="119"/>
      <c r="I18" s="67">
        <f t="shared" si="3"/>
        <v>46235</v>
      </c>
      <c r="J18" s="147">
        <f>VLOOKUP(I18,Forecast!A$1:K$200,9)</f>
        <v>642493</v>
      </c>
      <c r="K18" s="147">
        <f>VLOOKUP(I18,Forecast!A$1:K$200,10)</f>
        <v>18163</v>
      </c>
      <c r="L18" s="350">
        <f t="shared" si="0"/>
        <v>660656</v>
      </c>
      <c r="M18" s="35"/>
      <c r="N18" s="68">
        <f>VLOOKUP($I18,Forecast!$A$10:$J$224,9,FALSE)</f>
        <v>642493</v>
      </c>
      <c r="O18" s="3">
        <f t="shared" si="1"/>
        <v>0</v>
      </c>
      <c r="P18" s="68">
        <f>VLOOKUP($I18,Forecast!$A$10:$J$224,10,FALSE)</f>
        <v>18163</v>
      </c>
      <c r="Q18" s="3">
        <f t="shared" si="2"/>
        <v>0</v>
      </c>
    </row>
    <row r="19" spans="1:17" ht="15.75" customHeight="1" x14ac:dyDescent="0.25">
      <c r="A19" s="13">
        <v>6</v>
      </c>
      <c r="B19" s="581"/>
      <c r="C19" s="46" t="s">
        <v>307</v>
      </c>
      <c r="D19" s="71">
        <f>F17</f>
        <v>-5700843</v>
      </c>
      <c r="E19" s="119"/>
      <c r="F19" s="119"/>
      <c r="G19" s="119"/>
      <c r="I19" s="67">
        <f t="shared" si="3"/>
        <v>46266</v>
      </c>
      <c r="J19" s="147">
        <f>VLOOKUP(I19,Forecast!A$1:K$200,9)</f>
        <v>709748</v>
      </c>
      <c r="K19" s="147">
        <f>VLOOKUP(I19,Forecast!A$1:K$200,10)</f>
        <v>17463</v>
      </c>
      <c r="L19" s="350">
        <f t="shared" si="0"/>
        <v>727211</v>
      </c>
      <c r="M19" s="35"/>
      <c r="N19" s="68">
        <f>VLOOKUP($I19,Forecast!$A$10:$J$224,9,FALSE)</f>
        <v>709748</v>
      </c>
      <c r="O19" s="3">
        <f t="shared" si="1"/>
        <v>0</v>
      </c>
      <c r="P19" s="68">
        <f>VLOOKUP($I19,Forecast!$A$10:$J$224,10,FALSE)</f>
        <v>17463</v>
      </c>
      <c r="Q19" s="3">
        <f t="shared" si="2"/>
        <v>0</v>
      </c>
    </row>
    <row r="20" spans="1:17" ht="15.75" customHeight="1" x14ac:dyDescent="0.25">
      <c r="A20" s="13"/>
      <c r="B20"/>
      <c r="C20" s="46"/>
      <c r="D20"/>
      <c r="E20"/>
      <c r="F20" s="119"/>
      <c r="G20" s="119"/>
      <c r="I20" s="67">
        <f t="shared" si="3"/>
        <v>46296</v>
      </c>
      <c r="J20" s="147">
        <f>VLOOKUP(I20,Forecast!A$1:K$200,9)</f>
        <v>1510796</v>
      </c>
      <c r="K20" s="147">
        <f>VLOOKUP(I20,Forecast!A$1:K$200,10)</f>
        <v>18198</v>
      </c>
      <c r="L20" s="350">
        <f t="shared" si="0"/>
        <v>1528994</v>
      </c>
      <c r="M20" s="35"/>
      <c r="N20" s="68">
        <f>VLOOKUP($I20,Forecast!$A$10:$J$224,9,FALSE)</f>
        <v>1510796</v>
      </c>
      <c r="O20" s="3">
        <f t="shared" si="1"/>
        <v>0</v>
      </c>
      <c r="P20" s="68">
        <f>VLOOKUP($I20,Forecast!$A$10:$J$224,10,FALSE)</f>
        <v>18198</v>
      </c>
      <c r="Q20" s="3">
        <f t="shared" si="2"/>
        <v>0</v>
      </c>
    </row>
    <row r="21" spans="1:17" ht="15.75" customHeight="1" x14ac:dyDescent="0.25">
      <c r="F21" s="119"/>
      <c r="G21" s="197"/>
      <c r="I21" s="67">
        <f t="shared" si="3"/>
        <v>46327</v>
      </c>
      <c r="J21" s="147">
        <f>VLOOKUP(I21,Forecast!A$1:K$200,9)</f>
        <v>3200076</v>
      </c>
      <c r="K21" s="147">
        <f>VLOOKUP(I21,Forecast!A$1:K$200,10)</f>
        <v>20507</v>
      </c>
      <c r="L21" s="350">
        <f t="shared" si="0"/>
        <v>3220583</v>
      </c>
      <c r="M21" s="35"/>
      <c r="N21" s="68">
        <f>VLOOKUP($I21,Forecast!$A$10:$J$224,9,FALSE)</f>
        <v>3200076</v>
      </c>
      <c r="O21" s="3">
        <f t="shared" si="1"/>
        <v>0</v>
      </c>
      <c r="P21" s="68">
        <f>VLOOKUP($I21,Forecast!$A$10:$J$224,10,FALSE)</f>
        <v>20507</v>
      </c>
      <c r="Q21" s="3">
        <f t="shared" si="2"/>
        <v>0</v>
      </c>
    </row>
    <row r="22" spans="1:17" ht="15.75" customHeight="1" x14ac:dyDescent="0.25">
      <c r="A22" s="13">
        <v>7</v>
      </c>
      <c r="B22" s="581"/>
      <c r="C22" s="46" t="s">
        <v>316</v>
      </c>
      <c r="E22" s="582"/>
      <c r="F22" s="583"/>
      <c r="G22" s="1"/>
      <c r="I22" s="67">
        <f t="shared" si="3"/>
        <v>46357</v>
      </c>
      <c r="J22" s="147">
        <f>VLOOKUP(I22,Forecast!A$1:K$200,9)</f>
        <v>5086307</v>
      </c>
      <c r="K22" s="147">
        <f>VLOOKUP(I22,Forecast!A$1:K$200,10)</f>
        <v>18913</v>
      </c>
      <c r="L22" s="350">
        <f t="shared" si="0"/>
        <v>5105220</v>
      </c>
      <c r="M22" s="35"/>
      <c r="N22" s="68">
        <f>VLOOKUP($I22,Forecast!$A$10:$J$224,9,FALSE)</f>
        <v>5086307</v>
      </c>
      <c r="O22" s="3">
        <f t="shared" si="1"/>
        <v>0</v>
      </c>
      <c r="P22" s="68">
        <f>VLOOKUP($I22,Forecast!$A$10:$J$224,10,FALSE)</f>
        <v>18913</v>
      </c>
      <c r="Q22" s="3">
        <f t="shared" si="2"/>
        <v>0</v>
      </c>
    </row>
    <row r="23" spans="1:17" ht="15.75" customHeight="1" x14ac:dyDescent="0.25">
      <c r="A23" s="13">
        <v>8</v>
      </c>
      <c r="B23" s="581"/>
      <c r="C23" s="46" t="s">
        <v>317</v>
      </c>
      <c r="D23" s="47">
        <f>L26</f>
        <v>31131994</v>
      </c>
      <c r="E23" s="582"/>
      <c r="F23" s="119"/>
      <c r="G23" s="1"/>
      <c r="I23" s="67">
        <f t="shared" si="3"/>
        <v>46388</v>
      </c>
      <c r="J23" s="147">
        <f>VLOOKUP(I23,Forecast!A$1:K$200,9)</f>
        <v>6175111</v>
      </c>
      <c r="K23" s="147">
        <f>VLOOKUP(I23,Forecast!A$1:K$200,10)</f>
        <v>16555</v>
      </c>
      <c r="L23" s="350">
        <f t="shared" si="0"/>
        <v>6191666</v>
      </c>
      <c r="M23" s="35"/>
      <c r="N23" s="420">
        <f>VLOOKUP($I23,Forecast!$A$10:$J$224,9,FALSE)</f>
        <v>6175111</v>
      </c>
      <c r="O23" s="383">
        <f t="shared" si="1"/>
        <v>0</v>
      </c>
      <c r="P23" s="420">
        <f>VLOOKUP($I23,Forecast!$A$10:$J$224,10,FALSE)</f>
        <v>16555</v>
      </c>
      <c r="Q23" s="383">
        <f t="shared" si="2"/>
        <v>0</v>
      </c>
    </row>
    <row r="24" spans="1:17" ht="15.75" customHeight="1" x14ac:dyDescent="0.25">
      <c r="E24" s="119"/>
      <c r="F24" s="119"/>
      <c r="G24" s="1"/>
      <c r="I24" s="351"/>
      <c r="J24" s="30"/>
      <c r="K24" s="30"/>
      <c r="L24" s="352"/>
      <c r="M24" s="35"/>
      <c r="N24" s="147">
        <f>SUM(N11:N23)</f>
        <v>30916213</v>
      </c>
      <c r="P24" s="147">
        <f>SUM(P11:P23)</f>
        <v>215781</v>
      </c>
    </row>
    <row r="25" spans="1:17" ht="16.5" thickBot="1" x14ac:dyDescent="0.3">
      <c r="A25" s="13">
        <v>9</v>
      </c>
      <c r="B25" s="581"/>
      <c r="C25" s="46" t="s">
        <v>315</v>
      </c>
      <c r="D25" s="81">
        <f>ROUND((D19)/D23,4)</f>
        <v>-0.18310000000000001</v>
      </c>
      <c r="E25" s="119"/>
      <c r="F25" s="119"/>
      <c r="I25" s="351"/>
      <c r="J25" s="30"/>
      <c r="K25" s="30"/>
      <c r="L25" s="352"/>
      <c r="M25" s="35"/>
      <c r="N25" s="34"/>
      <c r="P25" s="34"/>
      <c r="Q25" s="34"/>
    </row>
    <row r="26" spans="1:17" ht="15.75" customHeight="1" thickBot="1" x14ac:dyDescent="0.3">
      <c r="A26" s="13">
        <v>10</v>
      </c>
      <c r="B26" s="581"/>
      <c r="C26" s="46" t="s">
        <v>318</v>
      </c>
      <c r="D26" s="122">
        <f>ROUND(D25/10,5)</f>
        <v>-1.831E-2</v>
      </c>
      <c r="E26" s="1"/>
      <c r="F26" s="1"/>
      <c r="H26" s="1"/>
      <c r="I26" s="353"/>
      <c r="J26" s="354"/>
      <c r="K26" s="355"/>
      <c r="L26" s="356">
        <f>SUM(L11:L24)</f>
        <v>31131994</v>
      </c>
      <c r="M26" s="28"/>
      <c r="N26" s="147">
        <f>N24+P24</f>
        <v>31131994</v>
      </c>
      <c r="O26" s="3">
        <f>L26-N26</f>
        <v>0</v>
      </c>
      <c r="P26" s="34"/>
    </row>
    <row r="27" spans="1:17" ht="15.75" customHeight="1" x14ac:dyDescent="0.25">
      <c r="A27" s="13"/>
      <c r="B27" s="1"/>
      <c r="C27" s="46"/>
      <c r="D27" s="584"/>
      <c r="E27" s="1"/>
      <c r="F27" s="1"/>
      <c r="H27" s="1"/>
      <c r="M27" s="28"/>
    </row>
    <row r="28" spans="1:17" ht="15.75" customHeight="1" x14ac:dyDescent="0.25">
      <c r="A28" s="13"/>
      <c r="D28" s="1"/>
      <c r="E28" s="1"/>
      <c r="F28" s="1"/>
    </row>
    <row r="29" spans="1:17" x14ac:dyDescent="0.25">
      <c r="A29" s="13"/>
      <c r="D29" s="1"/>
    </row>
    <row r="30" spans="1:17" ht="18.75" x14ac:dyDescent="0.25">
      <c r="A30" s="13"/>
      <c r="B30" s="585" t="s">
        <v>391</v>
      </c>
      <c r="C30" s="1"/>
    </row>
    <row r="31" spans="1:17" ht="18.75" x14ac:dyDescent="0.25">
      <c r="B31" s="585" t="s">
        <v>462</v>
      </c>
      <c r="C31" s="1"/>
    </row>
    <row r="32" spans="1:17" ht="18.75" x14ac:dyDescent="0.25">
      <c r="B32" s="3" t="s">
        <v>473</v>
      </c>
    </row>
    <row r="46" ht="15.75" customHeight="1" x14ac:dyDescent="0.25"/>
    <row r="59" s="3" customFormat="1" x14ac:dyDescent="0.25"/>
    <row r="60" s="3" customFormat="1" x14ac:dyDescent="0.25"/>
    <row r="61" s="3" customFormat="1" x14ac:dyDescent="0.25"/>
    <row r="62" s="3" customFormat="1" x14ac:dyDescent="0.25"/>
    <row r="63" s="3" customFormat="1" x14ac:dyDescent="0.25"/>
    <row r="64" s="3" customFormat="1" x14ac:dyDescent="0.25"/>
    <row r="65" s="3" customFormat="1" x14ac:dyDescent="0.25"/>
    <row r="66" s="3" customFormat="1" x14ac:dyDescent="0.25"/>
    <row r="67" s="3" customFormat="1" x14ac:dyDescent="0.25"/>
    <row r="68" s="3" customFormat="1" x14ac:dyDescent="0.25"/>
    <row r="69" s="3" customFormat="1" x14ac:dyDescent="0.25"/>
    <row r="70" s="3" customFormat="1" x14ac:dyDescent="0.25"/>
    <row r="71" s="3" customFormat="1" x14ac:dyDescent="0.25"/>
    <row r="72" s="3" customFormat="1" x14ac:dyDescent="0.25"/>
    <row r="73" s="3" customFormat="1" x14ac:dyDescent="0.25"/>
    <row r="74" s="3" customFormat="1" x14ac:dyDescent="0.25"/>
    <row r="75" s="3" customFormat="1" x14ac:dyDescent="0.25"/>
    <row r="76" s="3" customFormat="1" x14ac:dyDescent="0.25"/>
    <row r="77" s="3" customFormat="1" x14ac:dyDescent="0.25"/>
    <row r="78" s="3" customFormat="1" x14ac:dyDescent="0.25"/>
    <row r="79" s="3" customFormat="1" x14ac:dyDescent="0.25"/>
    <row r="80" s="3" customFormat="1" x14ac:dyDescent="0.25"/>
    <row r="81" s="3" customFormat="1" x14ac:dyDescent="0.25"/>
    <row r="82" s="3" customFormat="1" x14ac:dyDescent="0.25"/>
    <row r="83" s="3" customFormat="1" x14ac:dyDescent="0.25"/>
    <row r="84" s="3" customFormat="1" x14ac:dyDescent="0.25"/>
    <row r="85" s="3" customFormat="1" x14ac:dyDescent="0.25"/>
    <row r="86" s="3" customFormat="1" x14ac:dyDescent="0.25"/>
    <row r="87" s="3" customFormat="1" x14ac:dyDescent="0.25"/>
    <row r="88" s="3" customFormat="1" x14ac:dyDescent="0.25"/>
    <row r="89" s="3" customFormat="1" x14ac:dyDescent="0.25"/>
    <row r="90" s="3" customFormat="1" x14ac:dyDescent="0.25"/>
    <row r="91" s="3" customFormat="1" x14ac:dyDescent="0.25"/>
    <row r="92" s="3" customFormat="1" x14ac:dyDescent="0.25"/>
    <row r="93" s="3" customFormat="1" x14ac:dyDescent="0.25"/>
    <row r="94" s="3" customFormat="1" x14ac:dyDescent="0.25"/>
    <row r="95" s="3" customFormat="1" x14ac:dyDescent="0.25"/>
    <row r="96" s="3" customFormat="1" x14ac:dyDescent="0.25"/>
    <row r="97" s="3" customFormat="1" x14ac:dyDescent="0.25"/>
    <row r="98" s="3" customFormat="1" x14ac:dyDescent="0.25"/>
    <row r="99" s="3" customFormat="1" x14ac:dyDescent="0.25"/>
    <row r="100" s="3" customFormat="1" x14ac:dyDescent="0.25"/>
    <row r="101" s="3" customFormat="1" x14ac:dyDescent="0.25"/>
    <row r="102" s="3" customFormat="1" x14ac:dyDescent="0.25"/>
    <row r="103" s="3" customFormat="1" x14ac:dyDescent="0.25"/>
    <row r="104" s="3" customFormat="1" x14ac:dyDescent="0.25"/>
    <row r="105" s="3" customFormat="1" x14ac:dyDescent="0.25"/>
    <row r="106" s="3" customFormat="1" x14ac:dyDescent="0.25"/>
    <row r="107" s="3" customFormat="1" x14ac:dyDescent="0.25"/>
    <row r="108" s="3" customFormat="1" x14ac:dyDescent="0.25"/>
    <row r="109" s="3" customFormat="1" x14ac:dyDescent="0.25"/>
    <row r="110" s="3" customFormat="1" x14ac:dyDescent="0.25"/>
    <row r="111" s="3" customFormat="1" x14ac:dyDescent="0.25"/>
  </sheetData>
  <mergeCells count="7">
    <mergeCell ref="I9:L9"/>
    <mergeCell ref="I8:L8"/>
    <mergeCell ref="A1:F1"/>
    <mergeCell ref="A2:F2"/>
    <mergeCell ref="A3:F3"/>
    <mergeCell ref="A4:F4"/>
    <mergeCell ref="A5:F5"/>
  </mergeCells>
  <phoneticPr fontId="4" type="noConversion"/>
  <pageMargins left="0.7" right="0.7" top="0.75" bottom="0.75" header="0.3" footer="0.3"/>
  <pageSetup scale="78" orientation="portrait" r:id="rId1"/>
  <headerFooter>
    <oddHeader>&amp;R&amp;"Times New Roman,Bold"Exhibit B-1
Page 1 of 7</oddHead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tabColor theme="3" tint="0.59999389629810485"/>
    <pageSetUpPr fitToPage="1"/>
  </sheetPr>
  <dimension ref="A1:U55"/>
  <sheetViews>
    <sheetView zoomScale="80" zoomScaleNormal="80" workbookViewId="0">
      <selection sqref="A1:N1"/>
    </sheetView>
  </sheetViews>
  <sheetFormatPr defaultColWidth="9.21875" defaultRowHeight="15" x14ac:dyDescent="0.25"/>
  <cols>
    <col min="1" max="1" width="7" style="2" customWidth="1"/>
    <col min="2" max="2" width="14.88671875" style="2" customWidth="1"/>
    <col min="3" max="3" width="3.21875" style="2" customWidth="1"/>
    <col min="4" max="4" width="13.33203125" style="2" customWidth="1"/>
    <col min="5" max="5" width="3" style="2" customWidth="1"/>
    <col min="6" max="6" width="13" style="2" customWidth="1"/>
    <col min="7" max="7" width="2.21875" style="2" customWidth="1"/>
    <col min="8" max="8" width="10.6640625" style="2" customWidth="1"/>
    <col min="9" max="9" width="2.33203125" style="2" customWidth="1"/>
    <col min="10" max="10" width="14.88671875" style="2" customWidth="1"/>
    <col min="11" max="11" width="2.44140625" style="2" customWidth="1"/>
    <col min="12" max="12" width="12.33203125" style="2" customWidth="1"/>
    <col min="13" max="13" width="11.88671875" style="2" customWidth="1"/>
    <col min="14" max="14" width="16.109375" style="2" customWidth="1"/>
    <col min="15" max="15" width="13.6640625" style="2" customWidth="1"/>
    <col min="16" max="16" width="11.33203125" style="2" customWidth="1"/>
    <col min="17" max="17" width="15.77734375" style="2" customWidth="1"/>
    <col min="18" max="19" width="13.21875" style="2" customWidth="1"/>
    <col min="20" max="20" width="8.77734375" style="2" customWidth="1"/>
    <col min="21" max="21" width="18" style="2" customWidth="1"/>
    <col min="22" max="16384" width="9.21875" style="2"/>
  </cols>
  <sheetData>
    <row r="1" spans="1:21" ht="18.75" x14ac:dyDescent="0.3">
      <c r="A1" s="635" t="s">
        <v>5</v>
      </c>
      <c r="B1" s="635"/>
      <c r="C1" s="635"/>
      <c r="D1" s="635"/>
      <c r="E1" s="635"/>
      <c r="F1" s="635"/>
      <c r="G1" s="635"/>
      <c r="H1" s="635"/>
      <c r="I1" s="635"/>
      <c r="J1" s="635"/>
      <c r="K1" s="635"/>
      <c r="L1" s="635"/>
      <c r="M1" s="635"/>
      <c r="N1" s="635"/>
      <c r="O1" s="136"/>
      <c r="P1" s="136"/>
      <c r="Q1" s="136"/>
      <c r="R1" s="136"/>
      <c r="S1" s="136"/>
      <c r="T1" s="136"/>
      <c r="U1" s="136"/>
    </row>
    <row r="2" spans="1:21" ht="18.75" x14ac:dyDescent="0.3">
      <c r="A2" s="623" t="s">
        <v>291</v>
      </c>
      <c r="B2" s="623"/>
      <c r="C2" s="623"/>
      <c r="D2" s="623"/>
      <c r="E2" s="623"/>
      <c r="F2" s="623"/>
      <c r="G2" s="623"/>
      <c r="H2" s="623"/>
      <c r="I2" s="623"/>
      <c r="J2" s="623"/>
      <c r="K2" s="623"/>
      <c r="L2" s="623"/>
      <c r="M2" s="623"/>
      <c r="N2" s="623"/>
      <c r="O2" s="86"/>
      <c r="P2" s="86"/>
      <c r="Q2" s="86"/>
      <c r="R2" s="86"/>
      <c r="S2" s="86"/>
      <c r="T2" s="86"/>
      <c r="U2" s="86"/>
    </row>
    <row r="3" spans="1:21" ht="18.75" x14ac:dyDescent="0.3">
      <c r="A3" s="623" t="s">
        <v>292</v>
      </c>
      <c r="B3" s="623"/>
      <c r="C3" s="623"/>
      <c r="D3" s="623"/>
      <c r="E3" s="623"/>
      <c r="F3" s="623"/>
      <c r="G3" s="623"/>
      <c r="H3" s="623"/>
      <c r="I3" s="623"/>
      <c r="J3" s="623"/>
      <c r="K3" s="623"/>
      <c r="L3" s="623"/>
      <c r="M3" s="623"/>
      <c r="N3" s="623"/>
      <c r="O3" s="86"/>
      <c r="P3" s="86"/>
      <c r="Q3" s="86"/>
      <c r="R3" s="86"/>
      <c r="S3" s="86"/>
      <c r="T3" s="86"/>
      <c r="U3" s="86"/>
    </row>
    <row r="4" spans="1:21" ht="18.75" x14ac:dyDescent="0.3">
      <c r="A4" s="623" t="str">
        <f>CONCATENATE("For Service Rendered On and After ",'Input Data'!$D$4)</f>
        <v>For Service Rendered On and After February 1, 2026</v>
      </c>
      <c r="B4" s="623"/>
      <c r="C4" s="623"/>
      <c r="D4" s="623"/>
      <c r="E4" s="623"/>
      <c r="F4" s="623"/>
      <c r="G4" s="623"/>
      <c r="H4" s="623"/>
      <c r="I4" s="623"/>
      <c r="J4" s="623"/>
      <c r="K4" s="623"/>
      <c r="L4" s="623"/>
      <c r="M4" s="623"/>
      <c r="N4" s="623"/>
      <c r="O4" s="86"/>
      <c r="P4" s="86"/>
      <c r="Q4" s="86"/>
      <c r="R4" s="86"/>
      <c r="S4" s="86"/>
      <c r="T4" s="86"/>
      <c r="U4" s="86"/>
    </row>
    <row r="5" spans="1:21" ht="15.75" x14ac:dyDescent="0.25">
      <c r="A5" s="3"/>
      <c r="B5" s="3"/>
      <c r="C5" s="3"/>
      <c r="D5" s="3"/>
      <c r="E5" s="3"/>
      <c r="F5" s="3"/>
      <c r="G5" s="3"/>
      <c r="H5" s="3"/>
      <c r="I5" s="3"/>
      <c r="J5" s="13"/>
      <c r="K5" s="3"/>
      <c r="L5" s="13"/>
      <c r="M5" s="238"/>
    </row>
    <row r="6" spans="1:21" ht="87" customHeight="1" x14ac:dyDescent="0.25">
      <c r="A6" s="65" t="s">
        <v>245</v>
      </c>
      <c r="B6" s="502" t="s">
        <v>346</v>
      </c>
      <c r="C6" s="502"/>
      <c r="D6" s="65" t="s">
        <v>308</v>
      </c>
      <c r="E6" s="65"/>
      <c r="F6" s="65" t="s">
        <v>116</v>
      </c>
      <c r="G6" s="65"/>
      <c r="H6" s="502" t="s">
        <v>367</v>
      </c>
      <c r="I6" s="502"/>
      <c r="J6" s="502" t="s">
        <v>359</v>
      </c>
      <c r="K6" s="3"/>
      <c r="L6" s="502" t="s">
        <v>266</v>
      </c>
      <c r="M6" s="290" t="s">
        <v>440</v>
      </c>
      <c r="N6" s="118" t="s">
        <v>262</v>
      </c>
    </row>
    <row r="7" spans="1:21" ht="34.5" customHeight="1" x14ac:dyDescent="0.25">
      <c r="A7" s="39" t="s">
        <v>60</v>
      </c>
      <c r="B7" s="39" t="s">
        <v>61</v>
      </c>
      <c r="C7" s="39"/>
      <c r="D7" s="39" t="s">
        <v>62</v>
      </c>
      <c r="F7" s="39" t="s">
        <v>63</v>
      </c>
      <c r="G7" s="39"/>
      <c r="H7" s="39" t="s">
        <v>64</v>
      </c>
      <c r="I7" s="3"/>
      <c r="J7" s="39" t="s">
        <v>65</v>
      </c>
      <c r="L7" s="291" t="s">
        <v>66</v>
      </c>
      <c r="M7" s="291" t="s">
        <v>111</v>
      </c>
      <c r="N7" s="39" t="s">
        <v>491</v>
      </c>
      <c r="Q7"/>
      <c r="R7"/>
    </row>
    <row r="8" spans="1:21" ht="15.75" x14ac:dyDescent="0.25">
      <c r="A8" s="46"/>
      <c r="B8" s="292"/>
      <c r="C8" s="292"/>
      <c r="D8" s="292"/>
      <c r="E8" s="292"/>
      <c r="F8" s="292"/>
      <c r="G8" s="292"/>
      <c r="H8" s="292"/>
      <c r="I8" s="292"/>
      <c r="K8" s="1"/>
      <c r="L8" s="3"/>
      <c r="Q8"/>
      <c r="R8"/>
    </row>
    <row r="9" spans="1:21" ht="15.75" x14ac:dyDescent="0.25">
      <c r="A9" s="465"/>
      <c r="B9" s="120"/>
      <c r="C9" s="292"/>
      <c r="D9" s="292"/>
      <c r="E9" s="292"/>
      <c r="F9" s="120"/>
      <c r="G9" s="292"/>
      <c r="H9" s="292"/>
      <c r="I9" s="292"/>
      <c r="K9" s="1"/>
      <c r="L9" s="3"/>
      <c r="Q9"/>
      <c r="R9"/>
    </row>
    <row r="10" spans="1:21" ht="18.75" x14ac:dyDescent="0.25">
      <c r="A10" s="13">
        <v>1</v>
      </c>
      <c r="B10" s="120">
        <f>'Input Data'!C7</f>
        <v>45870</v>
      </c>
      <c r="C10" s="120"/>
      <c r="D10" s="120" t="s">
        <v>362</v>
      </c>
      <c r="E10" s="120"/>
      <c r="F10" s="120" t="str">
        <f>'Ex B-1 1 of 7'!C13</f>
        <v>2025-00188</v>
      </c>
      <c r="G10" s="120"/>
      <c r="H10" s="293">
        <f>VLOOKUP($B10,'Sales Volumes'!$A$1:$H$150,2,FALSE)</f>
        <v>653711.80000000005</v>
      </c>
      <c r="I10" s="294">
        <v>1</v>
      </c>
      <c r="J10" s="295">
        <f>VLOOKUP($B10,'Sales Volumes'!$A$1:$H$150,4,FALSE)</f>
        <v>302897.40000000002</v>
      </c>
      <c r="K10" s="294">
        <v>2</v>
      </c>
      <c r="L10" s="296">
        <f>VLOOKUP(F10,'Case Database'!C3:E200,2)</f>
        <v>5.1597</v>
      </c>
      <c r="M10" s="123">
        <f>'Ex B-1 3 of 7'!L13</f>
        <v>0</v>
      </c>
      <c r="N10" s="123">
        <f>ROUND(J10*L10,0)+M10</f>
        <v>1562860</v>
      </c>
      <c r="Q10"/>
      <c r="R10"/>
    </row>
    <row r="11" spans="1:21" ht="18.75" x14ac:dyDescent="0.25">
      <c r="A11" s="13">
        <v>2</v>
      </c>
      <c r="B11" s="120">
        <f>EDATE(B10,1)</f>
        <v>45901</v>
      </c>
      <c r="C11" s="120"/>
      <c r="D11" s="120"/>
      <c r="E11" s="120"/>
      <c r="F11" s="120" t="str">
        <f>F10</f>
        <v>2025-00188</v>
      </c>
      <c r="G11" s="120"/>
      <c r="H11" s="293">
        <f>VLOOKUP($B11,'Sales Volumes'!$A$1:$H$150,2,FALSE)</f>
        <v>687884.6</v>
      </c>
      <c r="I11" s="297"/>
      <c r="J11" s="295">
        <f>H11</f>
        <v>687884.6</v>
      </c>
      <c r="K11" s="148"/>
      <c r="L11" s="296">
        <f>$L$10</f>
        <v>5.1597</v>
      </c>
      <c r="M11" s="123">
        <f>'Ex B-1 3 of 7'!L14</f>
        <v>0</v>
      </c>
      <c r="N11" s="123">
        <f>ROUND(J11*L11,0)+M11</f>
        <v>3549278</v>
      </c>
      <c r="Q11"/>
      <c r="R11"/>
    </row>
    <row r="12" spans="1:21" ht="18.75" x14ac:dyDescent="0.25">
      <c r="A12" s="13">
        <v>3</v>
      </c>
      <c r="B12" s="120">
        <f>EDATE(B11,1)</f>
        <v>45931</v>
      </c>
      <c r="C12" s="120"/>
      <c r="D12" s="120"/>
      <c r="E12" s="120"/>
      <c r="F12" s="120" t="str">
        <f>F10</f>
        <v>2025-00188</v>
      </c>
      <c r="G12" s="120"/>
      <c r="H12" s="293">
        <f>VLOOKUP($B12,'Sales Volumes'!$A$1:$H$150,2,FALSE)</f>
        <v>795807.3</v>
      </c>
      <c r="I12" s="297"/>
      <c r="J12" s="295">
        <f>H12</f>
        <v>795807.3</v>
      </c>
      <c r="K12" s="148"/>
      <c r="L12" s="296">
        <f>$L$10</f>
        <v>5.1597</v>
      </c>
      <c r="M12" s="123">
        <f>'Ex B-1 3 of 7'!L15</f>
        <v>0</v>
      </c>
      <c r="N12" s="123">
        <f>ROUND(J12*L12,0)+M12</f>
        <v>4106127</v>
      </c>
      <c r="Q12"/>
      <c r="R12"/>
    </row>
    <row r="13" spans="1:21" ht="18.75" x14ac:dyDescent="0.25">
      <c r="A13" s="13">
        <v>4</v>
      </c>
      <c r="B13" s="120">
        <f>EDATE(B12,1)</f>
        <v>45962</v>
      </c>
      <c r="C13" s="120"/>
      <c r="D13" s="120" t="s">
        <v>362</v>
      </c>
      <c r="E13" s="120"/>
      <c r="F13" s="120" t="str">
        <f>F10</f>
        <v>2025-00188</v>
      </c>
      <c r="G13" s="120"/>
      <c r="H13" s="293">
        <f>VLOOKUP($B13,'Sales Volumes'!$A$1:$H$150,2,FALSE)</f>
        <v>2013138</v>
      </c>
      <c r="I13" s="294">
        <v>1</v>
      </c>
      <c r="J13" s="298">
        <f>VLOOKUP($B13,'Sales Volumes'!$A$1:$H$150,3,FALSE)</f>
        <v>1112071.8</v>
      </c>
      <c r="K13" s="294">
        <v>2</v>
      </c>
      <c r="L13" s="296">
        <f>$L$10</f>
        <v>5.1597</v>
      </c>
      <c r="M13" s="299"/>
      <c r="N13" s="300">
        <f>ROUND(J13*L13,0)+M13</f>
        <v>5737957</v>
      </c>
    </row>
    <row r="14" spans="1:21" ht="18" customHeight="1" x14ac:dyDescent="0.25">
      <c r="A14" s="13">
        <v>5</v>
      </c>
      <c r="I14" s="1"/>
      <c r="J14" s="301">
        <f>SUM(J10:J13)</f>
        <v>2898661.1</v>
      </c>
      <c r="K14" s="302"/>
      <c r="L14" s="46"/>
      <c r="M14" s="123">
        <f>SUM(M10:M13)</f>
        <v>0</v>
      </c>
      <c r="N14" s="123">
        <f>SUM(N10:N13)</f>
        <v>14956222</v>
      </c>
    </row>
    <row r="15" spans="1:21" ht="16.5" customHeight="1" x14ac:dyDescent="0.25">
      <c r="I15" s="1"/>
      <c r="K15" s="3"/>
      <c r="L15" s="3"/>
    </row>
    <row r="16" spans="1:21" ht="15.75" x14ac:dyDescent="0.25">
      <c r="K16" s="3"/>
      <c r="L16" s="3"/>
    </row>
    <row r="17" spans="1:21" ht="51.75" customHeight="1" x14ac:dyDescent="0.25">
      <c r="D17" s="118" t="s">
        <v>463</v>
      </c>
      <c r="E17" s="294">
        <v>3</v>
      </c>
      <c r="F17" s="118" t="s">
        <v>457</v>
      </c>
      <c r="G17" s="294">
        <v>4</v>
      </c>
      <c r="H17" s="118" t="s">
        <v>263</v>
      </c>
      <c r="J17" s="118" t="s">
        <v>264</v>
      </c>
    </row>
    <row r="18" spans="1:21" ht="31.5" x14ac:dyDescent="0.25">
      <c r="D18" s="39" t="s">
        <v>113</v>
      </c>
      <c r="E18" s="39"/>
      <c r="F18" s="39" t="s">
        <v>373</v>
      </c>
      <c r="G18" s="39"/>
      <c r="H18" s="39" t="s">
        <v>363</v>
      </c>
      <c r="J18" s="303" t="s">
        <v>474</v>
      </c>
      <c r="K18"/>
      <c r="L18"/>
      <c r="M18"/>
      <c r="N18"/>
    </row>
    <row r="19" spans="1:21" ht="16.5" customHeight="1" x14ac:dyDescent="0.25">
      <c r="K19"/>
      <c r="L19"/>
      <c r="M19"/>
      <c r="N19"/>
    </row>
    <row r="20" spans="1:21" ht="16.5" customHeight="1" x14ac:dyDescent="0.25">
      <c r="A20" s="465"/>
      <c r="B20" s="120"/>
      <c r="F20" s="123"/>
      <c r="G20" s="309"/>
      <c r="J20" s="123"/>
      <c r="K20"/>
      <c r="L20"/>
      <c r="M20"/>
      <c r="N20"/>
    </row>
    <row r="21" spans="1:21" ht="18.75" customHeight="1" x14ac:dyDescent="0.25">
      <c r="A21" s="13">
        <v>6</v>
      </c>
      <c r="B21" s="120">
        <f>B10</f>
        <v>45870</v>
      </c>
      <c r="D21" s="123">
        <f>'Ex B-1 3 of 7'!N13</f>
        <v>30903</v>
      </c>
      <c r="F21" s="123">
        <f>'Ex B-1 4 of 7'!M15</f>
        <v>5289</v>
      </c>
      <c r="G21" s="123"/>
      <c r="H21" s="123">
        <f>'Input Data'!C82</f>
        <v>0</v>
      </c>
      <c r="J21" s="123">
        <f>N10+D21+F21+H21</f>
        <v>1599052</v>
      </c>
      <c r="K21"/>
      <c r="L21"/>
      <c r="M21"/>
      <c r="N21"/>
    </row>
    <row r="22" spans="1:21" ht="18.75" customHeight="1" x14ac:dyDescent="0.25">
      <c r="A22" s="13">
        <v>7</v>
      </c>
      <c r="B22" s="120">
        <f>B11</f>
        <v>45901</v>
      </c>
      <c r="D22" s="123">
        <f>'Ex B-1 3 of 7'!N14</f>
        <v>34904</v>
      </c>
      <c r="E22" s="560"/>
      <c r="F22" s="123">
        <f>'Ex B-1 4 of 7'!M16</f>
        <v>39077</v>
      </c>
      <c r="G22" s="123"/>
      <c r="H22" s="123">
        <f>'Input Data'!D82</f>
        <v>0</v>
      </c>
      <c r="J22" s="123">
        <f>N11+D22+F22+H22</f>
        <v>3623259</v>
      </c>
      <c r="K22"/>
      <c r="L22"/>
      <c r="M22"/>
      <c r="N22"/>
    </row>
    <row r="23" spans="1:21" ht="18.75" customHeight="1" x14ac:dyDescent="0.25">
      <c r="A23" s="13">
        <v>8</v>
      </c>
      <c r="B23" s="120">
        <f>B12</f>
        <v>45931</v>
      </c>
      <c r="D23" s="123">
        <f>'Ex B-1 3 of 7'!N15</f>
        <v>56817</v>
      </c>
      <c r="E23" s="560"/>
      <c r="F23" s="123">
        <f>'Ex B-1 4 of 7'!M17</f>
        <v>54557</v>
      </c>
      <c r="G23" s="123"/>
      <c r="H23" s="123">
        <f>'Input Data'!E82</f>
        <v>0</v>
      </c>
      <c r="J23" s="123">
        <f>N12+D23+F23+H23</f>
        <v>4217501</v>
      </c>
      <c r="K23"/>
      <c r="L23"/>
      <c r="M23"/>
      <c r="N23"/>
    </row>
    <row r="24" spans="1:21" ht="18.75" customHeight="1" x14ac:dyDescent="0.25">
      <c r="A24" s="13">
        <v>9</v>
      </c>
      <c r="B24" s="120">
        <f>B13</f>
        <v>45962</v>
      </c>
      <c r="D24" s="577"/>
      <c r="E24" s="560"/>
      <c r="F24" s="304"/>
      <c r="G24" s="305"/>
      <c r="H24" s="306"/>
      <c r="J24" s="300">
        <f>N13+D24+F24+H24</f>
        <v>5737957</v>
      </c>
      <c r="K24"/>
      <c r="L24"/>
      <c r="M24"/>
      <c r="N24"/>
    </row>
    <row r="25" spans="1:21" ht="18.75" customHeight="1" x14ac:dyDescent="0.25">
      <c r="A25" s="13">
        <v>10</v>
      </c>
      <c r="B25" s="120"/>
      <c r="D25" s="123">
        <f>SUM(D21:D24)</f>
        <v>122624</v>
      </c>
      <c r="E25" s="124"/>
      <c r="F25" s="123">
        <f>SUM(F20:F24)</f>
        <v>98923</v>
      </c>
      <c r="G25" s="123"/>
      <c r="H25" s="46">
        <f>SUM(H21:H24)</f>
        <v>0</v>
      </c>
      <c r="J25" s="123">
        <f>SUM(J20:J24)</f>
        <v>15177769</v>
      </c>
      <c r="K25"/>
      <c r="L25"/>
      <c r="M25"/>
      <c r="N25"/>
    </row>
    <row r="26" spans="1:21" ht="16.5" customHeight="1" x14ac:dyDescent="0.25">
      <c r="H26" s="307"/>
      <c r="K26" s="3"/>
      <c r="L26" s="3"/>
      <c r="N26" s="308"/>
    </row>
    <row r="27" spans="1:21" ht="16.5" customHeight="1" x14ac:dyDescent="0.25">
      <c r="K27" s="3"/>
      <c r="L27" s="3"/>
      <c r="N27" s="308"/>
    </row>
    <row r="28" spans="1:21" ht="18.75" x14ac:dyDescent="0.25">
      <c r="A28" s="309">
        <v>1</v>
      </c>
      <c r="B28" s="3" t="s">
        <v>475</v>
      </c>
      <c r="C28" s="3"/>
      <c r="D28" s="3"/>
      <c r="E28" s="3"/>
      <c r="F28" s="3"/>
      <c r="G28" s="3"/>
      <c r="H28" s="3"/>
      <c r="K28" s="3"/>
      <c r="L28" s="3"/>
      <c r="N28" s="308"/>
    </row>
    <row r="29" spans="1:21" ht="18.75" x14ac:dyDescent="0.25">
      <c r="A29" s="309">
        <v>2</v>
      </c>
      <c r="B29" s="3" t="s">
        <v>476</v>
      </c>
      <c r="C29" s="3"/>
      <c r="D29" s="3"/>
      <c r="E29" s="3"/>
      <c r="F29" s="3"/>
      <c r="G29" s="3"/>
      <c r="H29" s="3"/>
      <c r="K29" s="3"/>
      <c r="L29" s="3"/>
      <c r="N29" s="308"/>
    </row>
    <row r="30" spans="1:21" ht="18.75" x14ac:dyDescent="0.25">
      <c r="A30" s="309">
        <v>3</v>
      </c>
      <c r="B30" s="3" t="s">
        <v>477</v>
      </c>
      <c r="C30" s="3"/>
      <c r="D30" s="3"/>
      <c r="E30" s="3"/>
      <c r="F30" s="3"/>
      <c r="G30" s="3"/>
      <c r="H30" s="3"/>
      <c r="K30" s="3"/>
      <c r="L30" s="3"/>
      <c r="N30" s="308"/>
    </row>
    <row r="31" spans="1:21" ht="18.75" x14ac:dyDescent="0.25">
      <c r="A31" s="309">
        <v>4</v>
      </c>
      <c r="B31" s="3" t="s">
        <v>478</v>
      </c>
      <c r="C31" s="3"/>
      <c r="D31" s="3"/>
      <c r="E31" s="3"/>
      <c r="F31" s="3"/>
      <c r="G31" s="3"/>
      <c r="H31" s="3"/>
      <c r="I31" s="3"/>
      <c r="J31" s="3"/>
      <c r="K31" s="3"/>
      <c r="L31" s="3"/>
      <c r="Q31"/>
      <c r="R31"/>
      <c r="S31"/>
      <c r="T31"/>
      <c r="U31"/>
    </row>
    <row r="32" spans="1:21" ht="20.100000000000001" customHeight="1" x14ac:dyDescent="0.25">
      <c r="A32" s="309"/>
      <c r="B32" s="12"/>
      <c r="C32" s="12"/>
      <c r="D32" s="12"/>
      <c r="E32" s="12"/>
      <c r="F32" s="12"/>
      <c r="G32" s="12"/>
      <c r="H32" s="12"/>
      <c r="I32" s="12"/>
      <c r="J32" s="3"/>
      <c r="K32" s="3"/>
      <c r="L32" s="3"/>
    </row>
    <row r="33" spans="1:12" ht="20.100000000000001" customHeight="1" x14ac:dyDescent="0.25">
      <c r="I33" s="3"/>
      <c r="J33" s="3"/>
      <c r="K33" s="3"/>
      <c r="L33" s="3"/>
    </row>
    <row r="34" spans="1:12" ht="20.100000000000001" customHeight="1" x14ac:dyDescent="0.25">
      <c r="I34" s="3"/>
      <c r="J34" s="3"/>
      <c r="K34" s="3"/>
      <c r="L34" s="3"/>
    </row>
    <row r="35" spans="1:12" ht="20.100000000000001" customHeight="1" x14ac:dyDescent="0.25">
      <c r="I35" s="3"/>
      <c r="J35" s="3"/>
      <c r="K35" s="3"/>
      <c r="L35" s="3"/>
    </row>
    <row r="36" spans="1:12" ht="20.100000000000001" customHeight="1" x14ac:dyDescent="0.25">
      <c r="A36" s="3"/>
      <c r="B36" s="3"/>
      <c r="C36" s="3"/>
      <c r="D36" s="3"/>
      <c r="E36" s="3"/>
      <c r="F36" s="3"/>
      <c r="G36" s="3"/>
      <c r="H36" s="3"/>
      <c r="I36" s="3"/>
      <c r="J36" s="3"/>
      <c r="K36" s="3"/>
      <c r="L36" s="3"/>
    </row>
    <row r="37" spans="1:12" ht="20.100000000000001" customHeight="1" x14ac:dyDescent="0.25">
      <c r="A37" s="3"/>
      <c r="B37" s="3"/>
      <c r="C37" s="3"/>
      <c r="D37" s="3"/>
      <c r="E37" s="3"/>
      <c r="F37" s="3"/>
      <c r="G37" s="3"/>
      <c r="H37" s="3"/>
      <c r="I37" s="3"/>
      <c r="J37" s="3"/>
    </row>
    <row r="38" spans="1:12" ht="15.75" x14ac:dyDescent="0.25">
      <c r="A38" s="3"/>
      <c r="B38" s="3"/>
      <c r="C38" s="3"/>
      <c r="D38" s="3"/>
      <c r="E38" s="3"/>
      <c r="F38" s="3"/>
      <c r="G38" s="3"/>
      <c r="H38" s="3"/>
      <c r="I38" s="3"/>
      <c r="J38" s="3"/>
    </row>
    <row r="39" spans="1:12" ht="15.75" x14ac:dyDescent="0.25">
      <c r="A39" s="3"/>
      <c r="B39" s="3"/>
      <c r="C39" s="3"/>
      <c r="D39" s="3"/>
      <c r="E39" s="3"/>
      <c r="F39" s="3"/>
      <c r="G39" s="3"/>
      <c r="H39" s="3"/>
      <c r="I39" s="3"/>
      <c r="J39" s="3"/>
    </row>
    <row r="40" spans="1:12" ht="15.75" x14ac:dyDescent="0.25">
      <c r="A40" s="3"/>
      <c r="B40" s="3"/>
      <c r="C40" s="3"/>
      <c r="D40" s="3"/>
      <c r="E40" s="3"/>
      <c r="F40" s="3"/>
      <c r="G40" s="3"/>
      <c r="H40" s="3"/>
      <c r="I40" s="3"/>
    </row>
    <row r="41" spans="1:12" ht="21" customHeight="1" x14ac:dyDescent="0.25">
      <c r="A41" s="3"/>
    </row>
    <row r="42" spans="1:12" ht="21.75" customHeight="1" x14ac:dyDescent="0.25">
      <c r="K42" s="3"/>
      <c r="L42" s="3"/>
    </row>
    <row r="43" spans="1:12" ht="15.75" x14ac:dyDescent="0.25">
      <c r="K43" s="3"/>
      <c r="L43" s="3"/>
    </row>
    <row r="44" spans="1:12" ht="15.75" x14ac:dyDescent="0.25">
      <c r="A44" s="3"/>
      <c r="B44" s="10"/>
      <c r="C44" s="10"/>
      <c r="D44" s="10"/>
      <c r="E44" s="10"/>
      <c r="F44" s="10"/>
      <c r="G44" s="10"/>
      <c r="H44" s="10"/>
      <c r="I44" s="10"/>
    </row>
    <row r="45" spans="1:12" ht="15.75" x14ac:dyDescent="0.25">
      <c r="A45" s="3"/>
      <c r="B45" s="12"/>
      <c r="C45" s="12"/>
      <c r="D45" s="12"/>
      <c r="E45" s="12"/>
      <c r="F45" s="12"/>
      <c r="G45" s="12"/>
      <c r="H45" s="12"/>
      <c r="I45" s="12"/>
    </row>
    <row r="46" spans="1:12" ht="15.75" x14ac:dyDescent="0.25">
      <c r="A46" s="3"/>
      <c r="B46" s="3"/>
      <c r="C46" s="3"/>
      <c r="D46" s="3"/>
      <c r="E46" s="3"/>
      <c r="F46" s="3"/>
      <c r="G46" s="3"/>
      <c r="H46" s="3"/>
      <c r="I46" s="3"/>
    </row>
    <row r="47" spans="1:12" ht="15.75" x14ac:dyDescent="0.25">
      <c r="A47" s="3"/>
      <c r="B47" s="3"/>
      <c r="C47" s="3"/>
      <c r="D47" s="3"/>
      <c r="E47" s="3"/>
      <c r="F47" s="3"/>
      <c r="G47" s="3"/>
      <c r="H47" s="3"/>
      <c r="I47" s="3"/>
    </row>
    <row r="48" spans="1:12" ht="15.75" x14ac:dyDescent="0.25">
      <c r="A48" s="3"/>
      <c r="B48" s="3"/>
      <c r="C48" s="3"/>
      <c r="D48" s="3"/>
      <c r="E48" s="3"/>
      <c r="F48" s="3"/>
      <c r="G48" s="3"/>
      <c r="H48" s="3"/>
      <c r="I48" s="3"/>
    </row>
    <row r="49" spans="1:9" ht="15.75" x14ac:dyDescent="0.25">
      <c r="A49" s="3"/>
      <c r="B49" s="3"/>
      <c r="C49" s="3"/>
      <c r="D49" s="3"/>
      <c r="E49" s="3"/>
      <c r="F49" s="3"/>
      <c r="G49" s="3"/>
      <c r="H49" s="3"/>
      <c r="I49" s="3"/>
    </row>
    <row r="50" spans="1:9" ht="15.75" x14ac:dyDescent="0.25">
      <c r="A50" s="3"/>
      <c r="B50" s="3"/>
      <c r="C50" s="3"/>
      <c r="D50" s="3"/>
      <c r="E50" s="3"/>
      <c r="F50" s="3"/>
      <c r="G50" s="3"/>
      <c r="H50" s="3"/>
      <c r="I50" s="3"/>
    </row>
    <row r="51" spans="1:9" ht="15.75" x14ac:dyDescent="0.25">
      <c r="A51" s="3"/>
      <c r="B51" s="3"/>
      <c r="C51" s="3"/>
      <c r="D51" s="3"/>
      <c r="E51" s="3"/>
      <c r="F51" s="3"/>
      <c r="G51" s="3"/>
      <c r="H51" s="3"/>
      <c r="I51" s="3"/>
    </row>
    <row r="52" spans="1:9" ht="15.75" x14ac:dyDescent="0.25">
      <c r="A52" s="3"/>
      <c r="B52" s="3"/>
      <c r="C52" s="3"/>
      <c r="D52" s="3"/>
      <c r="E52" s="3"/>
      <c r="F52" s="3"/>
      <c r="G52" s="3"/>
      <c r="H52" s="3"/>
      <c r="I52" s="3"/>
    </row>
    <row r="53" spans="1:9" ht="15.75" x14ac:dyDescent="0.25">
      <c r="A53" s="3"/>
      <c r="B53" s="3"/>
      <c r="C53" s="3"/>
      <c r="D53" s="3"/>
      <c r="E53" s="3"/>
      <c r="F53" s="3"/>
      <c r="G53" s="3"/>
      <c r="H53" s="3"/>
      <c r="I53" s="3"/>
    </row>
    <row r="54" spans="1:9" ht="15.75" x14ac:dyDescent="0.25">
      <c r="A54" s="3"/>
    </row>
    <row r="55" spans="1:9" ht="15.75" x14ac:dyDescent="0.25">
      <c r="A55" s="3"/>
    </row>
  </sheetData>
  <mergeCells count="4">
    <mergeCell ref="A1:N1"/>
    <mergeCell ref="A2:N2"/>
    <mergeCell ref="A3:N3"/>
    <mergeCell ref="A4:N4"/>
  </mergeCells>
  <phoneticPr fontId="4" type="noConversion"/>
  <pageMargins left="0.7" right="0.7" top="0.75" bottom="0.75" header="0.3" footer="0.3"/>
  <pageSetup scale="60" orientation="portrait" r:id="rId1"/>
  <headerFooter>
    <oddHeader>&amp;R&amp;"Times New Roman,Bold"Exhibit B-1
Page 2 of 7</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6BE86-7E5C-44FD-8742-BF9E4ABCE455}">
  <dimension ref="B2:P36"/>
  <sheetViews>
    <sheetView workbookViewId="0">
      <selection activeCell="C37" sqref="C37"/>
    </sheetView>
  </sheetViews>
  <sheetFormatPr defaultRowHeight="15.75" x14ac:dyDescent="0.25"/>
  <cols>
    <col min="1" max="1" width="2.21875" customWidth="1"/>
    <col min="2" max="2" width="39.44140625" customWidth="1"/>
    <col min="3" max="3" width="15.77734375" customWidth="1"/>
    <col min="4" max="4" width="3.21875" customWidth="1"/>
    <col min="5" max="5" width="15.77734375" customWidth="1"/>
    <col min="6" max="6" width="3.21875" customWidth="1"/>
    <col min="7" max="7" width="15.77734375" customWidth="1"/>
  </cols>
  <sheetData>
    <row r="2" spans="2:16" x14ac:dyDescent="0.25">
      <c r="C2" s="441" t="s">
        <v>812</v>
      </c>
      <c r="E2" s="454" t="s">
        <v>809</v>
      </c>
      <c r="G2" s="441" t="s">
        <v>809</v>
      </c>
    </row>
    <row r="3" spans="2:16" s="522" customFormat="1" x14ac:dyDescent="0.25">
      <c r="C3" s="454" t="s">
        <v>808</v>
      </c>
      <c r="D3" s="13"/>
      <c r="E3" s="454" t="s">
        <v>810</v>
      </c>
      <c r="F3" s="13"/>
      <c r="G3" s="441" t="s">
        <v>811</v>
      </c>
      <c r="H3" s="13"/>
      <c r="I3" s="13"/>
      <c r="J3" s="13"/>
      <c r="K3" s="13"/>
      <c r="L3" s="13"/>
      <c r="M3" s="13"/>
      <c r="N3" s="13"/>
      <c r="O3" s="13"/>
      <c r="P3" s="13"/>
    </row>
    <row r="4" spans="2:16" s="522" customFormat="1" x14ac:dyDescent="0.25">
      <c r="B4" s="12" t="s">
        <v>813</v>
      </c>
      <c r="C4" s="530">
        <f>'Typical Bill'!J5</f>
        <v>46054</v>
      </c>
      <c r="D4" s="525"/>
      <c r="E4" s="530">
        <f>'Typical Bill'!C5-29</f>
        <v>45962</v>
      </c>
      <c r="F4" s="13"/>
      <c r="G4" s="530">
        <f>'Typical Bill'!Q5-27</f>
        <v>45689</v>
      </c>
      <c r="H4" s="13"/>
      <c r="I4" s="13"/>
      <c r="J4" s="13"/>
      <c r="K4" s="13"/>
      <c r="L4" s="13"/>
      <c r="M4" s="13"/>
      <c r="N4" s="13"/>
      <c r="O4" s="13"/>
      <c r="P4" s="13"/>
    </row>
    <row r="5" spans="2:16" x14ac:dyDescent="0.25">
      <c r="C5" s="454"/>
      <c r="D5" s="3"/>
      <c r="E5" s="3"/>
      <c r="F5" s="3"/>
      <c r="G5" s="3"/>
      <c r="H5" s="3"/>
      <c r="I5" s="3"/>
      <c r="J5" s="3"/>
      <c r="K5" s="3"/>
      <c r="L5" s="3"/>
      <c r="M5" s="3"/>
      <c r="N5" s="3"/>
      <c r="O5" s="3"/>
      <c r="P5" s="3"/>
    </row>
    <row r="6" spans="2:16" x14ac:dyDescent="0.25">
      <c r="B6" s="521" t="str">
        <f>'Summary Sheet'!B54</f>
        <v>Gas Supply Cost</v>
      </c>
      <c r="C6" s="523">
        <f>'Summary Sheet'!K54</f>
        <v>0.42338999999999999</v>
      </c>
      <c r="D6" s="521"/>
      <c r="E6" s="613">
        <v>0.46139000000000002</v>
      </c>
      <c r="F6" s="3"/>
      <c r="G6" s="613">
        <v>0.34301999999999999</v>
      </c>
      <c r="H6" s="3"/>
      <c r="I6" s="3"/>
      <c r="J6" s="3"/>
      <c r="K6" s="3"/>
      <c r="L6" s="3"/>
      <c r="M6" s="3"/>
      <c r="N6" s="3"/>
      <c r="O6" s="3"/>
      <c r="P6" s="3"/>
    </row>
    <row r="7" spans="2:16" x14ac:dyDescent="0.25">
      <c r="B7" s="521" t="str">
        <f>'Summary Sheet'!B55</f>
        <v>Gas Cost Actual Adjustment  (GCAA)</v>
      </c>
      <c r="C7" s="523">
        <f>'Summary Sheet'!K55</f>
        <v>4.4949999999999997E-2</v>
      </c>
      <c r="D7" s="521"/>
      <c r="E7" s="613">
        <v>5.6119999999999996E-2</v>
      </c>
      <c r="F7" s="3"/>
      <c r="G7" s="613">
        <v>3.8400000000000031E-3</v>
      </c>
      <c r="H7" s="3"/>
      <c r="I7" s="3"/>
      <c r="J7" s="3"/>
      <c r="K7" s="3"/>
      <c r="L7" s="3"/>
      <c r="M7" s="3"/>
      <c r="N7" s="3"/>
      <c r="O7" s="3"/>
      <c r="P7" s="3"/>
    </row>
    <row r="8" spans="2:16" x14ac:dyDescent="0.25">
      <c r="B8" s="521" t="str">
        <f>'Summary Sheet'!B56</f>
        <v>Gas Cost Balance Adjustment  (GCBA)</v>
      </c>
      <c r="C8" s="523">
        <f>'Summary Sheet'!K56</f>
        <v>-6.7000000000000002E-4</v>
      </c>
      <c r="D8" s="521"/>
      <c r="E8" s="613">
        <v>-7.2000000000000005E-4</v>
      </c>
      <c r="F8" s="3"/>
      <c r="G8" s="613">
        <v>-4.1799999999999997E-3</v>
      </c>
      <c r="H8" s="3"/>
      <c r="I8" s="3"/>
      <c r="J8" s="3"/>
      <c r="K8" s="3"/>
      <c r="L8" s="3"/>
      <c r="M8" s="3"/>
      <c r="N8" s="3"/>
      <c r="O8" s="3"/>
      <c r="P8" s="3"/>
    </row>
    <row r="9" spans="2:16" x14ac:dyDescent="0.25">
      <c r="B9" s="521" t="str">
        <f>'Summary Sheet'!B57</f>
        <v>Refund Factors  (RF)</v>
      </c>
      <c r="C9" s="523">
        <f>'Summary Sheet'!K57</f>
        <v>0</v>
      </c>
      <c r="D9" s="521"/>
      <c r="E9" s="613">
        <v>0</v>
      </c>
      <c r="F9" s="3"/>
      <c r="G9" s="613">
        <v>0</v>
      </c>
      <c r="H9" s="3"/>
      <c r="I9" s="3"/>
      <c r="J9" s="3"/>
      <c r="K9" s="3"/>
      <c r="L9" s="3"/>
      <c r="M9" s="3"/>
      <c r="N9" s="3"/>
      <c r="O9" s="3"/>
      <c r="P9" s="3"/>
    </row>
    <row r="10" spans="2:16" ht="18" x14ac:dyDescent="0.4">
      <c r="B10" s="521" t="str">
        <f>'Summary Sheet'!B58</f>
        <v>Perfomance-Based Rate Recovery Component (PBRRC)</v>
      </c>
      <c r="C10" s="528">
        <f>'Summary Sheet'!K58</f>
        <v>0</v>
      </c>
      <c r="D10" s="521"/>
      <c r="E10" s="614">
        <v>1.2700000000000001E-3</v>
      </c>
      <c r="F10" s="3"/>
      <c r="G10" s="614">
        <v>1.2700000000000001E-3</v>
      </c>
      <c r="H10" s="3"/>
      <c r="I10" s="3"/>
      <c r="J10" s="3"/>
      <c r="K10" s="3"/>
      <c r="L10" s="3"/>
      <c r="M10" s="3"/>
      <c r="N10" s="3"/>
      <c r="O10" s="3"/>
      <c r="P10" s="3"/>
    </row>
    <row r="11" spans="2:16" x14ac:dyDescent="0.25">
      <c r="B11" s="524" t="str">
        <f>'Summary Sheet'!B59</f>
        <v xml:space="preserve">   Total Gas Supply Cost Component  (GSCC)</v>
      </c>
      <c r="C11" s="526">
        <f>SUM(C6:C10)</f>
        <v>0.46766999999999997</v>
      </c>
      <c r="D11" s="527"/>
      <c r="E11" s="526">
        <f>SUM(E6:E10)</f>
        <v>0.51805999999999996</v>
      </c>
      <c r="F11" s="527"/>
      <c r="G11" s="526">
        <f>SUM(G6:G10)</f>
        <v>0.34394999999999998</v>
      </c>
      <c r="H11" s="3"/>
      <c r="I11" s="3"/>
      <c r="J11" s="3"/>
      <c r="K11" s="3"/>
      <c r="L11" s="3"/>
      <c r="M11" s="3"/>
      <c r="N11" s="3"/>
      <c r="O11" s="3"/>
      <c r="P11" s="3"/>
    </row>
    <row r="12" spans="2:16" x14ac:dyDescent="0.25">
      <c r="C12" s="3"/>
      <c r="D12" s="3"/>
      <c r="E12" s="3"/>
      <c r="F12" s="3"/>
      <c r="G12" s="3"/>
      <c r="H12" s="3"/>
      <c r="I12" s="3"/>
      <c r="J12" s="3"/>
      <c r="K12" s="3"/>
      <c r="L12" s="3"/>
      <c r="M12" s="3"/>
      <c r="N12" s="3"/>
      <c r="O12" s="3"/>
      <c r="P12" s="3"/>
    </row>
    <row r="13" spans="2:16" x14ac:dyDescent="0.25">
      <c r="C13" s="3"/>
      <c r="D13" s="3"/>
      <c r="E13" s="3"/>
      <c r="F13" s="3"/>
      <c r="G13" s="3"/>
      <c r="H13" s="3"/>
      <c r="I13" s="3"/>
      <c r="J13" s="3"/>
      <c r="K13" s="3"/>
      <c r="L13" s="3"/>
      <c r="M13" s="3"/>
      <c r="N13" s="3"/>
      <c r="O13" s="3"/>
      <c r="P13" s="3"/>
    </row>
    <row r="14" spans="2:16" x14ac:dyDescent="0.25">
      <c r="C14" s="3"/>
      <c r="D14" s="3"/>
      <c r="E14" s="3"/>
      <c r="F14" s="3"/>
      <c r="G14" s="3"/>
      <c r="H14" s="3"/>
      <c r="I14" s="3"/>
      <c r="J14" s="3"/>
      <c r="K14" s="3"/>
      <c r="L14" s="3"/>
      <c r="M14" s="3"/>
      <c r="N14" s="3"/>
      <c r="O14" s="3"/>
      <c r="P14" s="3"/>
    </row>
    <row r="15" spans="2:16" x14ac:dyDescent="0.25">
      <c r="B15" s="529" t="s">
        <v>814</v>
      </c>
      <c r="C15" s="3"/>
      <c r="D15" s="3"/>
      <c r="E15" s="3"/>
      <c r="F15" s="3"/>
      <c r="G15" s="3"/>
      <c r="H15" s="3"/>
      <c r="I15" s="3"/>
      <c r="J15" s="3"/>
      <c r="K15" s="3"/>
      <c r="L15" s="3"/>
      <c r="M15" s="3"/>
      <c r="N15" s="3"/>
      <c r="O15" s="3"/>
      <c r="P15" s="3"/>
    </row>
    <row r="16" spans="2:16" x14ac:dyDescent="0.25">
      <c r="B16" s="3" t="str">
        <f>B6</f>
        <v>Gas Supply Cost</v>
      </c>
      <c r="C16" s="3" t="str">
        <f>IF($C$6&gt;E6, "Expected gas supply costs are higher","Expected gas supply costs are lower")</f>
        <v>Expected gas supply costs are lower</v>
      </c>
      <c r="D16" s="3"/>
      <c r="E16" s="3"/>
      <c r="F16" s="3"/>
      <c r="G16" s="3"/>
      <c r="H16" s="3"/>
      <c r="I16" s="3"/>
      <c r="J16" s="3"/>
      <c r="K16" s="3"/>
      <c r="L16" s="3"/>
      <c r="M16" s="3"/>
      <c r="N16" s="3"/>
      <c r="O16" s="3"/>
      <c r="P16" s="3"/>
    </row>
    <row r="17" spans="2:16" x14ac:dyDescent="0.25">
      <c r="B17" s="3" t="s">
        <v>815</v>
      </c>
      <c r="C17" s="3" t="s">
        <v>855</v>
      </c>
      <c r="D17" s="3"/>
      <c r="E17" s="3"/>
      <c r="F17" s="3"/>
      <c r="G17" s="3"/>
      <c r="H17" s="3"/>
      <c r="I17" s="3"/>
      <c r="J17" s="3"/>
      <c r="K17" s="3"/>
      <c r="L17" s="3"/>
      <c r="M17" s="3"/>
      <c r="N17" s="3"/>
      <c r="O17" s="3"/>
      <c r="P17" s="3"/>
    </row>
    <row r="18" spans="2:16" x14ac:dyDescent="0.25">
      <c r="B18" s="3" t="s">
        <v>816</v>
      </c>
      <c r="C18" s="3" t="s">
        <v>382</v>
      </c>
      <c r="D18" s="3"/>
      <c r="E18" s="3"/>
      <c r="F18" s="3"/>
      <c r="G18" s="3"/>
      <c r="H18" s="3"/>
      <c r="I18" s="3"/>
      <c r="J18" s="3"/>
      <c r="K18" s="3"/>
      <c r="L18" s="3"/>
      <c r="M18" s="3"/>
      <c r="N18" s="3"/>
      <c r="O18" s="3"/>
      <c r="P18" s="3"/>
    </row>
    <row r="19" spans="2:16" x14ac:dyDescent="0.25">
      <c r="B19" s="3" t="s">
        <v>114</v>
      </c>
      <c r="C19" s="3" t="s">
        <v>862</v>
      </c>
      <c r="D19" s="3"/>
      <c r="E19" s="3"/>
      <c r="F19" s="3"/>
      <c r="G19" s="3"/>
      <c r="H19" s="3"/>
      <c r="I19" s="3"/>
      <c r="J19" s="3"/>
      <c r="K19" s="3"/>
      <c r="L19" s="3"/>
      <c r="M19" s="3"/>
      <c r="N19" s="3"/>
      <c r="O19" s="3"/>
      <c r="P19" s="3"/>
    </row>
    <row r="20" spans="2:16" x14ac:dyDescent="0.25">
      <c r="B20" s="3"/>
      <c r="C20" s="3"/>
      <c r="D20" s="3"/>
      <c r="E20" s="3"/>
      <c r="F20" s="3"/>
      <c r="G20" s="3"/>
      <c r="H20" s="3"/>
      <c r="I20" s="3"/>
      <c r="J20" s="3"/>
      <c r="K20" s="3"/>
      <c r="L20" s="3"/>
      <c r="M20" s="3"/>
      <c r="N20" s="3"/>
      <c r="O20" s="3"/>
      <c r="P20" s="3"/>
    </row>
    <row r="21" spans="2:16" x14ac:dyDescent="0.25">
      <c r="B21" s="3"/>
      <c r="C21" s="3"/>
      <c r="D21" s="3"/>
      <c r="E21" s="3"/>
      <c r="F21" s="3"/>
      <c r="G21" s="3"/>
      <c r="H21" s="3"/>
      <c r="I21" s="3"/>
      <c r="J21" s="3"/>
      <c r="K21" s="3"/>
      <c r="L21" s="3"/>
      <c r="M21" s="3"/>
      <c r="N21" s="3"/>
      <c r="O21" s="3"/>
      <c r="P21" s="3"/>
    </row>
    <row r="22" spans="2:16" x14ac:dyDescent="0.25">
      <c r="B22" s="529" t="s">
        <v>817</v>
      </c>
      <c r="C22" s="3"/>
      <c r="D22" s="3"/>
      <c r="E22" s="3"/>
      <c r="F22" s="3"/>
      <c r="G22" s="3"/>
      <c r="H22" s="3"/>
      <c r="I22" s="3"/>
      <c r="J22" s="3"/>
      <c r="K22" s="3"/>
      <c r="L22" s="3"/>
      <c r="M22" s="3"/>
      <c r="N22" s="3"/>
      <c r="O22" s="3"/>
      <c r="P22" s="3"/>
    </row>
    <row r="23" spans="2:16" x14ac:dyDescent="0.25">
      <c r="B23" s="3" t="str">
        <f>B16</f>
        <v>Gas Supply Cost</v>
      </c>
      <c r="C23" s="3" t="str">
        <f>IF($C$6&gt;G6, "Expected gas supply costs are higher","Expected gas supply costs are lower")</f>
        <v>Expected gas supply costs are higher</v>
      </c>
      <c r="D23" s="3"/>
      <c r="E23" s="3"/>
      <c r="F23" s="3"/>
      <c r="G23" s="3"/>
      <c r="H23" s="3"/>
      <c r="I23" s="3"/>
      <c r="J23" s="3"/>
      <c r="K23" s="3"/>
      <c r="L23" s="3"/>
      <c r="M23" s="3"/>
      <c r="N23" s="3"/>
      <c r="O23" s="3"/>
      <c r="P23" s="3"/>
    </row>
    <row r="24" spans="2:16" x14ac:dyDescent="0.25">
      <c r="B24" s="3" t="str">
        <f t="shared" ref="B24:B26" si="0">B17</f>
        <v>GCAA/GCBA</v>
      </c>
      <c r="C24" s="3" t="s">
        <v>819</v>
      </c>
      <c r="D24" s="3"/>
      <c r="E24" s="3"/>
      <c r="F24" s="3"/>
      <c r="G24" s="3"/>
      <c r="H24" s="3"/>
      <c r="I24" s="3"/>
      <c r="J24" s="3"/>
      <c r="K24" s="3"/>
      <c r="L24" s="3"/>
      <c r="M24" s="3"/>
      <c r="N24" s="3"/>
      <c r="O24" s="3"/>
      <c r="P24" s="3"/>
    </row>
    <row r="25" spans="2:16" x14ac:dyDescent="0.25">
      <c r="B25" s="3" t="str">
        <f t="shared" si="0"/>
        <v>RF</v>
      </c>
      <c r="C25" s="3" t="s">
        <v>382</v>
      </c>
      <c r="D25" s="3"/>
      <c r="E25" s="3"/>
      <c r="F25" s="3"/>
      <c r="G25" s="3"/>
      <c r="H25" s="3"/>
      <c r="I25" s="3"/>
      <c r="J25" s="3"/>
      <c r="K25" s="3"/>
      <c r="L25" s="3"/>
      <c r="M25" s="3"/>
      <c r="N25" s="3"/>
      <c r="O25" s="3"/>
      <c r="P25" s="3"/>
    </row>
    <row r="26" spans="2:16" x14ac:dyDescent="0.25">
      <c r="B26" s="3" t="str">
        <f t="shared" si="0"/>
        <v>PBRRC</v>
      </c>
      <c r="C26" s="3" t="s">
        <v>862</v>
      </c>
      <c r="D26" s="3"/>
      <c r="E26" s="3"/>
      <c r="F26" s="3"/>
      <c r="G26" s="3"/>
      <c r="H26" s="3"/>
      <c r="I26" s="3"/>
      <c r="J26" s="3"/>
      <c r="K26" s="3"/>
      <c r="L26" s="3"/>
      <c r="M26" s="3"/>
      <c r="N26" s="3"/>
      <c r="O26" s="3"/>
      <c r="P26" s="3"/>
    </row>
    <row r="27" spans="2:16" x14ac:dyDescent="0.25">
      <c r="B27" s="3"/>
      <c r="C27" s="3"/>
      <c r="D27" s="3"/>
      <c r="E27" s="3"/>
      <c r="F27" s="3"/>
      <c r="G27" s="3"/>
      <c r="H27" s="3"/>
      <c r="I27" s="3"/>
      <c r="J27" s="3"/>
      <c r="K27" s="3"/>
      <c r="L27" s="3"/>
      <c r="M27" s="3"/>
      <c r="N27" s="3"/>
      <c r="O27" s="3"/>
      <c r="P27" s="3"/>
    </row>
    <row r="28" spans="2:16" x14ac:dyDescent="0.25">
      <c r="B28" s="3"/>
      <c r="C28" s="3"/>
      <c r="D28" s="3"/>
      <c r="E28" s="3"/>
      <c r="F28" s="3"/>
      <c r="G28" s="3"/>
      <c r="H28" s="3"/>
      <c r="I28" s="3"/>
      <c r="J28" s="3"/>
      <c r="K28" s="3"/>
      <c r="L28" s="3"/>
      <c r="M28" s="3"/>
      <c r="N28" s="3"/>
      <c r="O28" s="3"/>
      <c r="P28" s="3"/>
    </row>
    <row r="29" spans="2:16" x14ac:dyDescent="0.25">
      <c r="B29" s="3"/>
      <c r="C29" s="3"/>
      <c r="D29" s="3"/>
      <c r="E29" s="3"/>
      <c r="F29" s="3"/>
      <c r="G29" s="3"/>
      <c r="H29" s="3"/>
      <c r="I29" s="3"/>
      <c r="J29" s="3"/>
      <c r="K29" s="3"/>
      <c r="L29" s="3"/>
    </row>
    <row r="30" spans="2:16" x14ac:dyDescent="0.25">
      <c r="B30" s="3"/>
      <c r="C30" s="3"/>
      <c r="D30" s="3"/>
      <c r="E30" s="3"/>
      <c r="F30" s="3"/>
      <c r="G30" s="3"/>
      <c r="H30" s="3"/>
      <c r="I30" s="3"/>
      <c r="J30" s="3"/>
      <c r="K30" s="3"/>
      <c r="L30" s="3"/>
    </row>
    <row r="31" spans="2:16" x14ac:dyDescent="0.25">
      <c r="B31" s="3"/>
      <c r="C31" s="3"/>
      <c r="D31" s="3"/>
      <c r="E31" s="3"/>
      <c r="F31" s="3"/>
      <c r="G31" s="3"/>
      <c r="H31" s="3"/>
      <c r="I31" s="3"/>
      <c r="J31" s="3"/>
      <c r="K31" s="3"/>
      <c r="L31" s="3"/>
    </row>
    <row r="32" spans="2:16" x14ac:dyDescent="0.25">
      <c r="B32" s="3"/>
    </row>
    <row r="33" spans="2:2" x14ac:dyDescent="0.25">
      <c r="B33" s="3"/>
    </row>
    <row r="34" spans="2:2" x14ac:dyDescent="0.25">
      <c r="B34" s="3"/>
    </row>
    <row r="35" spans="2:2" x14ac:dyDescent="0.25">
      <c r="B35" s="3"/>
    </row>
    <row r="36" spans="2:2" x14ac:dyDescent="0.25">
      <c r="B36" s="3"/>
    </row>
  </sheetData>
  <pageMargins left="0.7" right="0.7" top="0.75" bottom="0.75" header="0.3" footer="0.3"/>
  <headerFooter>
    <oddFooter>&amp;L_x000D_&amp;1#&amp;"Calibri"&amp;14&amp;K000000 Business Use</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0">
    <tabColor theme="3" tint="0.59999389629810485"/>
    <pageSetUpPr fitToPage="1"/>
  </sheetPr>
  <dimension ref="A1:R28"/>
  <sheetViews>
    <sheetView zoomScale="80" zoomScaleNormal="80" workbookViewId="0">
      <selection sqref="A1:N1"/>
    </sheetView>
  </sheetViews>
  <sheetFormatPr defaultColWidth="8.88671875" defaultRowHeight="15.75" x14ac:dyDescent="0.25"/>
  <cols>
    <col min="1" max="1" width="7.109375" style="4" customWidth="1"/>
    <col min="2" max="2" width="10.44140625" style="99" customWidth="1"/>
    <col min="3" max="3" width="11.88671875" style="99" customWidth="1"/>
    <col min="4" max="4" width="11.21875" style="99" customWidth="1"/>
    <col min="5" max="5" width="10.77734375" style="99" customWidth="1"/>
    <col min="6" max="6" width="11.109375" style="99" customWidth="1"/>
    <col min="7" max="7" width="9.88671875" style="99" bestFit="1" customWidth="1"/>
    <col min="8" max="8" width="8.88671875" style="99"/>
    <col min="9" max="9" width="9.88671875" style="99" bestFit="1" customWidth="1"/>
    <col min="10" max="11" width="9.88671875" style="99" customWidth="1"/>
    <col min="12" max="12" width="10.6640625" style="99" customWidth="1"/>
    <col min="13" max="13" width="10.21875" style="99" customWidth="1"/>
    <col min="14" max="14" width="13.5546875" style="99" customWidth="1"/>
    <col min="15" max="15" width="13.88671875" style="99" customWidth="1"/>
    <col min="16" max="16384" width="8.88671875" style="99"/>
  </cols>
  <sheetData>
    <row r="1" spans="1:18" ht="18.75" x14ac:dyDescent="0.3">
      <c r="A1" s="664" t="s">
        <v>5</v>
      </c>
      <c r="B1" s="664"/>
      <c r="C1" s="664"/>
      <c r="D1" s="664"/>
      <c r="E1" s="664"/>
      <c r="F1" s="664"/>
      <c r="G1" s="664"/>
      <c r="H1" s="664"/>
      <c r="I1" s="664"/>
      <c r="J1" s="664"/>
      <c r="K1" s="664"/>
      <c r="L1" s="664"/>
      <c r="M1" s="664"/>
      <c r="N1" s="664"/>
      <c r="O1" s="235"/>
      <c r="P1" s="235"/>
      <c r="Q1" s="235"/>
      <c r="R1" s="235"/>
    </row>
    <row r="2" spans="1:18" ht="18.75" x14ac:dyDescent="0.3">
      <c r="A2" s="665" t="s">
        <v>295</v>
      </c>
      <c r="B2" s="665"/>
      <c r="C2" s="665"/>
      <c r="D2" s="665"/>
      <c r="E2" s="665"/>
      <c r="F2" s="665"/>
      <c r="G2" s="665"/>
      <c r="H2" s="665"/>
      <c r="I2" s="665"/>
      <c r="J2" s="665"/>
      <c r="K2" s="665"/>
      <c r="L2" s="665"/>
      <c r="M2" s="665"/>
      <c r="N2" s="665"/>
      <c r="O2" s="4"/>
      <c r="P2" s="4"/>
      <c r="Q2" s="4"/>
      <c r="R2" s="4"/>
    </row>
    <row r="3" spans="1:18" ht="18.75" x14ac:dyDescent="0.3">
      <c r="A3" s="665" t="s">
        <v>451</v>
      </c>
      <c r="B3" s="665"/>
      <c r="C3" s="665"/>
      <c r="D3" s="665"/>
      <c r="E3" s="665"/>
      <c r="F3" s="665"/>
      <c r="G3" s="665"/>
      <c r="H3" s="665"/>
      <c r="I3" s="665"/>
      <c r="J3" s="665"/>
      <c r="K3" s="665"/>
      <c r="L3" s="665"/>
      <c r="M3" s="665"/>
      <c r="N3" s="665"/>
      <c r="O3" s="4"/>
      <c r="P3" s="4"/>
      <c r="Q3" s="4"/>
      <c r="R3" s="4"/>
    </row>
    <row r="4" spans="1:18" ht="18.75" x14ac:dyDescent="0.3">
      <c r="A4" s="665" t="str">
        <f>CONCATENATE("For Service Rendered On and After ",'Input Data'!$D$4)</f>
        <v>For Service Rendered On and After February 1, 2026</v>
      </c>
      <c r="B4" s="665"/>
      <c r="C4" s="665"/>
      <c r="D4" s="665"/>
      <c r="E4" s="665"/>
      <c r="F4" s="665"/>
      <c r="G4" s="665"/>
      <c r="H4" s="665"/>
      <c r="I4" s="665"/>
      <c r="J4" s="665"/>
      <c r="K4" s="665"/>
      <c r="L4" s="665"/>
      <c r="M4" s="665"/>
      <c r="N4" s="665"/>
      <c r="O4" s="4"/>
      <c r="P4" s="4"/>
      <c r="Q4" s="4"/>
      <c r="R4" s="4"/>
    </row>
    <row r="5" spans="1:18" x14ac:dyDescent="0.25">
      <c r="B5" s="236"/>
      <c r="C5" s="236"/>
      <c r="D5" s="236"/>
      <c r="E5" s="236"/>
      <c r="F5" s="236"/>
      <c r="G5" s="236"/>
      <c r="H5" s="236"/>
      <c r="I5" s="236"/>
      <c r="J5" s="236"/>
      <c r="K5" s="236"/>
      <c r="L5" s="236"/>
      <c r="M5" s="236"/>
      <c r="N5" s="236"/>
      <c r="O5" s="236"/>
      <c r="P5" s="236"/>
      <c r="Q5" s="236"/>
      <c r="R5" s="236"/>
    </row>
    <row r="6" spans="1:18" x14ac:dyDescent="0.25">
      <c r="B6" s="236"/>
      <c r="C6" s="236"/>
      <c r="D6" s="236"/>
      <c r="E6" s="236"/>
      <c r="F6" s="236"/>
      <c r="G6" s="236"/>
      <c r="H6" s="236"/>
      <c r="I6" s="236"/>
      <c r="J6" s="236"/>
      <c r="K6" s="236"/>
      <c r="L6" s="236"/>
      <c r="M6" s="236"/>
      <c r="N6" s="236"/>
      <c r="O6" s="236"/>
      <c r="P6" s="236"/>
      <c r="Q6" s="236"/>
      <c r="R6" s="236"/>
    </row>
    <row r="7" spans="1:18" x14ac:dyDescent="0.25">
      <c r="B7" s="4"/>
      <c r="C7" s="4"/>
      <c r="D7" s="4"/>
      <c r="E7" s="4"/>
      <c r="F7" s="4"/>
      <c r="G7" s="4"/>
      <c r="H7" s="4"/>
      <c r="I7" s="4"/>
      <c r="J7" s="4"/>
      <c r="K7" s="4"/>
      <c r="L7" s="4"/>
      <c r="M7" s="4"/>
      <c r="N7" s="4"/>
      <c r="O7" s="4"/>
      <c r="P7" s="4"/>
    </row>
    <row r="8" spans="1:18" x14ac:dyDescent="0.25">
      <c r="B8" s="4"/>
      <c r="C8" s="4"/>
      <c r="D8" s="134"/>
      <c r="E8" s="4"/>
      <c r="F8" s="4"/>
      <c r="G8" s="4"/>
      <c r="H8" s="4"/>
      <c r="I8" s="4"/>
      <c r="J8" s="4"/>
      <c r="K8" s="4"/>
      <c r="L8" s="4"/>
      <c r="M8" s="4"/>
      <c r="N8" s="4"/>
      <c r="O8" s="4"/>
      <c r="P8" s="134"/>
    </row>
    <row r="9" spans="1:18" x14ac:dyDescent="0.25">
      <c r="A9" s="134"/>
      <c r="B9" s="134"/>
      <c r="C9" s="134"/>
      <c r="D9" s="134"/>
      <c r="E9" s="134"/>
      <c r="F9" s="134"/>
      <c r="G9" s="134"/>
      <c r="H9" s="134"/>
      <c r="I9" s="134"/>
      <c r="J9" s="134"/>
      <c r="K9" s="134"/>
      <c r="L9" s="134"/>
      <c r="M9" s="134"/>
    </row>
    <row r="10" spans="1:18" ht="78.75" x14ac:dyDescent="0.25">
      <c r="A10" s="126" t="s">
        <v>245</v>
      </c>
      <c r="B10" s="230" t="s">
        <v>346</v>
      </c>
      <c r="C10" s="230" t="s">
        <v>0</v>
      </c>
      <c r="D10" s="234" t="s">
        <v>460</v>
      </c>
      <c r="E10" s="230" t="s">
        <v>461</v>
      </c>
      <c r="F10" s="233" t="s">
        <v>456</v>
      </c>
      <c r="G10" s="230" t="s">
        <v>452</v>
      </c>
      <c r="H10" s="230" t="s">
        <v>464</v>
      </c>
      <c r="I10" s="230" t="s">
        <v>453</v>
      </c>
      <c r="J10" s="230" t="s">
        <v>493</v>
      </c>
      <c r="K10" s="230" t="s">
        <v>465</v>
      </c>
      <c r="L10" s="230" t="s">
        <v>459</v>
      </c>
      <c r="M10" s="230" t="s">
        <v>454</v>
      </c>
      <c r="N10" s="230" t="s">
        <v>455</v>
      </c>
    </row>
    <row r="11" spans="1:18" ht="31.5" x14ac:dyDescent="0.25">
      <c r="B11" s="134" t="s">
        <v>60</v>
      </c>
      <c r="C11" s="134" t="s">
        <v>61</v>
      </c>
      <c r="D11" s="134" t="s">
        <v>62</v>
      </c>
      <c r="E11" s="310">
        <v>-4</v>
      </c>
      <c r="F11" s="311" t="s">
        <v>483</v>
      </c>
      <c r="G11" s="310">
        <v>-6</v>
      </c>
      <c r="H11" s="311">
        <v>-7</v>
      </c>
      <c r="I11" s="311" t="s">
        <v>111</v>
      </c>
      <c r="J11" s="310">
        <v>-9</v>
      </c>
      <c r="K11" s="310" t="s">
        <v>113</v>
      </c>
      <c r="L11" s="310" t="s">
        <v>373</v>
      </c>
      <c r="M11" s="310" t="s">
        <v>363</v>
      </c>
      <c r="N11" s="312" t="s">
        <v>466</v>
      </c>
    </row>
    <row r="12" spans="1:18" x14ac:dyDescent="0.25">
      <c r="B12" s="134"/>
      <c r="C12" s="575"/>
      <c r="D12" s="134"/>
      <c r="E12" s="576"/>
      <c r="G12" s="17"/>
      <c r="H12" s="17"/>
      <c r="I12" s="17"/>
      <c r="J12" s="17"/>
      <c r="K12" s="17"/>
      <c r="L12" s="17"/>
      <c r="M12" s="17"/>
      <c r="N12" s="17"/>
    </row>
    <row r="13" spans="1:18" x14ac:dyDescent="0.25">
      <c r="A13" s="134">
        <v>1</v>
      </c>
      <c r="B13" s="567">
        <f>'Input Data'!C7</f>
        <v>45870</v>
      </c>
      <c r="C13" s="134" t="str">
        <f>'Ex B-1 1 of 7'!C13</f>
        <v>2025-00188</v>
      </c>
      <c r="D13" s="313">
        <f>'TS-2 Data'!B5</f>
        <v>39765</v>
      </c>
      <c r="E13" s="458">
        <f>VLOOKUP(C13,'Case Database'!C3:K200,7)</f>
        <v>0.7752</v>
      </c>
      <c r="F13" s="314">
        <f>D13*E13</f>
        <v>30825.828000000001</v>
      </c>
      <c r="G13" s="256">
        <f>'TS-2 Data'!H5</f>
        <v>0</v>
      </c>
      <c r="H13" s="301">
        <f>'TS-2 Data'!P5</f>
        <v>24</v>
      </c>
      <c r="I13" s="315">
        <f>'TS-2 Data'!Q5</f>
        <v>66.89</v>
      </c>
      <c r="J13" s="357">
        <f>'TS-2 Data'!T5</f>
        <v>3</v>
      </c>
      <c r="K13" s="315">
        <f>'TS-2 Data'!U5</f>
        <v>10.69</v>
      </c>
      <c r="L13" s="317">
        <f>'Input Data'!C88</f>
        <v>0</v>
      </c>
      <c r="M13" s="317">
        <f>'TS-2 Data'!I5</f>
        <v>0</v>
      </c>
      <c r="N13" s="185">
        <f>ROUND((F13+G13+I13+K13+L13+M13),0)</f>
        <v>30903</v>
      </c>
    </row>
    <row r="14" spans="1:18" x14ac:dyDescent="0.25">
      <c r="A14" s="134">
        <v>2</v>
      </c>
      <c r="B14" s="567">
        <f>EDATE(B13,1)</f>
        <v>45901</v>
      </c>
      <c r="C14" s="134" t="str">
        <f>C13</f>
        <v>2025-00188</v>
      </c>
      <c r="D14" s="313">
        <f>'TS-2 Data'!B6</f>
        <v>44875</v>
      </c>
      <c r="E14" s="318">
        <f>E13</f>
        <v>0.7752</v>
      </c>
      <c r="F14" s="314">
        <f>D14*E14</f>
        <v>34787.1</v>
      </c>
      <c r="G14" s="256">
        <f>'TS-2 Data'!H6</f>
        <v>0</v>
      </c>
      <c r="H14" s="301">
        <f>'TS-2 Data'!P6</f>
        <v>42</v>
      </c>
      <c r="I14" s="315">
        <f>'TS-2 Data'!Q6</f>
        <v>102.57</v>
      </c>
      <c r="J14" s="357">
        <f>'TS-2 Data'!T6</f>
        <v>4</v>
      </c>
      <c r="K14" s="315">
        <f>'TS-2 Data'!U6</f>
        <v>14.57</v>
      </c>
      <c r="L14" s="317">
        <f>'Input Data'!D88</f>
        <v>0</v>
      </c>
      <c r="M14" s="317">
        <f>'TS-2 Data'!I6</f>
        <v>0</v>
      </c>
      <c r="N14" s="185">
        <f>ROUND((F14+G14+I14+K14+L14+M14),0)</f>
        <v>34904</v>
      </c>
    </row>
    <row r="15" spans="1:18" x14ac:dyDescent="0.25">
      <c r="A15" s="134">
        <v>3</v>
      </c>
      <c r="B15" s="568">
        <f>EDATE(B14,1)</f>
        <v>45931</v>
      </c>
      <c r="C15" s="569" t="str">
        <f>C13</f>
        <v>2025-00188</v>
      </c>
      <c r="D15" s="319">
        <f>'TS-2 Data'!B7</f>
        <v>43682</v>
      </c>
      <c r="E15" s="320">
        <f>E13</f>
        <v>0.7752</v>
      </c>
      <c r="F15" s="321">
        <f>D15*E15</f>
        <v>33862.286399999997</v>
      </c>
      <c r="G15" s="257">
        <f>'TS-2 Data'!H7</f>
        <v>0</v>
      </c>
      <c r="H15" s="322">
        <f>'TS-2 Data'!P7</f>
        <v>39</v>
      </c>
      <c r="I15" s="323">
        <f>'TS-2 Data'!Q7</f>
        <v>102.36</v>
      </c>
      <c r="J15" s="358">
        <f>'TS-2 Data'!T7</f>
        <v>6914</v>
      </c>
      <c r="K15" s="323">
        <f>'TS-2 Data'!U7</f>
        <v>22852.77</v>
      </c>
      <c r="L15" s="325">
        <f>'Input Data'!E88</f>
        <v>0</v>
      </c>
      <c r="M15" s="325">
        <f>'TS-2 Data'!I7</f>
        <v>0</v>
      </c>
      <c r="N15" s="326">
        <f>ROUND((F15+G15+I15+K15+L15+M15),0)</f>
        <v>56817</v>
      </c>
    </row>
    <row r="16" spans="1:18" x14ac:dyDescent="0.25">
      <c r="B16" s="134"/>
      <c r="C16" s="134"/>
      <c r="D16" s="134"/>
      <c r="E16" s="327"/>
      <c r="F16" s="328"/>
      <c r="G16" s="327"/>
      <c r="H16" s="327"/>
      <c r="I16" s="329"/>
      <c r="J16" s="329"/>
      <c r="K16" s="329"/>
      <c r="L16" s="327"/>
      <c r="M16" s="327"/>
      <c r="N16" s="328"/>
      <c r="O16" s="83"/>
      <c r="P16" s="83"/>
      <c r="Q16" s="125"/>
      <c r="R16" s="185"/>
    </row>
    <row r="17" spans="1:18" x14ac:dyDescent="0.25">
      <c r="A17" s="134">
        <v>4</v>
      </c>
      <c r="B17" s="134"/>
      <c r="C17" s="134"/>
      <c r="D17" s="134"/>
      <c r="E17" s="327"/>
      <c r="F17" s="328"/>
      <c r="G17" s="327"/>
      <c r="H17" s="327"/>
      <c r="L17" s="327"/>
      <c r="M17" s="127" t="s">
        <v>377</v>
      </c>
      <c r="N17" s="185">
        <f>SUM(N13:N15)</f>
        <v>122624</v>
      </c>
      <c r="P17" s="127"/>
      <c r="Q17" s="123"/>
      <c r="R17" s="185"/>
    </row>
    <row r="18" spans="1:18" x14ac:dyDescent="0.25">
      <c r="B18" s="573"/>
      <c r="C18" s="4"/>
      <c r="D18" s="572"/>
      <c r="E18" s="128"/>
      <c r="F18" s="129"/>
      <c r="G18" s="128"/>
      <c r="H18" s="128"/>
      <c r="I18" s="130"/>
      <c r="J18" s="130"/>
      <c r="K18" s="130"/>
      <c r="L18" s="128"/>
      <c r="M18" s="128"/>
      <c r="N18" s="129"/>
      <c r="O18" s="17"/>
      <c r="P18" s="17"/>
      <c r="Q18" s="17"/>
      <c r="R18" s="19"/>
    </row>
    <row r="19" spans="1:18" x14ac:dyDescent="0.25">
      <c r="B19" s="573"/>
      <c r="C19" s="4"/>
      <c r="D19" s="572"/>
      <c r="E19" s="128"/>
      <c r="F19" s="129"/>
      <c r="G19" s="128"/>
      <c r="H19" s="128"/>
      <c r="I19" s="130"/>
      <c r="J19" s="130"/>
      <c r="K19" s="130"/>
      <c r="L19" s="4"/>
      <c r="M19" s="4"/>
    </row>
    <row r="20" spans="1:18" x14ac:dyDescent="0.25">
      <c r="B20" s="573"/>
      <c r="C20" s="4"/>
      <c r="D20" s="572"/>
      <c r="E20" s="128"/>
      <c r="F20" s="129"/>
      <c r="G20" s="128"/>
      <c r="H20" s="128"/>
      <c r="I20" s="130"/>
      <c r="J20" s="130"/>
      <c r="K20" s="130"/>
      <c r="L20" s="4"/>
      <c r="M20" s="4"/>
    </row>
    <row r="21" spans="1:18" x14ac:dyDescent="0.25">
      <c r="B21" s="573"/>
      <c r="C21" s="4"/>
      <c r="D21" s="572"/>
      <c r="E21" s="128"/>
      <c r="F21" s="129"/>
      <c r="G21" s="128"/>
      <c r="H21" s="128"/>
      <c r="I21" s="130"/>
      <c r="J21" s="130"/>
      <c r="K21" s="130"/>
      <c r="L21" s="4"/>
      <c r="M21" s="4"/>
    </row>
    <row r="22" spans="1:18" x14ac:dyDescent="0.25">
      <c r="B22" s="573"/>
      <c r="C22" s="4"/>
      <c r="D22" s="572"/>
      <c r="E22" s="128"/>
      <c r="F22" s="129"/>
      <c r="G22" s="128"/>
      <c r="H22" s="128"/>
      <c r="I22" s="130"/>
      <c r="J22" s="130"/>
      <c r="K22" s="130"/>
      <c r="L22" s="4"/>
      <c r="M22" s="4"/>
    </row>
    <row r="23" spans="1:18" x14ac:dyDescent="0.25">
      <c r="B23" s="573"/>
      <c r="C23" s="4"/>
      <c r="D23" s="572"/>
      <c r="E23" s="128"/>
      <c r="F23" s="129"/>
      <c r="G23" s="128"/>
      <c r="H23" s="128"/>
      <c r="I23" s="130"/>
      <c r="J23" s="130"/>
      <c r="K23" s="130"/>
      <c r="L23" s="4"/>
      <c r="M23" s="4"/>
    </row>
    <row r="24" spans="1:18" x14ac:dyDescent="0.25">
      <c r="B24" s="574" t="s">
        <v>481</v>
      </c>
      <c r="C24" s="4"/>
      <c r="D24" s="4"/>
      <c r="E24" s="4"/>
      <c r="F24" s="4"/>
      <c r="G24" s="4"/>
      <c r="H24" s="4"/>
      <c r="I24" s="4"/>
      <c r="J24" s="4"/>
      <c r="K24" s="130"/>
      <c r="L24" s="4"/>
      <c r="M24" s="4"/>
    </row>
    <row r="25" spans="1:18" x14ac:dyDescent="0.25">
      <c r="B25" s="4"/>
      <c r="C25" s="574" t="s">
        <v>482</v>
      </c>
      <c r="D25" s="4"/>
      <c r="E25" s="4"/>
      <c r="F25" s="4"/>
      <c r="G25" s="4"/>
      <c r="H25" s="4"/>
      <c r="I25" s="131"/>
      <c r="J25" s="18"/>
      <c r="K25" s="130"/>
      <c r="L25" s="4"/>
      <c r="M25" s="4"/>
    </row>
    <row r="26" spans="1:18" x14ac:dyDescent="0.25">
      <c r="B26" s="4"/>
      <c r="C26" s="4"/>
      <c r="D26" s="4"/>
      <c r="E26" s="4"/>
      <c r="F26" s="4"/>
      <c r="G26" s="4"/>
      <c r="H26" s="4"/>
      <c r="I26" s="131"/>
      <c r="J26" s="18"/>
    </row>
    <row r="27" spans="1:18" x14ac:dyDescent="0.25">
      <c r="B27" s="574" t="s">
        <v>88</v>
      </c>
      <c r="C27" s="4"/>
      <c r="D27" s="4"/>
      <c r="E27" s="4"/>
      <c r="F27" s="4"/>
      <c r="G27" s="4"/>
      <c r="H27" s="4"/>
      <c r="I27" s="131"/>
      <c r="J27" s="18"/>
    </row>
    <row r="28" spans="1:18" x14ac:dyDescent="0.25">
      <c r="B28" s="4"/>
      <c r="C28" s="574" t="s">
        <v>89</v>
      </c>
      <c r="D28" s="4"/>
      <c r="E28" s="4"/>
      <c r="F28" s="4"/>
      <c r="G28" s="4"/>
      <c r="H28" s="4"/>
      <c r="I28" s="131"/>
      <c r="J28" s="18"/>
    </row>
  </sheetData>
  <mergeCells count="4">
    <mergeCell ref="A1:N1"/>
    <mergeCell ref="A2:N2"/>
    <mergeCell ref="A3:N3"/>
    <mergeCell ref="A4:N4"/>
  </mergeCells>
  <pageMargins left="0.7" right="0.7" top="0.75" bottom="0.75" header="0.3" footer="0.3"/>
  <pageSetup scale="71" orientation="landscape" r:id="rId1"/>
  <headerFooter>
    <oddFooter>&amp;R&amp;"Times New Roman,Bold"Exhibit B-1
Page 3 of 7</oddFoot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tabColor theme="3" tint="0.59999389629810485"/>
    <pageSetUpPr fitToPage="1"/>
  </sheetPr>
  <dimension ref="A1:S64"/>
  <sheetViews>
    <sheetView zoomScale="80" zoomScaleNormal="80" workbookViewId="0"/>
  </sheetViews>
  <sheetFormatPr defaultColWidth="6.109375" defaultRowHeight="15.75" x14ac:dyDescent="0.25"/>
  <cols>
    <col min="1" max="1" width="6.109375" style="4"/>
    <col min="2" max="2" width="10.88671875" style="4" customWidth="1"/>
    <col min="3" max="3" width="18.77734375" style="4" customWidth="1"/>
    <col min="4" max="4" width="11.21875" style="4" customWidth="1"/>
    <col min="5" max="5" width="10.33203125" style="4" customWidth="1"/>
    <col min="6" max="6" width="12.21875" style="4" customWidth="1"/>
    <col min="7" max="7" width="11" style="4" customWidth="1"/>
    <col min="8" max="8" width="12" style="4" customWidth="1"/>
    <col min="9" max="9" width="11.44140625" style="4" customWidth="1"/>
    <col min="10" max="10" width="12.5546875" style="4" bestFit="1" customWidth="1"/>
    <col min="11" max="11" width="13.109375" style="4" customWidth="1"/>
    <col min="12" max="12" width="15.88671875" style="4" bestFit="1" customWidth="1"/>
    <col min="13" max="13" width="22" style="4" customWidth="1"/>
    <col min="14" max="16384" width="6.109375" style="4"/>
  </cols>
  <sheetData>
    <row r="1" spans="1:13" ht="18.75" x14ac:dyDescent="0.3">
      <c r="B1" s="664" t="s">
        <v>5</v>
      </c>
      <c r="C1" s="664"/>
      <c r="D1" s="664"/>
      <c r="E1" s="664"/>
      <c r="F1" s="664"/>
      <c r="G1" s="664"/>
      <c r="H1" s="664"/>
      <c r="I1" s="664"/>
      <c r="J1" s="664"/>
      <c r="K1" s="664"/>
      <c r="L1" s="664"/>
      <c r="M1" s="664"/>
    </row>
    <row r="2" spans="1:13" ht="18.75" x14ac:dyDescent="0.3">
      <c r="B2" s="665" t="s">
        <v>295</v>
      </c>
      <c r="C2" s="665"/>
      <c r="D2" s="665"/>
      <c r="E2" s="665"/>
      <c r="F2" s="665"/>
      <c r="G2" s="665"/>
      <c r="H2" s="665"/>
      <c r="I2" s="665"/>
      <c r="J2" s="665"/>
      <c r="K2" s="665"/>
      <c r="L2" s="665"/>
      <c r="M2" s="665"/>
    </row>
    <row r="3" spans="1:13" ht="18.75" x14ac:dyDescent="0.3">
      <c r="B3" s="665" t="s">
        <v>296</v>
      </c>
      <c r="C3" s="665"/>
      <c r="D3" s="665"/>
      <c r="E3" s="665"/>
      <c r="F3" s="665"/>
      <c r="G3" s="665"/>
      <c r="H3" s="665"/>
      <c r="I3" s="665"/>
      <c r="J3" s="665"/>
      <c r="K3" s="665"/>
      <c r="L3" s="665"/>
      <c r="M3" s="665"/>
    </row>
    <row r="4" spans="1:13" ht="18.75" x14ac:dyDescent="0.3">
      <c r="B4" s="665" t="str">
        <f>CONCATENATE("For Service Rendered On and After ",'Input Data'!$D$4)</f>
        <v>For Service Rendered On and After February 1, 2026</v>
      </c>
      <c r="C4" s="665"/>
      <c r="D4" s="665"/>
      <c r="E4" s="665"/>
      <c r="F4" s="665"/>
      <c r="G4" s="665"/>
      <c r="H4" s="665"/>
      <c r="I4" s="665"/>
      <c r="J4" s="665"/>
      <c r="K4" s="665"/>
      <c r="L4" s="665"/>
      <c r="M4" s="665"/>
    </row>
    <row r="5" spans="1:13" x14ac:dyDescent="0.25">
      <c r="B5" s="236"/>
      <c r="C5" s="236"/>
      <c r="D5" s="236"/>
      <c r="E5" s="236"/>
      <c r="F5" s="236"/>
      <c r="G5" s="236"/>
      <c r="H5" s="236"/>
      <c r="I5" s="236"/>
      <c r="J5" s="236"/>
      <c r="K5" s="236"/>
      <c r="L5" s="236"/>
      <c r="M5" s="236"/>
    </row>
    <row r="6" spans="1:13" x14ac:dyDescent="0.25">
      <c r="B6" s="236"/>
      <c r="C6" s="236"/>
      <c r="D6" s="236"/>
      <c r="E6" s="236"/>
      <c r="F6" s="236"/>
      <c r="G6" s="236"/>
      <c r="H6" s="236"/>
      <c r="I6" s="236"/>
      <c r="J6" s="236"/>
      <c r="K6" s="236"/>
      <c r="L6" s="236"/>
      <c r="M6" s="236"/>
    </row>
    <row r="7" spans="1:13" x14ac:dyDescent="0.25">
      <c r="B7" s="236"/>
      <c r="C7" s="236"/>
      <c r="D7" s="236"/>
      <c r="E7" s="236"/>
      <c r="F7" s="236"/>
      <c r="G7" s="236"/>
      <c r="H7" s="236"/>
      <c r="I7" s="236"/>
      <c r="J7" s="236"/>
      <c r="K7" s="236"/>
      <c r="L7" s="236"/>
      <c r="M7" s="236"/>
    </row>
    <row r="10" spans="1:13" x14ac:dyDescent="0.25">
      <c r="D10" s="134" t="s">
        <v>69</v>
      </c>
      <c r="M10" s="134" t="s">
        <v>68</v>
      </c>
    </row>
    <row r="11" spans="1:13" x14ac:dyDescent="0.25">
      <c r="A11" s="134" t="s">
        <v>319</v>
      </c>
      <c r="B11" s="134" t="s">
        <v>370</v>
      </c>
      <c r="C11" s="134" t="s">
        <v>72</v>
      </c>
      <c r="D11" s="134" t="s">
        <v>73</v>
      </c>
      <c r="E11" s="134" t="s">
        <v>74</v>
      </c>
      <c r="F11" s="134" t="s">
        <v>74</v>
      </c>
      <c r="G11" s="134" t="s">
        <v>75</v>
      </c>
      <c r="H11" s="134" t="s">
        <v>75</v>
      </c>
      <c r="I11" s="134" t="s">
        <v>69</v>
      </c>
      <c r="J11" s="134" t="s">
        <v>76</v>
      </c>
      <c r="L11" s="134" t="s">
        <v>435</v>
      </c>
      <c r="M11" s="134" t="s">
        <v>70</v>
      </c>
    </row>
    <row r="12" spans="1:13" x14ac:dyDescent="0.25">
      <c r="A12" s="126" t="s">
        <v>320</v>
      </c>
      <c r="B12" s="126" t="s">
        <v>261</v>
      </c>
      <c r="C12" s="126" t="s">
        <v>79</v>
      </c>
      <c r="D12" s="126" t="s">
        <v>80</v>
      </c>
      <c r="E12" s="126" t="s">
        <v>81</v>
      </c>
      <c r="F12" s="126" t="s">
        <v>82</v>
      </c>
      <c r="G12" s="126" t="s">
        <v>83</v>
      </c>
      <c r="H12" s="126" t="s">
        <v>84</v>
      </c>
      <c r="I12" s="126" t="s">
        <v>11</v>
      </c>
      <c r="J12" s="126" t="s">
        <v>484</v>
      </c>
      <c r="K12" s="126" t="s">
        <v>77</v>
      </c>
      <c r="L12" s="118" t="s">
        <v>436</v>
      </c>
      <c r="M12" s="230" t="s">
        <v>458</v>
      </c>
    </row>
    <row r="13" spans="1:13" x14ac:dyDescent="0.25">
      <c r="B13" s="134" t="s">
        <v>60</v>
      </c>
      <c r="C13" s="134" t="s">
        <v>61</v>
      </c>
      <c r="D13" s="134" t="s">
        <v>62</v>
      </c>
      <c r="E13" s="310">
        <v>-4</v>
      </c>
      <c r="F13" s="310">
        <v>-5</v>
      </c>
      <c r="G13" s="310">
        <v>-6</v>
      </c>
      <c r="H13" s="310">
        <v>-7</v>
      </c>
      <c r="I13" s="310">
        <v>-8</v>
      </c>
      <c r="J13" s="311" t="s">
        <v>112</v>
      </c>
      <c r="K13" s="310">
        <v>-10</v>
      </c>
      <c r="L13" s="39" t="s">
        <v>373</v>
      </c>
      <c r="M13" s="310">
        <v>-12</v>
      </c>
    </row>
    <row r="14" spans="1:13" x14ac:dyDescent="0.25">
      <c r="B14" s="134"/>
      <c r="C14" s="134"/>
      <c r="D14" s="134"/>
      <c r="E14" s="310"/>
      <c r="F14" s="310"/>
      <c r="G14" s="310"/>
      <c r="H14" s="310"/>
      <c r="I14" s="310"/>
      <c r="J14" s="311"/>
      <c r="K14" s="310"/>
      <c r="L14" s="39"/>
      <c r="M14" s="310"/>
    </row>
    <row r="15" spans="1:13" ht="18.75" customHeight="1" x14ac:dyDescent="0.25">
      <c r="A15" s="134">
        <v>1</v>
      </c>
      <c r="B15" s="567">
        <f>'Input Data'!C7</f>
        <v>45870</v>
      </c>
      <c r="C15" s="134" t="str">
        <f>'Ex B-1 1 of 7'!C13</f>
        <v>2025-00188</v>
      </c>
      <c r="D15" s="330">
        <f>VLOOKUP(C15,'Case Database'!C3:K200,9)</f>
        <v>0.14419999999999999</v>
      </c>
      <c r="E15" s="327">
        <f>'FT Data'!L5</f>
        <v>0</v>
      </c>
      <c r="F15" s="315">
        <f>'FT Data'!M5</f>
        <v>0</v>
      </c>
      <c r="G15" s="327">
        <f>'FT Data'!U5</f>
        <v>584</v>
      </c>
      <c r="H15" s="315">
        <f>'FT Data'!V5</f>
        <v>1627.61</v>
      </c>
      <c r="I15" s="316">
        <f>'FT Data'!AK5</f>
        <v>25389</v>
      </c>
      <c r="J15" s="315">
        <f>ROUND(D15*I15,2)</f>
        <v>3661.09</v>
      </c>
      <c r="K15" s="315">
        <f>'FT Data'!Z5</f>
        <v>0</v>
      </c>
      <c r="L15" s="315">
        <f>'FT Data'!X5</f>
        <v>0</v>
      </c>
      <c r="M15" s="185">
        <f>ROUND((F15+H15+J15+K15+L15),0)</f>
        <v>5289</v>
      </c>
    </row>
    <row r="16" spans="1:13" ht="18.75" customHeight="1" x14ac:dyDescent="0.25">
      <c r="A16" s="134">
        <v>2</v>
      </c>
      <c r="B16" s="567">
        <f>EDATE(B15,1)</f>
        <v>45901</v>
      </c>
      <c r="C16" s="134" t="str">
        <f>C15</f>
        <v>2025-00188</v>
      </c>
      <c r="D16" s="330">
        <f>D15</f>
        <v>0.14419999999999999</v>
      </c>
      <c r="E16" s="327">
        <f>'FT Data'!L6</f>
        <v>9062</v>
      </c>
      <c r="F16" s="315">
        <f>'FT Data'!M6</f>
        <v>28104.83</v>
      </c>
      <c r="G16" s="327">
        <f>'FT Data'!U6</f>
        <v>1125</v>
      </c>
      <c r="H16" s="315">
        <f>'FT Data'!V6</f>
        <v>2747.36</v>
      </c>
      <c r="I16" s="316">
        <f>'FT Data'!AK6</f>
        <v>57038</v>
      </c>
      <c r="J16" s="315">
        <f>ROUND(D16*I16,2)</f>
        <v>8224.8799999999992</v>
      </c>
      <c r="K16" s="315">
        <f>'FT Data'!Z6</f>
        <v>0</v>
      </c>
      <c r="L16" s="315">
        <f>'FT Data'!X6</f>
        <v>0</v>
      </c>
      <c r="M16" s="185">
        <f>ROUND((F16+H16+J16+K16+L16),0)</f>
        <v>39077</v>
      </c>
    </row>
    <row r="17" spans="1:19" ht="18.75" customHeight="1" x14ac:dyDescent="0.25">
      <c r="A17" s="134">
        <v>3</v>
      </c>
      <c r="B17" s="568">
        <f>EDATE(B16,1)</f>
        <v>45931</v>
      </c>
      <c r="C17" s="569" t="str">
        <f>C15</f>
        <v>2025-00188</v>
      </c>
      <c r="D17" s="331">
        <f>D15</f>
        <v>0.14419999999999999</v>
      </c>
      <c r="E17" s="332">
        <f>'FT Data'!L7</f>
        <v>13497</v>
      </c>
      <c r="F17" s="323">
        <f>'FT Data'!M7</f>
        <v>44744.47</v>
      </c>
      <c r="G17" s="332">
        <f>'FT Data'!U7</f>
        <v>451</v>
      </c>
      <c r="H17" s="323">
        <f>'FT Data'!V7</f>
        <v>1266.72</v>
      </c>
      <c r="I17" s="324">
        <f>'FT Data'!AK7</f>
        <v>59263</v>
      </c>
      <c r="J17" s="323">
        <f>ROUND(D17*I17,2)</f>
        <v>8545.7199999999993</v>
      </c>
      <c r="K17" s="323">
        <f>'FT Data'!Z7</f>
        <v>0</v>
      </c>
      <c r="L17" s="323">
        <f>'FT Data'!X7</f>
        <v>0</v>
      </c>
      <c r="M17" s="326">
        <f>ROUND((F17+H17+J17+K17+L17),0)</f>
        <v>54557</v>
      </c>
    </row>
    <row r="18" spans="1:19" ht="16.5" customHeight="1" x14ac:dyDescent="0.25">
      <c r="B18" s="570"/>
      <c r="C18" s="134"/>
      <c r="D18" s="134"/>
      <c r="E18" s="327"/>
      <c r="F18" s="328"/>
      <c r="G18" s="327"/>
      <c r="H18" s="329"/>
      <c r="I18" s="327"/>
      <c r="J18" s="328"/>
      <c r="K18" s="83"/>
      <c r="L18" s="125"/>
      <c r="M18" s="185"/>
    </row>
    <row r="19" spans="1:19" x14ac:dyDescent="0.25">
      <c r="A19" s="134">
        <v>4</v>
      </c>
      <c r="B19" s="134"/>
      <c r="C19" s="134"/>
      <c r="D19" s="134"/>
      <c r="E19" s="327"/>
      <c r="F19" s="328"/>
      <c r="G19" s="327"/>
      <c r="H19" s="329"/>
      <c r="I19" s="327"/>
      <c r="J19" s="328"/>
      <c r="K19" s="127" t="s">
        <v>377</v>
      </c>
      <c r="L19" s="123"/>
      <c r="M19" s="185">
        <f>SUM(M15:M17)</f>
        <v>98923</v>
      </c>
    </row>
    <row r="20" spans="1:19" x14ac:dyDescent="0.25">
      <c r="A20" s="134"/>
      <c r="B20" s="134"/>
      <c r="C20" s="134"/>
      <c r="D20" s="134"/>
      <c r="E20" s="327"/>
      <c r="F20" s="328"/>
      <c r="G20" s="327"/>
      <c r="H20" s="329"/>
      <c r="I20" s="327"/>
      <c r="J20" s="328"/>
      <c r="K20" s="127"/>
      <c r="L20" s="123"/>
      <c r="M20" s="185"/>
    </row>
    <row r="21" spans="1:19" x14ac:dyDescent="0.25">
      <c r="A21" s="496"/>
      <c r="B21" s="571"/>
      <c r="D21" s="572"/>
      <c r="E21" s="128"/>
      <c r="F21" s="129"/>
      <c r="G21" s="327"/>
      <c r="H21" s="329"/>
      <c r="I21" s="327"/>
      <c r="J21" s="328"/>
      <c r="K21" s="127"/>
      <c r="L21" s="123"/>
      <c r="M21" s="185"/>
    </row>
    <row r="22" spans="1:19" x14ac:dyDescent="0.25">
      <c r="A22" s="496"/>
      <c r="B22" s="571"/>
      <c r="D22" s="572"/>
      <c r="E22" s="128"/>
      <c r="F22" s="129"/>
      <c r="G22" s="128"/>
      <c r="H22" s="130"/>
      <c r="I22" s="128"/>
      <c r="J22" s="129"/>
      <c r="K22" s="17"/>
      <c r="L22" s="17"/>
      <c r="M22" s="19"/>
    </row>
    <row r="23" spans="1:19" x14ac:dyDescent="0.25">
      <c r="B23" s="573"/>
      <c r="D23" s="572"/>
      <c r="E23" s="128"/>
      <c r="F23" s="129"/>
      <c r="G23" s="128"/>
      <c r="H23" s="130"/>
      <c r="J23" s="99"/>
      <c r="K23" s="99"/>
      <c r="L23" s="99"/>
      <c r="M23" s="99"/>
      <c r="N23" s="99"/>
      <c r="O23" s="99"/>
      <c r="P23" s="99"/>
      <c r="Q23" s="99"/>
      <c r="R23" s="99"/>
      <c r="S23" s="99"/>
    </row>
    <row r="24" spans="1:19" x14ac:dyDescent="0.25">
      <c r="B24" s="573"/>
      <c r="D24" s="572"/>
      <c r="E24" s="128"/>
      <c r="F24" s="129"/>
      <c r="G24" s="128"/>
      <c r="H24" s="130"/>
      <c r="J24" s="99"/>
      <c r="K24" s="99"/>
      <c r="L24" s="99"/>
      <c r="M24" s="494"/>
      <c r="N24" s="99"/>
      <c r="O24" s="99"/>
      <c r="P24" s="99"/>
      <c r="Q24" s="99"/>
      <c r="R24" s="99"/>
      <c r="S24" s="99"/>
    </row>
    <row r="25" spans="1:19" x14ac:dyDescent="0.25">
      <c r="B25" s="574" t="s">
        <v>86</v>
      </c>
    </row>
    <row r="26" spans="1:19" x14ac:dyDescent="0.25">
      <c r="C26" s="574" t="s">
        <v>87</v>
      </c>
      <c r="I26" s="131"/>
      <c r="J26" s="18"/>
      <c r="K26" s="493"/>
      <c r="M26" s="495"/>
    </row>
    <row r="27" spans="1:19" x14ac:dyDescent="0.25">
      <c r="I27" s="131"/>
      <c r="J27" s="18"/>
      <c r="M27" s="17"/>
    </row>
    <row r="28" spans="1:19" x14ac:dyDescent="0.25">
      <c r="B28" s="574" t="s">
        <v>88</v>
      </c>
      <c r="I28" s="131"/>
      <c r="J28" s="18"/>
      <c r="K28" s="17"/>
      <c r="M28" s="17"/>
    </row>
    <row r="29" spans="1:19" x14ac:dyDescent="0.25">
      <c r="C29" s="574" t="s">
        <v>89</v>
      </c>
      <c r="I29" s="131"/>
      <c r="J29" s="18"/>
      <c r="M29" s="19"/>
    </row>
    <row r="30" spans="1:19" x14ac:dyDescent="0.25">
      <c r="B30" s="574"/>
      <c r="I30" s="131"/>
      <c r="J30" s="18"/>
      <c r="L30" s="17"/>
      <c r="M30" s="19"/>
    </row>
    <row r="31" spans="1:19" x14ac:dyDescent="0.25">
      <c r="B31" s="574"/>
      <c r="I31" s="131"/>
      <c r="J31" s="18"/>
      <c r="L31" s="17"/>
      <c r="M31" s="19"/>
    </row>
    <row r="32" spans="1:19" x14ac:dyDescent="0.25">
      <c r="B32" s="574"/>
      <c r="I32" s="131"/>
      <c r="J32" s="18"/>
      <c r="M32" s="19"/>
    </row>
    <row r="33" spans="2:13" x14ac:dyDescent="0.25">
      <c r="B33" s="574"/>
      <c r="I33" s="131"/>
      <c r="J33" s="18"/>
      <c r="M33" s="19"/>
    </row>
    <row r="34" spans="2:13" x14ac:dyDescent="0.25">
      <c r="B34" s="574"/>
      <c r="I34" s="131"/>
      <c r="J34" s="18"/>
    </row>
    <row r="35" spans="2:13" x14ac:dyDescent="0.25">
      <c r="B35" s="7"/>
      <c r="C35" s="7"/>
      <c r="D35" s="7"/>
      <c r="E35" s="7"/>
      <c r="F35" s="7"/>
      <c r="G35" s="7"/>
      <c r="H35" s="7"/>
      <c r="I35" s="20"/>
      <c r="J35" s="21"/>
      <c r="K35" s="7"/>
      <c r="L35" s="7"/>
      <c r="M35" s="7"/>
    </row>
    <row r="36" spans="2:13" ht="18.75" x14ac:dyDescent="0.3">
      <c r="D36" s="7"/>
      <c r="I36" s="20"/>
      <c r="J36" s="21"/>
      <c r="K36" s="7"/>
      <c r="L36" s="7"/>
      <c r="M36" s="16"/>
    </row>
    <row r="37" spans="2:13" ht="18.75" x14ac:dyDescent="0.3">
      <c r="B37" s="7"/>
      <c r="C37" s="7"/>
      <c r="D37" s="7"/>
      <c r="E37" s="7"/>
      <c r="F37" s="7"/>
      <c r="G37" s="7"/>
      <c r="H37" s="7"/>
      <c r="I37" s="20"/>
      <c r="J37" s="21"/>
      <c r="K37" s="7"/>
      <c r="L37" s="7"/>
      <c r="M37" s="16"/>
    </row>
    <row r="38" spans="2:13" x14ac:dyDescent="0.25">
      <c r="B38" s="7"/>
      <c r="C38" s="7"/>
      <c r="D38" s="7"/>
      <c r="E38" s="7"/>
      <c r="F38" s="7"/>
      <c r="G38" s="7"/>
      <c r="H38" s="7"/>
      <c r="I38" s="7"/>
      <c r="J38" s="21"/>
      <c r="K38" s="7"/>
      <c r="L38" s="7"/>
    </row>
    <row r="39" spans="2:13" x14ac:dyDescent="0.25">
      <c r="H39" s="7"/>
    </row>
    <row r="50" spans="2:13" x14ac:dyDescent="0.25">
      <c r="B50" s="7"/>
      <c r="C50" s="7"/>
      <c r="D50" s="7"/>
      <c r="E50" s="7"/>
      <c r="F50" s="7"/>
      <c r="G50" s="7"/>
      <c r="H50" s="7"/>
    </row>
    <row r="56" spans="2:13" ht="18.75" x14ac:dyDescent="0.3">
      <c r="K56" s="8"/>
      <c r="L56" s="8"/>
      <c r="M56" s="8"/>
    </row>
    <row r="57" spans="2:13" ht="23.25" x14ac:dyDescent="0.35">
      <c r="K57" s="8"/>
      <c r="L57" s="8"/>
      <c r="M57" s="9"/>
    </row>
    <row r="58" spans="2:13" ht="23.25" x14ac:dyDescent="0.35">
      <c r="K58" s="8"/>
      <c r="L58" s="8"/>
      <c r="M58" s="9"/>
    </row>
    <row r="59" spans="2:13" ht="23.25" x14ac:dyDescent="0.35">
      <c r="K59" s="8"/>
      <c r="L59" s="8"/>
      <c r="M59" s="9"/>
    </row>
    <row r="60" spans="2:13" ht="23.25" x14ac:dyDescent="0.35">
      <c r="K60" s="8"/>
      <c r="L60" s="8"/>
      <c r="M60" s="9"/>
    </row>
    <row r="61" spans="2:13" ht="23.25" x14ac:dyDescent="0.35">
      <c r="K61" s="8"/>
      <c r="L61" s="8"/>
      <c r="M61" s="9"/>
    </row>
    <row r="62" spans="2:13" ht="23.25" x14ac:dyDescent="0.35">
      <c r="K62" s="8"/>
      <c r="L62" s="8"/>
      <c r="M62" s="9"/>
    </row>
    <row r="63" spans="2:13" ht="23.25" x14ac:dyDescent="0.35">
      <c r="K63" s="8"/>
      <c r="L63" s="8"/>
      <c r="M63" s="9"/>
    </row>
    <row r="64" spans="2:13" ht="23.25" x14ac:dyDescent="0.35">
      <c r="K64" s="8"/>
      <c r="L64" s="8"/>
      <c r="M64" s="9"/>
    </row>
  </sheetData>
  <mergeCells count="4">
    <mergeCell ref="B1:M1"/>
    <mergeCell ref="B2:M2"/>
    <mergeCell ref="B3:M3"/>
    <mergeCell ref="B4:M4"/>
  </mergeCells>
  <phoneticPr fontId="8" type="noConversion"/>
  <pageMargins left="0.7" right="0.7" top="0.75" bottom="0.75" header="0.3" footer="0.3"/>
  <pageSetup scale="61" orientation="landscape" r:id="rId1"/>
  <headerFooter>
    <oddFooter>&amp;R&amp;"Times New Roman,Bold"Exhibit B-1
Page 4 of 7</oddFooter>
  </headerFooter>
  <rowBreaks count="1" manualBreakCount="1">
    <brk id="40" max="16383" man="1"/>
  </rowBreaks>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ransitionEvaluation="1" codeName="Sheet10">
    <tabColor theme="3" tint="0.59999389629810485"/>
    <pageSetUpPr fitToPage="1"/>
  </sheetPr>
  <dimension ref="A1:S38"/>
  <sheetViews>
    <sheetView zoomScale="80" zoomScaleNormal="80" workbookViewId="0"/>
  </sheetViews>
  <sheetFormatPr defaultColWidth="9.77734375" defaultRowHeight="15.75" x14ac:dyDescent="0.25"/>
  <cols>
    <col min="1" max="1" width="5.44140625" style="5" customWidth="1"/>
    <col min="2" max="2" width="11.44140625" style="5" customWidth="1"/>
    <col min="3" max="3" width="13.33203125" style="5" customWidth="1"/>
    <col min="4" max="4" width="9.44140625" style="5" customWidth="1"/>
    <col min="5" max="5" width="12.88671875" style="5" customWidth="1"/>
    <col min="6" max="6" width="12.44140625" style="5" customWidth="1"/>
    <col min="7" max="7" width="11.5546875" style="5" customWidth="1"/>
    <col min="8" max="8" width="13.33203125" style="5" customWidth="1"/>
    <col min="9" max="9" width="17.33203125" style="5" customWidth="1"/>
    <col min="10" max="10" width="5.33203125" style="5" customWidth="1"/>
    <col min="11" max="11" width="12.88671875" style="5" customWidth="1"/>
    <col min="12" max="12" width="11.88671875" style="5" customWidth="1"/>
    <col min="13" max="13" width="15.88671875" style="5" customWidth="1"/>
    <col min="14" max="14" width="12.6640625" style="5" customWidth="1"/>
    <col min="15" max="15" width="11.6640625" style="5" customWidth="1"/>
    <col min="16" max="16" width="11.5546875" style="5" customWidth="1"/>
    <col min="17" max="17" width="13.77734375" style="5" customWidth="1"/>
    <col min="18" max="18" width="12.88671875" style="5" bestFit="1" customWidth="1"/>
    <col min="19" max="16384" width="9.77734375" style="5"/>
  </cols>
  <sheetData>
    <row r="1" spans="1:19" ht="18.75" x14ac:dyDescent="0.3">
      <c r="B1" s="667" t="s">
        <v>5</v>
      </c>
      <c r="C1" s="667"/>
      <c r="D1" s="667"/>
      <c r="E1" s="667"/>
      <c r="F1" s="667"/>
      <c r="G1" s="667"/>
      <c r="H1" s="667"/>
      <c r="I1" s="667"/>
      <c r="J1" s="23"/>
      <c r="K1" s="23"/>
      <c r="L1" s="23"/>
      <c r="M1" s="23"/>
      <c r="N1" s="23"/>
      <c r="O1" s="23"/>
      <c r="P1" s="23"/>
      <c r="Q1" s="23"/>
      <c r="R1" s="23"/>
    </row>
    <row r="2" spans="1:19" ht="18.75" x14ac:dyDescent="0.3">
      <c r="B2" s="668" t="s">
        <v>309</v>
      </c>
      <c r="C2" s="668"/>
      <c r="D2" s="668"/>
      <c r="E2" s="668"/>
      <c r="F2" s="668"/>
      <c r="G2" s="668"/>
      <c r="H2" s="668"/>
      <c r="I2" s="668"/>
    </row>
    <row r="3" spans="1:19" ht="18.75" x14ac:dyDescent="0.3">
      <c r="B3" s="668" t="str">
        <f>CONCATENATE("For Service Rendered On and After ",'Input Data'!$D$4)</f>
        <v>For Service Rendered On and After February 1, 2026</v>
      </c>
      <c r="C3" s="668"/>
      <c r="D3" s="668"/>
      <c r="E3" s="668"/>
      <c r="F3" s="668"/>
      <c r="G3" s="668"/>
      <c r="H3" s="668"/>
      <c r="I3" s="668"/>
    </row>
    <row r="4" spans="1:19" x14ac:dyDescent="0.25">
      <c r="B4" s="237"/>
      <c r="C4" s="237"/>
      <c r="D4" s="237"/>
      <c r="E4" s="237"/>
      <c r="F4" s="237"/>
      <c r="G4" s="237"/>
      <c r="H4" s="237"/>
      <c r="I4" s="237"/>
      <c r="J4" s="237"/>
      <c r="N4" s="132"/>
      <c r="O4" s="132"/>
      <c r="P4" s="132"/>
      <c r="R4" s="23"/>
    </row>
    <row r="5" spans="1:19" x14ac:dyDescent="0.25">
      <c r="B5" s="237"/>
      <c r="C5" s="237"/>
      <c r="D5" s="237"/>
      <c r="E5" s="237"/>
      <c r="F5" s="237"/>
      <c r="G5" s="237"/>
      <c r="H5" s="237"/>
      <c r="I5" s="237"/>
      <c r="J5" s="237"/>
      <c r="N5" s="132"/>
      <c r="O5" s="132"/>
      <c r="P5" s="132"/>
      <c r="R5" s="23"/>
    </row>
    <row r="6" spans="1:19" x14ac:dyDescent="0.25">
      <c r="D6" s="132"/>
      <c r="E6" s="132"/>
      <c r="F6" s="132"/>
      <c r="I6" s="23"/>
      <c r="J6" s="23"/>
      <c r="N6" s="132"/>
      <c r="O6" s="132"/>
      <c r="P6" s="132"/>
      <c r="R6" s="23"/>
    </row>
    <row r="7" spans="1:19" x14ac:dyDescent="0.25">
      <c r="B7" s="132"/>
      <c r="C7" s="132"/>
      <c r="D7" s="132"/>
      <c r="E7" s="132"/>
      <c r="F7" s="132"/>
      <c r="G7" s="132"/>
      <c r="H7" s="132"/>
      <c r="I7" s="132"/>
      <c r="J7" s="132"/>
      <c r="K7" s="132"/>
      <c r="L7" s="132"/>
      <c r="M7" s="132"/>
      <c r="N7" s="132"/>
      <c r="O7" s="132"/>
      <c r="P7" s="132"/>
    </row>
    <row r="8" spans="1:19" x14ac:dyDescent="0.25">
      <c r="B8" s="132"/>
      <c r="C8" s="132"/>
      <c r="D8" s="132"/>
      <c r="E8" s="132"/>
      <c r="F8" s="132"/>
      <c r="G8" s="132"/>
      <c r="H8" s="132"/>
      <c r="I8" s="132"/>
      <c r="J8" s="3"/>
      <c r="K8" s="132"/>
      <c r="L8" s="132"/>
      <c r="M8" s="132"/>
      <c r="N8" s="132"/>
      <c r="O8" s="132"/>
      <c r="P8" s="132"/>
      <c r="Q8" s="132"/>
    </row>
    <row r="9" spans="1:19" ht="16.5" thickBot="1" x14ac:dyDescent="0.3">
      <c r="B9" s="666" t="s">
        <v>90</v>
      </c>
      <c r="C9" s="666"/>
      <c r="D9" s="666"/>
      <c r="E9" s="666"/>
      <c r="F9" s="666"/>
      <c r="G9" s="666"/>
      <c r="H9" s="666"/>
      <c r="I9" s="666"/>
      <c r="J9" s="3"/>
    </row>
    <row r="10" spans="1:19" x14ac:dyDescent="0.25">
      <c r="B10" s="132"/>
      <c r="C10" s="132"/>
      <c r="D10" s="132"/>
      <c r="E10" s="133" t="s">
        <v>92</v>
      </c>
      <c r="F10" s="133" t="s">
        <v>92</v>
      </c>
      <c r="G10" s="133" t="s">
        <v>93</v>
      </c>
      <c r="H10" s="132"/>
      <c r="I10" s="132"/>
      <c r="J10" s="3"/>
    </row>
    <row r="11" spans="1:19" x14ac:dyDescent="0.25">
      <c r="B11" s="132"/>
      <c r="C11" s="132"/>
      <c r="D11" s="132"/>
      <c r="E11" s="133" t="s">
        <v>94</v>
      </c>
      <c r="F11" s="133" t="s">
        <v>94</v>
      </c>
      <c r="G11" s="133" t="s">
        <v>11</v>
      </c>
      <c r="H11" s="132"/>
      <c r="I11" s="132"/>
      <c r="J11" s="3"/>
    </row>
    <row r="12" spans="1:19" x14ac:dyDescent="0.25">
      <c r="B12" s="132"/>
      <c r="C12" s="132"/>
      <c r="D12" s="132"/>
      <c r="E12" s="133" t="s">
        <v>96</v>
      </c>
      <c r="F12" s="133" t="s">
        <v>97</v>
      </c>
      <c r="G12" s="133" t="s">
        <v>98</v>
      </c>
      <c r="H12" s="133" t="s">
        <v>93</v>
      </c>
      <c r="I12" s="133" t="s">
        <v>11</v>
      </c>
      <c r="J12" s="133"/>
      <c r="K12" s="99"/>
      <c r="L12" s="99"/>
      <c r="M12" s="99"/>
      <c r="N12" s="99"/>
      <c r="O12" s="99"/>
      <c r="P12" s="99"/>
      <c r="Q12" s="99"/>
      <c r="R12" s="99"/>
      <c r="S12" s="99"/>
    </row>
    <row r="13" spans="1:19" x14ac:dyDescent="0.25">
      <c r="A13" s="134" t="s">
        <v>319</v>
      </c>
      <c r="B13" s="133" t="s">
        <v>370</v>
      </c>
      <c r="C13" s="133" t="s">
        <v>11</v>
      </c>
      <c r="D13" s="133" t="s">
        <v>94</v>
      </c>
      <c r="E13" s="133" t="s">
        <v>100</v>
      </c>
      <c r="F13" s="133" t="s">
        <v>101</v>
      </c>
      <c r="G13" s="133" t="s">
        <v>102</v>
      </c>
      <c r="H13" s="133" t="s">
        <v>103</v>
      </c>
      <c r="I13" s="133" t="s">
        <v>104</v>
      </c>
      <c r="J13" s="133"/>
      <c r="K13" s="99"/>
      <c r="L13" s="99"/>
      <c r="M13" s="99"/>
      <c r="N13" s="99"/>
      <c r="O13" s="99"/>
      <c r="P13" s="99"/>
      <c r="Q13" s="99"/>
      <c r="R13" s="99"/>
      <c r="S13" s="99"/>
    </row>
    <row r="14" spans="1:19" ht="15" customHeight="1" x14ac:dyDescent="0.25">
      <c r="A14" s="126" t="s">
        <v>320</v>
      </c>
      <c r="B14" s="333" t="s">
        <v>261</v>
      </c>
      <c r="C14" s="334" t="s">
        <v>94</v>
      </c>
      <c r="D14" s="333" t="s">
        <v>107</v>
      </c>
      <c r="E14" s="334" t="s">
        <v>108</v>
      </c>
      <c r="F14" s="334" t="s">
        <v>103</v>
      </c>
      <c r="G14" s="334" t="s">
        <v>103</v>
      </c>
      <c r="H14" s="333" t="s">
        <v>109</v>
      </c>
      <c r="I14" s="334" t="s">
        <v>480</v>
      </c>
      <c r="J14" s="133"/>
      <c r="K14" s="99"/>
      <c r="L14" s="99"/>
      <c r="M14" s="99"/>
      <c r="N14" s="99"/>
      <c r="O14" s="99"/>
      <c r="P14" s="99"/>
      <c r="Q14" s="99"/>
      <c r="R14" s="99"/>
      <c r="S14" s="99"/>
    </row>
    <row r="15" spans="1:19" ht="30" x14ac:dyDescent="0.25">
      <c r="A15" s="134"/>
      <c r="B15" s="335" t="s">
        <v>60</v>
      </c>
      <c r="C15" s="335" t="s">
        <v>61</v>
      </c>
      <c r="D15" s="335" t="s">
        <v>62</v>
      </c>
      <c r="E15" s="335" t="s">
        <v>63</v>
      </c>
      <c r="F15" s="335" t="s">
        <v>64</v>
      </c>
      <c r="G15" s="335" t="s">
        <v>65</v>
      </c>
      <c r="H15" s="335" t="s">
        <v>66</v>
      </c>
      <c r="I15" s="336" t="s">
        <v>438</v>
      </c>
      <c r="J15" s="133"/>
      <c r="K15" s="99"/>
      <c r="L15" s="99"/>
      <c r="M15" s="99"/>
      <c r="N15" s="99"/>
      <c r="O15" s="99"/>
      <c r="P15" s="99"/>
      <c r="Q15" s="99"/>
      <c r="R15" s="99"/>
      <c r="S15" s="99"/>
    </row>
    <row r="16" spans="1:19" ht="18.75" customHeight="1" x14ac:dyDescent="0.25">
      <c r="A16" s="4"/>
      <c r="B16" s="23"/>
      <c r="K16" s="99"/>
      <c r="L16" s="99"/>
      <c r="M16" s="99"/>
      <c r="N16" s="99"/>
      <c r="O16" s="99"/>
      <c r="P16" s="99"/>
      <c r="Q16" s="99"/>
      <c r="R16" s="99"/>
      <c r="S16" s="99"/>
    </row>
    <row r="17" spans="1:19" ht="18.75" customHeight="1" x14ac:dyDescent="0.25">
      <c r="A17" s="134">
        <v>1</v>
      </c>
      <c r="B17" s="566">
        <f>'Input Data'!C7</f>
        <v>45870</v>
      </c>
      <c r="C17" s="5">
        <f>'Input Data'!C104</f>
        <v>2193797</v>
      </c>
      <c r="D17" s="5">
        <f>'Input Data'!C105</f>
        <v>0</v>
      </c>
      <c r="E17" s="5">
        <f>'Input Data'!C111</f>
        <v>-1394</v>
      </c>
      <c r="F17" s="5">
        <f>'Input Data'!C112</f>
        <v>-1513659</v>
      </c>
      <c r="G17" s="5">
        <f>'Input Data'!C113</f>
        <v>271</v>
      </c>
      <c r="H17" s="5">
        <f>'Input Data'!C114</f>
        <v>9167</v>
      </c>
      <c r="I17" s="135">
        <f>SUM(C17:H17)</f>
        <v>688182</v>
      </c>
      <c r="J17" s="135"/>
      <c r="K17" s="99"/>
      <c r="L17" s="99"/>
      <c r="M17" s="99"/>
      <c r="N17" s="99"/>
      <c r="O17" s="99"/>
      <c r="P17" s="99"/>
      <c r="Q17" s="99"/>
      <c r="R17" s="99"/>
      <c r="S17" s="99"/>
    </row>
    <row r="18" spans="1:19" ht="18.75" customHeight="1" x14ac:dyDescent="0.25">
      <c r="A18" s="134">
        <v>2</v>
      </c>
      <c r="B18" s="566">
        <f>EDATE(B17,1)</f>
        <v>45901</v>
      </c>
      <c r="C18" s="5">
        <f>'Input Data'!D104</f>
        <v>1647996</v>
      </c>
      <c r="D18" s="5">
        <f>'Input Data'!D105</f>
        <v>0</v>
      </c>
      <c r="E18" s="5">
        <f>'Input Data'!D111</f>
        <v>-1436</v>
      </c>
      <c r="F18" s="5">
        <f>'Input Data'!D112</f>
        <v>-929159</v>
      </c>
      <c r="G18" s="5">
        <f>'Input Data'!D113</f>
        <v>251</v>
      </c>
      <c r="H18" s="5">
        <f>'Input Data'!D114</f>
        <v>9167</v>
      </c>
      <c r="I18" s="135">
        <f>SUM(C18:H18)</f>
        <v>726819</v>
      </c>
      <c r="J18" s="135"/>
      <c r="K18" s="99"/>
      <c r="L18" s="99"/>
      <c r="M18" s="99"/>
      <c r="N18" s="99"/>
      <c r="O18" s="99"/>
      <c r="P18" s="99"/>
      <c r="Q18" s="99"/>
      <c r="R18" s="99"/>
      <c r="S18" s="99"/>
    </row>
    <row r="19" spans="1:19" ht="18.75" customHeight="1" x14ac:dyDescent="0.25">
      <c r="A19" s="134">
        <v>3</v>
      </c>
      <c r="B19" s="566">
        <f>EDATE(B18,1)</f>
        <v>45931</v>
      </c>
      <c r="C19" s="5">
        <f>'Input Data'!E104</f>
        <v>2490214</v>
      </c>
      <c r="D19" s="5">
        <f>'Input Data'!E105</f>
        <v>0</v>
      </c>
      <c r="E19" s="5">
        <f>'Input Data'!E111</f>
        <v>-1613</v>
      </c>
      <c r="F19" s="5">
        <f>'Input Data'!E112</f>
        <v>-1089385</v>
      </c>
      <c r="G19" s="5">
        <f>'Input Data'!E113</f>
        <v>611</v>
      </c>
      <c r="H19" s="5">
        <f>'Input Data'!E114</f>
        <v>9167</v>
      </c>
      <c r="I19" s="337">
        <f>SUM(C19:H19)</f>
        <v>1408994</v>
      </c>
      <c r="J19" s="135"/>
      <c r="K19" s="99"/>
      <c r="L19" s="99"/>
      <c r="M19" s="99"/>
      <c r="N19" s="99"/>
      <c r="O19" s="99"/>
      <c r="P19" s="99"/>
      <c r="Q19" s="99"/>
      <c r="R19" s="99"/>
      <c r="S19" s="99"/>
    </row>
    <row r="20" spans="1:19" ht="18.75" customHeight="1" x14ac:dyDescent="0.25">
      <c r="A20" s="4"/>
      <c r="B20" s="23"/>
      <c r="K20" s="99"/>
      <c r="L20" s="99"/>
      <c r="M20" s="99"/>
      <c r="N20" s="99"/>
      <c r="O20" s="99"/>
      <c r="P20" s="99"/>
      <c r="Q20" s="99"/>
      <c r="R20" s="99"/>
      <c r="S20" s="99"/>
    </row>
    <row r="21" spans="1:19" ht="18.75" customHeight="1" x14ac:dyDescent="0.25">
      <c r="A21" s="134">
        <v>4</v>
      </c>
      <c r="B21" s="23"/>
      <c r="I21" s="135">
        <f>SUM(I17:I20)</f>
        <v>2823995</v>
      </c>
      <c r="K21" s="99"/>
      <c r="L21" s="99"/>
      <c r="M21" s="99"/>
      <c r="N21" s="99"/>
      <c r="O21" s="99"/>
      <c r="P21" s="99"/>
      <c r="Q21" s="99"/>
      <c r="R21" s="99"/>
      <c r="S21" s="99"/>
    </row>
    <row r="22" spans="1:19" ht="18.75" customHeight="1" x14ac:dyDescent="0.25">
      <c r="B22" s="23"/>
      <c r="I22" s="23"/>
      <c r="J22" s="23"/>
      <c r="K22" s="99"/>
      <c r="L22" s="99"/>
      <c r="M22" s="99"/>
      <c r="N22" s="99"/>
      <c r="O22" s="99"/>
      <c r="P22" s="99"/>
      <c r="Q22" s="99"/>
      <c r="R22" s="99"/>
      <c r="S22" s="99"/>
    </row>
    <row r="23" spans="1:19" ht="18.75" customHeight="1" thickBot="1" x14ac:dyDescent="0.3">
      <c r="B23" s="666" t="s">
        <v>91</v>
      </c>
      <c r="C23" s="666"/>
      <c r="D23" s="666"/>
      <c r="E23" s="666"/>
      <c r="F23" s="666"/>
      <c r="G23" s="666"/>
      <c r="H23" s="666"/>
      <c r="I23" s="666"/>
      <c r="K23" s="99"/>
      <c r="L23" s="99"/>
      <c r="M23" s="99"/>
      <c r="N23" s="99"/>
      <c r="O23" s="99"/>
      <c r="P23" s="99"/>
      <c r="Q23" s="99"/>
      <c r="R23" s="99"/>
      <c r="S23" s="99"/>
    </row>
    <row r="24" spans="1:19" x14ac:dyDescent="0.25">
      <c r="B24" s="132"/>
      <c r="C24" s="132"/>
      <c r="D24" s="133"/>
      <c r="E24" s="133" t="s">
        <v>92</v>
      </c>
      <c r="F24" s="133" t="s">
        <v>93</v>
      </c>
      <c r="G24" s="133"/>
      <c r="H24" s="133"/>
      <c r="I24" s="133"/>
      <c r="K24" s="99"/>
      <c r="L24" s="99"/>
      <c r="M24" s="99"/>
      <c r="N24" s="99"/>
      <c r="O24" s="99"/>
      <c r="P24" s="99"/>
      <c r="Q24" s="99"/>
      <c r="R24" s="99"/>
      <c r="S24" s="99"/>
    </row>
    <row r="25" spans="1:19" x14ac:dyDescent="0.25">
      <c r="B25" s="132"/>
      <c r="C25" s="133"/>
      <c r="D25" s="133" t="s">
        <v>92</v>
      </c>
      <c r="E25" s="133" t="s">
        <v>94</v>
      </c>
      <c r="F25" s="133" t="s">
        <v>95</v>
      </c>
      <c r="G25" s="133"/>
      <c r="H25" s="133" t="s">
        <v>93</v>
      </c>
      <c r="I25" s="133"/>
      <c r="K25" s="99"/>
      <c r="L25" s="99"/>
      <c r="M25" s="99"/>
      <c r="N25" s="99"/>
      <c r="O25" s="99"/>
      <c r="P25" s="99"/>
      <c r="Q25" s="99"/>
      <c r="R25" s="99"/>
      <c r="S25" s="99"/>
    </row>
    <row r="26" spans="1:19" x14ac:dyDescent="0.25">
      <c r="B26" s="133"/>
      <c r="C26" s="133" t="s">
        <v>99</v>
      </c>
      <c r="D26" s="133" t="s">
        <v>94</v>
      </c>
      <c r="E26" s="133" t="s">
        <v>97</v>
      </c>
      <c r="F26" s="133" t="s">
        <v>98</v>
      </c>
      <c r="G26" s="133" t="s">
        <v>93</v>
      </c>
      <c r="H26" s="133" t="s">
        <v>353</v>
      </c>
      <c r="I26" s="133" t="s">
        <v>30</v>
      </c>
      <c r="K26" s="99"/>
      <c r="L26" s="99"/>
      <c r="M26" s="99"/>
      <c r="N26" s="99"/>
      <c r="O26" s="99"/>
      <c r="P26" s="99"/>
      <c r="Q26" s="99"/>
      <c r="R26" s="99"/>
      <c r="S26" s="99"/>
    </row>
    <row r="27" spans="1:19" x14ac:dyDescent="0.25">
      <c r="B27" s="133" t="s">
        <v>99</v>
      </c>
      <c r="C27" s="133" t="s">
        <v>105</v>
      </c>
      <c r="D27" s="133" t="s">
        <v>106</v>
      </c>
      <c r="E27" s="133" t="s">
        <v>101</v>
      </c>
      <c r="F27" s="133" t="s">
        <v>102</v>
      </c>
      <c r="G27" s="133" t="s">
        <v>103</v>
      </c>
      <c r="H27" s="133" t="s">
        <v>354</v>
      </c>
      <c r="I27" s="133" t="s">
        <v>67</v>
      </c>
      <c r="K27" s="99"/>
      <c r="L27" s="99"/>
      <c r="M27" s="99"/>
      <c r="N27" s="99"/>
      <c r="O27" s="99"/>
      <c r="P27" s="99"/>
      <c r="Q27" s="99"/>
      <c r="R27" s="99"/>
      <c r="S27" s="99"/>
    </row>
    <row r="28" spans="1:19" x14ac:dyDescent="0.25">
      <c r="B28" s="334" t="s">
        <v>105</v>
      </c>
      <c r="C28" s="334" t="s">
        <v>107</v>
      </c>
      <c r="D28" s="334" t="s">
        <v>479</v>
      </c>
      <c r="E28" s="334" t="s">
        <v>103</v>
      </c>
      <c r="F28" s="334" t="s">
        <v>103</v>
      </c>
      <c r="G28" s="333" t="s">
        <v>109</v>
      </c>
      <c r="H28" s="333" t="s">
        <v>355</v>
      </c>
      <c r="I28" s="334" t="s">
        <v>110</v>
      </c>
      <c r="K28" s="99"/>
      <c r="L28" s="99"/>
      <c r="M28" s="99"/>
      <c r="N28" s="99"/>
      <c r="O28" s="99"/>
      <c r="P28" s="99"/>
      <c r="Q28" s="99"/>
      <c r="R28" s="99"/>
      <c r="S28" s="99"/>
    </row>
    <row r="29" spans="1:19" ht="38.25" customHeight="1" x14ac:dyDescent="0.25">
      <c r="B29" s="335" t="s">
        <v>112</v>
      </c>
      <c r="C29" s="335" t="s">
        <v>113</v>
      </c>
      <c r="D29" s="335" t="s">
        <v>373</v>
      </c>
      <c r="E29" s="335" t="s">
        <v>363</v>
      </c>
      <c r="F29" s="335" t="s">
        <v>368</v>
      </c>
      <c r="G29" s="335" t="s">
        <v>374</v>
      </c>
      <c r="H29" s="335" t="s">
        <v>375</v>
      </c>
      <c r="I29" s="336" t="s">
        <v>439</v>
      </c>
      <c r="K29" s="99"/>
      <c r="L29" s="99"/>
      <c r="M29" s="99"/>
      <c r="N29" s="99"/>
      <c r="O29" s="99"/>
      <c r="P29" s="99"/>
      <c r="Q29" s="99"/>
      <c r="R29" s="99"/>
      <c r="S29" s="99"/>
    </row>
    <row r="30" spans="1:19" x14ac:dyDescent="0.25">
      <c r="K30" s="99"/>
      <c r="L30" s="99"/>
      <c r="M30" s="99"/>
      <c r="N30" s="99"/>
      <c r="O30" s="99"/>
      <c r="P30" s="99"/>
      <c r="Q30" s="99"/>
      <c r="R30" s="99"/>
      <c r="S30" s="99"/>
    </row>
    <row r="31" spans="1:19" x14ac:dyDescent="0.25">
      <c r="A31" s="5">
        <v>5</v>
      </c>
      <c r="B31" s="459">
        <f>'Input Data'!C117</f>
        <v>7035806.46</v>
      </c>
      <c r="C31" s="459">
        <f>'Input Data'!C118</f>
        <v>0</v>
      </c>
      <c r="D31" s="459">
        <f>'Input Data'!C119</f>
        <v>-3707.6</v>
      </c>
      <c r="E31" s="459">
        <f>'Input Data'!C120</f>
        <v>-5013995.4400000004</v>
      </c>
      <c r="F31" s="459">
        <f>'Input Data'!C121</f>
        <v>911.35</v>
      </c>
      <c r="G31" s="459">
        <f>'Input Data'!C122</f>
        <v>30827.7</v>
      </c>
      <c r="H31" s="459">
        <f>'Input Data'!C123</f>
        <v>8711.01</v>
      </c>
      <c r="I31" s="62">
        <f>ROUND(SUM(B31:H31),0)</f>
        <v>2058553</v>
      </c>
      <c r="K31" s="99"/>
      <c r="L31" s="99"/>
      <c r="M31" s="99"/>
      <c r="N31" s="99"/>
      <c r="O31" s="99"/>
      <c r="P31" s="99"/>
      <c r="Q31" s="99"/>
      <c r="R31" s="99"/>
      <c r="S31" s="99"/>
    </row>
    <row r="32" spans="1:19" x14ac:dyDescent="0.25">
      <c r="A32" s="5">
        <v>6</v>
      </c>
      <c r="B32" s="459">
        <f>'Input Data'!D117</f>
        <v>5457145.5300000003</v>
      </c>
      <c r="C32" s="459">
        <f>'Input Data'!D118</f>
        <v>0</v>
      </c>
      <c r="D32" s="459">
        <f>'Input Data'!D119</f>
        <v>-4444.7299999999996</v>
      </c>
      <c r="E32" s="459">
        <f>'Input Data'!D120</f>
        <v>-3216655.54</v>
      </c>
      <c r="F32" s="459">
        <f>'Input Data'!D121</f>
        <v>846.45</v>
      </c>
      <c r="G32" s="459">
        <f>'Input Data'!D122</f>
        <v>30913.87</v>
      </c>
      <c r="H32" s="459">
        <f>'Input Data'!D123</f>
        <v>11381.3</v>
      </c>
      <c r="I32" s="62">
        <f>ROUND(SUM(B32:H32),0)</f>
        <v>2279187</v>
      </c>
      <c r="K32" s="99"/>
      <c r="L32" s="99"/>
      <c r="M32" s="99"/>
      <c r="N32" s="99"/>
      <c r="O32" s="99"/>
      <c r="P32" s="99"/>
      <c r="Q32" s="99"/>
      <c r="R32" s="99"/>
      <c r="S32" s="99"/>
    </row>
    <row r="33" spans="1:19" x14ac:dyDescent="0.25">
      <c r="A33" s="5">
        <v>7</v>
      </c>
      <c r="B33" s="459">
        <f>'Input Data'!E117</f>
        <v>9144142.0199999996</v>
      </c>
      <c r="C33" s="459">
        <f>'Input Data'!E118</f>
        <v>0</v>
      </c>
      <c r="D33" s="459">
        <f>'Input Data'!E119</f>
        <v>-6173.63</v>
      </c>
      <c r="E33" s="459">
        <f>'Input Data'!E120</f>
        <v>-4042054.1</v>
      </c>
      <c r="F33" s="459">
        <f>'Input Data'!E121</f>
        <v>2081.31</v>
      </c>
      <c r="G33" s="459">
        <f>'Input Data'!E122</f>
        <v>31226.47</v>
      </c>
      <c r="H33" s="459">
        <f>'Input Data'!E123</f>
        <v>9964.25</v>
      </c>
      <c r="I33" s="338">
        <f>ROUND(SUM(B33:H33),0)</f>
        <v>5139186</v>
      </c>
      <c r="K33" s="99"/>
      <c r="L33" s="99"/>
      <c r="M33" s="99"/>
      <c r="N33" s="99"/>
      <c r="O33" s="99"/>
      <c r="P33" s="99"/>
      <c r="Q33" s="99"/>
      <c r="R33" s="99"/>
      <c r="S33" s="99"/>
    </row>
    <row r="34" spans="1:19" x14ac:dyDescent="0.25">
      <c r="B34" s="62"/>
      <c r="C34" s="62"/>
      <c r="D34" s="62"/>
      <c r="E34" s="62"/>
      <c r="F34" s="62"/>
      <c r="G34" s="62"/>
      <c r="H34" s="62"/>
      <c r="I34" s="62"/>
      <c r="K34" s="99"/>
      <c r="L34" s="99"/>
      <c r="M34" s="99"/>
      <c r="N34" s="99"/>
      <c r="O34" s="99"/>
      <c r="P34" s="99"/>
      <c r="Q34" s="99"/>
      <c r="R34" s="99"/>
      <c r="S34" s="99"/>
    </row>
    <row r="35" spans="1:19" x14ac:dyDescent="0.25">
      <c r="A35" s="5">
        <v>8</v>
      </c>
      <c r="B35" s="62"/>
      <c r="C35" s="62"/>
      <c r="D35" s="62"/>
      <c r="E35" s="62"/>
      <c r="F35" s="62"/>
      <c r="G35" s="62"/>
      <c r="H35" s="339"/>
      <c r="I35" s="62">
        <f>I31+I32+I33</f>
        <v>9476926</v>
      </c>
      <c r="J35" s="62"/>
      <c r="K35" s="99"/>
      <c r="L35" s="99"/>
      <c r="M35" s="99"/>
      <c r="N35" s="99"/>
      <c r="O35" s="99"/>
      <c r="P35" s="99"/>
      <c r="Q35" s="99"/>
      <c r="R35" s="99"/>
      <c r="S35" s="99"/>
    </row>
    <row r="36" spans="1:19" x14ac:dyDescent="0.25">
      <c r="K36" s="99"/>
      <c r="L36" s="99"/>
      <c r="M36" s="99"/>
      <c r="N36" s="99"/>
      <c r="O36" s="99"/>
      <c r="P36" s="99"/>
      <c r="Q36" s="99"/>
      <c r="R36" s="99"/>
      <c r="S36" s="99"/>
    </row>
    <row r="37" spans="1:19" x14ac:dyDescent="0.25">
      <c r="K37" s="99"/>
      <c r="L37" s="99"/>
      <c r="M37" s="99"/>
      <c r="N37" s="99"/>
      <c r="O37" s="99"/>
      <c r="P37" s="99"/>
      <c r="Q37" s="99"/>
      <c r="R37" s="99"/>
      <c r="S37" s="99"/>
    </row>
    <row r="38" spans="1:19" x14ac:dyDescent="0.25">
      <c r="K38" s="99"/>
      <c r="L38" s="99"/>
      <c r="M38" s="99"/>
      <c r="N38" s="99"/>
      <c r="O38" s="99"/>
      <c r="P38" s="99"/>
      <c r="Q38" s="99"/>
      <c r="R38" s="99"/>
      <c r="S38" s="99"/>
    </row>
  </sheetData>
  <mergeCells count="5">
    <mergeCell ref="B23:I23"/>
    <mergeCell ref="B1:I1"/>
    <mergeCell ref="B2:I2"/>
    <mergeCell ref="B3:I3"/>
    <mergeCell ref="B9:I9"/>
  </mergeCells>
  <phoneticPr fontId="4" type="noConversion"/>
  <pageMargins left="0.7" right="0.7" top="0.75" bottom="0.75" header="0.3" footer="0.3"/>
  <pageSetup scale="71" orientation="portrait" r:id="rId1"/>
  <headerFooter>
    <oddHeader>&amp;R&amp;"Times New Roman,Bold"Exhibit B-1
Page 5 of 7</oddHead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1">
    <tabColor theme="3" tint="0.59999389629810485"/>
  </sheetPr>
  <dimension ref="A4"/>
  <sheetViews>
    <sheetView zoomScaleNormal="100" workbookViewId="0"/>
  </sheetViews>
  <sheetFormatPr defaultRowHeight="15.75" x14ac:dyDescent="0.25"/>
  <sheetData>
    <row r="4" spans="1:1" x14ac:dyDescent="0.25">
      <c r="A4" s="341" t="s">
        <v>749</v>
      </c>
    </row>
  </sheetData>
  <pageMargins left="0.7" right="0.7" top="0.75" bottom="0.75" header="0.3" footer="0.3"/>
  <pageSetup orientation="portrait"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2">
    <tabColor theme="3" tint="0.59999389629810485"/>
  </sheetPr>
  <dimension ref="A4"/>
  <sheetViews>
    <sheetView zoomScaleNormal="100" workbookViewId="0"/>
  </sheetViews>
  <sheetFormatPr defaultRowHeight="15.75" x14ac:dyDescent="0.25"/>
  <sheetData>
    <row r="4" spans="1:1" x14ac:dyDescent="0.25">
      <c r="A4" s="341" t="s">
        <v>748</v>
      </c>
    </row>
  </sheetData>
  <pageMargins left="0.7" right="0.7" top="0.75" bottom="0.75" header="0.3" footer="0.3"/>
  <pageSetup orientation="portrait"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74964-AAA7-4DBD-AB7B-6E5CD73D097C}">
  <sheetPr codeName="Sheet35">
    <tabColor theme="3" tint="0.59999389629810485"/>
  </sheetPr>
  <dimension ref="A10:H10"/>
  <sheetViews>
    <sheetView zoomScaleNormal="100" workbookViewId="0"/>
  </sheetViews>
  <sheetFormatPr defaultRowHeight="15.75" x14ac:dyDescent="0.25"/>
  <sheetData>
    <row r="10" spans="1:8" ht="220.5" customHeight="1" x14ac:dyDescent="0.25">
      <c r="A10" s="669" t="s">
        <v>761</v>
      </c>
      <c r="B10" s="669"/>
      <c r="C10" s="669"/>
      <c r="D10" s="669"/>
      <c r="E10" s="669"/>
      <c r="F10" s="669"/>
      <c r="G10" s="669"/>
      <c r="H10" s="669"/>
    </row>
  </sheetData>
  <mergeCells count="1">
    <mergeCell ref="A10:H10"/>
  </mergeCells>
  <pageMargins left="0.7" right="0.7" top="0.75" bottom="0.75" header="0.3" footer="0.3"/>
  <pageSetup orientation="portrait" r:id="rId1"/>
  <headerFooter>
    <oddHeader>&amp;R&amp;"Times New Roman,Bold"Exhibit B-2
Page 1 of 1</oddHeader>
  </headerFooter>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C90F1-5DB1-4651-AB6F-7B6B17B29350}">
  <sheetPr codeName="Sheet36">
    <tabColor rgb="FF00B050"/>
  </sheetPr>
  <dimension ref="B1:I18"/>
  <sheetViews>
    <sheetView zoomScaleNormal="100" workbookViewId="0"/>
  </sheetViews>
  <sheetFormatPr defaultColWidth="8.77734375" defaultRowHeight="15.75" x14ac:dyDescent="0.25"/>
  <cols>
    <col min="1" max="1" width="1.109375" style="3" customWidth="1"/>
    <col min="2" max="4" width="8.77734375" style="3"/>
    <col min="5" max="5" width="10.77734375" style="3" bestFit="1" customWidth="1"/>
    <col min="6" max="8" width="8.77734375" style="3"/>
    <col min="9" max="9" width="9.77734375" style="3" customWidth="1"/>
    <col min="10" max="10" width="1.109375" style="3" customWidth="1"/>
    <col min="11" max="16384" width="8.77734375" style="3"/>
  </cols>
  <sheetData>
    <row r="1" spans="2:9" x14ac:dyDescent="0.25">
      <c r="B1" s="639" t="s">
        <v>5</v>
      </c>
      <c r="C1" s="639"/>
      <c r="D1" s="639"/>
      <c r="E1" s="639"/>
      <c r="F1" s="639"/>
      <c r="G1" s="639"/>
      <c r="H1" s="639"/>
      <c r="I1" s="639"/>
    </row>
    <row r="2" spans="2:9" x14ac:dyDescent="0.25">
      <c r="B2" s="15"/>
      <c r="C2" s="15"/>
      <c r="D2" s="15"/>
      <c r="E2" s="15"/>
      <c r="F2" s="15"/>
      <c r="G2" s="15"/>
      <c r="H2" s="15"/>
      <c r="I2" s="15"/>
    </row>
    <row r="3" spans="2:9" x14ac:dyDescent="0.25">
      <c r="B3" s="639" t="str">
        <f>'Exhibit F Write-Up'!B3:N3</f>
        <v>Gas Supply Clause: 2025-00400</v>
      </c>
      <c r="C3" s="639"/>
      <c r="D3" s="639"/>
      <c r="E3" s="639"/>
      <c r="F3" s="639"/>
      <c r="G3" s="639"/>
      <c r="H3" s="639"/>
      <c r="I3" s="639"/>
    </row>
    <row r="4" spans="2:9" x14ac:dyDescent="0.25">
      <c r="B4" s="15"/>
      <c r="C4" s="15"/>
      <c r="D4" s="15"/>
      <c r="E4" s="15"/>
      <c r="F4" s="15"/>
      <c r="G4" s="15"/>
      <c r="H4" s="15"/>
      <c r="I4" s="15"/>
    </row>
    <row r="5" spans="2:9" x14ac:dyDescent="0.25">
      <c r="B5" s="639" t="s">
        <v>631</v>
      </c>
      <c r="C5" s="639"/>
      <c r="D5" s="639"/>
      <c r="E5" s="639"/>
      <c r="F5" s="639"/>
      <c r="G5" s="639"/>
      <c r="H5" s="639"/>
      <c r="I5" s="639"/>
    </row>
    <row r="8" spans="2:9" ht="31.5" customHeight="1" x14ac:dyDescent="0.25">
      <c r="B8" s="637" t="s">
        <v>632</v>
      </c>
      <c r="C8" s="637"/>
      <c r="D8" s="637"/>
      <c r="E8" s="637"/>
      <c r="F8" s="637"/>
      <c r="G8" s="637"/>
      <c r="H8" s="637"/>
      <c r="I8" s="637"/>
    </row>
    <row r="9" spans="2:9" ht="15.6" customHeight="1" x14ac:dyDescent="0.25">
      <c r="B9" s="487"/>
      <c r="C9" s="487"/>
      <c r="D9" s="487"/>
      <c r="E9" s="487"/>
      <c r="F9" s="487"/>
      <c r="G9" s="487"/>
      <c r="H9" s="487"/>
      <c r="I9" s="487"/>
    </row>
    <row r="10" spans="2:9" ht="31.5" customHeight="1" x14ac:dyDescent="0.25">
      <c r="B10" s="637" t="str">
        <f>CONCATENATE("The over- or under-recoveries will be distributed via the Gas Cost Balance Adjustment (GCBA) during the period of ", 'Input Data'!D4, " through ", 'Input Data'!D5, " set forth on Page 1 of Exhibit C-1:")</f>
        <v>The over- or under-recoveries will be distributed via the Gas Cost Balance Adjustment (GCBA) during the period of February 1, 2026 through April 30, 2026 set forth on Page 1 of Exhibit C-1:</v>
      </c>
      <c r="C10" s="637"/>
      <c r="D10" s="637"/>
      <c r="E10" s="637"/>
      <c r="F10" s="637"/>
      <c r="G10" s="637"/>
      <c r="H10" s="637"/>
      <c r="I10" s="637"/>
    </row>
    <row r="11" spans="2:9" ht="15.6" customHeight="1" x14ac:dyDescent="0.25">
      <c r="B11" s="487"/>
      <c r="C11" s="487"/>
      <c r="D11" s="487"/>
      <c r="E11" s="487"/>
      <c r="F11" s="487"/>
      <c r="G11" s="487"/>
      <c r="H11" s="487"/>
      <c r="I11" s="487"/>
    </row>
    <row r="12" spans="2:9" ht="15.6" customHeight="1" x14ac:dyDescent="0.25">
      <c r="B12" s="671" t="s">
        <v>633</v>
      </c>
      <c r="C12" s="671"/>
      <c r="D12" s="671"/>
      <c r="E12" s="564">
        <f>'Ex C-1 1 of 3'!D13</f>
        <v>-78800</v>
      </c>
      <c r="F12" s="487"/>
      <c r="G12" s="487"/>
      <c r="H12" s="487"/>
      <c r="I12" s="487"/>
    </row>
    <row r="13" spans="2:9" ht="15.6" customHeight="1" x14ac:dyDescent="0.25">
      <c r="B13" s="487"/>
      <c r="C13" s="487"/>
      <c r="D13" s="487"/>
      <c r="E13" s="487"/>
      <c r="F13" s="487"/>
      <c r="G13" s="487"/>
      <c r="H13" s="487"/>
      <c r="I13" s="487"/>
    </row>
    <row r="14" spans="2:9" ht="31.5" customHeight="1" x14ac:dyDescent="0.25">
      <c r="B14" s="637" t="str">
        <f>CONCATENATE("The GCBA factor required to collect the recovery balance will be in effect ", 'Input Data'!B155, " with service rendered on and after ", 'Input Data'!D4, " and continue for three months:")</f>
        <v>The GCBA factor required to collect the recovery balance will be in effect as a credit with service rendered on and after February 1, 2026 and continue for three months:</v>
      </c>
      <c r="C14" s="637"/>
      <c r="D14" s="637"/>
      <c r="E14" s="637"/>
      <c r="F14" s="637"/>
      <c r="G14" s="637"/>
      <c r="H14" s="637"/>
      <c r="I14" s="637"/>
    </row>
    <row r="15" spans="2:9" ht="15.6" customHeight="1" x14ac:dyDescent="0.25">
      <c r="B15" s="487"/>
      <c r="C15" s="487"/>
      <c r="D15" s="487"/>
      <c r="E15" s="487"/>
      <c r="F15" s="487"/>
      <c r="G15" s="487"/>
      <c r="H15" s="487"/>
      <c r="I15" s="487"/>
    </row>
    <row r="16" spans="2:9" ht="15.6" customHeight="1" x14ac:dyDescent="0.25">
      <c r="B16" s="672" t="s">
        <v>634</v>
      </c>
      <c r="C16" s="672"/>
      <c r="D16" s="672"/>
      <c r="E16" s="565">
        <f>'Ex C-1 1 of 3'!D19</f>
        <v>-6.7000000000000002E-4</v>
      </c>
      <c r="F16" s="487"/>
      <c r="G16" s="487"/>
      <c r="H16" s="487"/>
      <c r="I16" s="487"/>
    </row>
    <row r="17" spans="2:9" ht="15.6" customHeight="1" x14ac:dyDescent="0.25">
      <c r="B17" s="487"/>
      <c r="C17" s="487"/>
      <c r="D17" s="487"/>
      <c r="E17" s="487"/>
      <c r="F17" s="487"/>
      <c r="G17" s="487"/>
      <c r="H17" s="487"/>
      <c r="I17" s="487"/>
    </row>
    <row r="18" spans="2:9" ht="63" customHeight="1" x14ac:dyDescent="0.25">
      <c r="B18" s="670" t="str">
        <f>CONCATENATE("In this filing, LG&amp;E will eliminate the GCBA from Case No. ", 'Input Data'!C13, " as it will have been in effect for three months.  Any over- or under-recovery of the amount originally established will be transferred to the GCBA which will be implemented in LG&amp;E's next Gas Supply Clause filing with service rendered on and after ", 'Input Data'!B154)&amp;"."</f>
        <v>In this filing, LG&amp;E will eliminate the GCBA from Case No. 2025-00304 as it will have been in effect for three months.  Any over- or under-recovery of the amount originally established will be transferred to the GCBA which will be implemented in LG&amp;E's next Gas Supply Clause filing with service rendered on and after May 1, 2026.</v>
      </c>
      <c r="C18" s="670"/>
      <c r="D18" s="670"/>
      <c r="E18" s="670"/>
      <c r="F18" s="670"/>
      <c r="G18" s="670"/>
      <c r="H18" s="670"/>
      <c r="I18" s="670"/>
    </row>
  </sheetData>
  <mergeCells count="9">
    <mergeCell ref="B1:I1"/>
    <mergeCell ref="B3:I3"/>
    <mergeCell ref="B5:I5"/>
    <mergeCell ref="B8:I8"/>
    <mergeCell ref="B18:I18"/>
    <mergeCell ref="B10:I10"/>
    <mergeCell ref="B14:I14"/>
    <mergeCell ref="B12:D12"/>
    <mergeCell ref="B16:D16"/>
  </mergeCells>
  <pageMargins left="0.7" right="0.7" top="0.75" bottom="0.75" header="0.3" footer="0.3"/>
  <pageSetup orientation="portrait" r:id="rId1"/>
  <headerFooter>
    <oddHeader>&amp;R&amp;"Times New Roman,Bold"Exhibit C</oddHead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ransitionEvaluation="1" codeName="Sheet11">
    <tabColor theme="3" tint="0.59999389629810485"/>
    <pageSetUpPr fitToPage="1"/>
  </sheetPr>
  <dimension ref="A1:N39"/>
  <sheetViews>
    <sheetView zoomScale="80" zoomScaleNormal="80" workbookViewId="0"/>
  </sheetViews>
  <sheetFormatPr defaultColWidth="9.77734375" defaultRowHeight="18.75" x14ac:dyDescent="0.3"/>
  <cols>
    <col min="1" max="1" width="9.77734375" style="86"/>
    <col min="2" max="2" width="25.6640625" style="86" customWidth="1"/>
    <col min="3" max="3" width="27" style="86" customWidth="1"/>
    <col min="4" max="4" width="15.33203125" style="86" customWidth="1"/>
    <col min="5" max="11" width="22.33203125" style="86" customWidth="1"/>
    <col min="12" max="12" width="8.109375" style="86" customWidth="1"/>
    <col min="13" max="16384" width="9.77734375" style="86"/>
  </cols>
  <sheetData>
    <row r="1" spans="1:12" x14ac:dyDescent="0.3">
      <c r="B1" s="635" t="s">
        <v>5</v>
      </c>
      <c r="C1" s="635"/>
      <c r="D1" s="635"/>
      <c r="E1" s="136"/>
      <c r="F1" s="136"/>
      <c r="G1" s="136"/>
      <c r="H1" s="136"/>
      <c r="I1" s="136"/>
      <c r="J1" s="136"/>
      <c r="K1" s="136"/>
      <c r="L1" s="137"/>
    </row>
    <row r="2" spans="1:12" x14ac:dyDescent="0.3">
      <c r="B2" s="623" t="s">
        <v>303</v>
      </c>
      <c r="C2" s="623"/>
      <c r="D2" s="623"/>
      <c r="E2" s="136"/>
      <c r="F2" s="136"/>
      <c r="G2" s="136"/>
      <c r="H2" s="136"/>
      <c r="I2" s="136"/>
      <c r="J2" s="136"/>
      <c r="K2" s="136"/>
      <c r="L2" s="75"/>
    </row>
    <row r="3" spans="1:12" x14ac:dyDescent="0.3">
      <c r="B3" s="623" t="str">
        <f>CONCATENATE("For Service Rendered On and After ",'Input Data'!$D$4)</f>
        <v>For Service Rendered On and After February 1, 2026</v>
      </c>
      <c r="C3" s="623"/>
      <c r="D3" s="623"/>
      <c r="E3" s="136"/>
      <c r="F3" s="136"/>
      <c r="G3" s="136"/>
      <c r="H3" s="136"/>
      <c r="I3" s="136"/>
      <c r="J3" s="136"/>
      <c r="K3" s="136"/>
      <c r="L3" s="75"/>
    </row>
    <row r="4" spans="1:12" x14ac:dyDescent="0.3">
      <c r="B4" s="501"/>
      <c r="C4" s="501"/>
      <c r="D4" s="501"/>
      <c r="E4" s="136"/>
      <c r="F4" s="136"/>
      <c r="G4" s="136"/>
      <c r="H4" s="136"/>
      <c r="I4" s="136"/>
      <c r="J4" s="136"/>
      <c r="K4" s="136"/>
      <c r="L4" s="75"/>
    </row>
    <row r="5" spans="1:12" x14ac:dyDescent="0.3">
      <c r="B5" s="501"/>
      <c r="C5" s="501"/>
      <c r="D5" s="501"/>
      <c r="E5" s="136"/>
      <c r="F5" s="136"/>
      <c r="G5" s="136"/>
      <c r="H5" s="136"/>
      <c r="I5" s="136"/>
      <c r="J5" s="136"/>
      <c r="K5" s="136"/>
      <c r="L5" s="75"/>
    </row>
    <row r="6" spans="1:12" x14ac:dyDescent="0.3">
      <c r="L6" s="75"/>
    </row>
    <row r="7" spans="1:12" x14ac:dyDescent="0.3">
      <c r="A7" s="13" t="s">
        <v>319</v>
      </c>
      <c r="B7" s="3"/>
      <c r="C7" s="3"/>
      <c r="D7" s="13" t="s">
        <v>421</v>
      </c>
      <c r="L7" s="75"/>
    </row>
    <row r="8" spans="1:12" x14ac:dyDescent="0.3">
      <c r="A8" s="65" t="s">
        <v>320</v>
      </c>
      <c r="B8" s="673" t="s">
        <v>321</v>
      </c>
      <c r="C8" s="673"/>
      <c r="D8" s="65" t="s">
        <v>300</v>
      </c>
      <c r="L8" s="75"/>
    </row>
    <row r="9" spans="1:12" ht="21.95" customHeight="1" x14ac:dyDescent="0.3">
      <c r="A9" s="13">
        <v>1</v>
      </c>
      <c r="B9" s="3" t="s">
        <v>425</v>
      </c>
      <c r="C9" s="3"/>
      <c r="D9" s="123">
        <f>'Ex C-1 2 of 3'!G29</f>
        <v>-102112</v>
      </c>
      <c r="L9" s="75"/>
    </row>
    <row r="10" spans="1:12" ht="21.95" customHeight="1" x14ac:dyDescent="0.3">
      <c r="A10" s="13">
        <v>2</v>
      </c>
      <c r="B10" s="3" t="s">
        <v>426</v>
      </c>
      <c r="C10" s="3"/>
      <c r="D10" s="123">
        <f>'Ex C-1 3 of 3'!G27</f>
        <v>23312</v>
      </c>
      <c r="L10" s="75"/>
    </row>
    <row r="11" spans="1:12" ht="21.95" customHeight="1" x14ac:dyDescent="0.3">
      <c r="A11" s="13">
        <v>3</v>
      </c>
      <c r="B11" s="3" t="s">
        <v>427</v>
      </c>
      <c r="C11" s="3"/>
      <c r="D11" s="123">
        <f>'Ex D-1 2 of 2'!G31</f>
        <v>0</v>
      </c>
      <c r="L11" s="75"/>
    </row>
    <row r="12" spans="1:12" ht="21.95" customHeight="1" x14ac:dyDescent="0.3">
      <c r="A12" s="13">
        <v>4</v>
      </c>
      <c r="B12" s="3" t="s">
        <v>428</v>
      </c>
      <c r="C12" s="3"/>
      <c r="D12" s="123">
        <f>'Input Data'!D139</f>
        <v>0</v>
      </c>
      <c r="L12" s="75"/>
    </row>
    <row r="13" spans="1:12" ht="21.95" customHeight="1" x14ac:dyDescent="0.3">
      <c r="A13" s="13">
        <v>5</v>
      </c>
      <c r="B13" s="3" t="s">
        <v>304</v>
      </c>
      <c r="C13" s="3"/>
      <c r="D13" s="562">
        <f>SUM(D9:D12)</f>
        <v>-78800</v>
      </c>
      <c r="L13" s="75"/>
    </row>
    <row r="14" spans="1:12" ht="21.95" customHeight="1" x14ac:dyDescent="0.3">
      <c r="A14" s="13"/>
      <c r="B14" s="3"/>
      <c r="C14" s="3"/>
      <c r="D14" s="3"/>
    </row>
    <row r="15" spans="1:12" ht="21.95" customHeight="1" x14ac:dyDescent="0.3">
      <c r="A15" s="13">
        <v>6</v>
      </c>
      <c r="B15" s="3" t="s">
        <v>429</v>
      </c>
      <c r="C15" s="3"/>
      <c r="D15" s="563">
        <f>'Ex A 1 of 2'!F80</f>
        <v>11763255.005100001</v>
      </c>
    </row>
    <row r="16" spans="1:12" ht="21.95" customHeight="1" x14ac:dyDescent="0.3">
      <c r="A16" s="13"/>
      <c r="B16" s="3"/>
      <c r="C16" s="3"/>
      <c r="D16" s="3"/>
    </row>
    <row r="17" spans="1:14" ht="21.95" customHeight="1" x14ac:dyDescent="0.3">
      <c r="A17" s="13">
        <v>7</v>
      </c>
      <c r="B17" s="3" t="s">
        <v>305</v>
      </c>
      <c r="C17" s="3"/>
      <c r="D17" s="81">
        <f>ROUND(D13/D15,4)</f>
        <v>-6.7000000000000002E-3</v>
      </c>
    </row>
    <row r="18" spans="1:14" ht="21.95" customHeight="1" x14ac:dyDescent="0.3">
      <c r="A18" s="13"/>
      <c r="B18" s="3"/>
      <c r="C18" s="3"/>
      <c r="D18" s="3"/>
    </row>
    <row r="19" spans="1:14" ht="21.95" customHeight="1" x14ac:dyDescent="0.3">
      <c r="A19" s="13">
        <v>8</v>
      </c>
      <c r="B19" s="3" t="s">
        <v>306</v>
      </c>
      <c r="C19" s="3"/>
      <c r="D19" s="122">
        <f>ROUND(D17/10,5)</f>
        <v>-6.7000000000000002E-4</v>
      </c>
    </row>
    <row r="20" spans="1:14" ht="21.95" customHeight="1" x14ac:dyDescent="0.3">
      <c r="A20" s="3"/>
      <c r="B20" s="3"/>
      <c r="C20" s="3"/>
      <c r="D20" s="3"/>
    </row>
    <row r="21" spans="1:14" x14ac:dyDescent="0.3">
      <c r="A21" s="3"/>
      <c r="B21" s="3"/>
      <c r="C21" s="3"/>
      <c r="D21" s="3"/>
    </row>
    <row r="22" spans="1:14" x14ac:dyDescent="0.3">
      <c r="A22" s="3"/>
      <c r="B22" s="3"/>
      <c r="C22" s="3"/>
      <c r="D22" s="3"/>
    </row>
    <row r="23" spans="1:14" x14ac:dyDescent="0.3">
      <c r="A23" s="3"/>
      <c r="B23" s="549"/>
      <c r="C23" s="47"/>
      <c r="D23" s="47"/>
      <c r="E23" s="41"/>
    </row>
    <row r="24" spans="1:14" x14ac:dyDescent="0.3">
      <c r="A24" s="3"/>
      <c r="B24" s="549"/>
      <c r="C24" s="47"/>
      <c r="D24" s="47"/>
      <c r="F24" s="41"/>
    </row>
    <row r="25" spans="1:14" ht="19.5" x14ac:dyDescent="0.3">
      <c r="A25" s="196">
        <v>1</v>
      </c>
      <c r="B25" s="12" t="s">
        <v>115</v>
      </c>
      <c r="C25" s="3"/>
      <c r="D25" s="3"/>
    </row>
    <row r="26" spans="1:14" ht="19.5" x14ac:dyDescent="0.3">
      <c r="A26" s="196">
        <v>2</v>
      </c>
      <c r="B26" s="12" t="s">
        <v>302</v>
      </c>
      <c r="C26" s="3"/>
      <c r="D26" s="3"/>
    </row>
    <row r="27" spans="1:14" ht="19.5" x14ac:dyDescent="0.3">
      <c r="A27" s="196">
        <v>3</v>
      </c>
      <c r="B27" s="12" t="s">
        <v>598</v>
      </c>
      <c r="C27" s="3"/>
      <c r="D27" s="3"/>
    </row>
    <row r="28" spans="1:14" ht="19.5" x14ac:dyDescent="0.3">
      <c r="A28" s="196">
        <v>4</v>
      </c>
      <c r="B28" s="12" t="s">
        <v>610</v>
      </c>
      <c r="C28" s="3"/>
      <c r="D28" s="3"/>
    </row>
    <row r="29" spans="1:14" ht="19.5" x14ac:dyDescent="0.3">
      <c r="A29" s="196">
        <v>5</v>
      </c>
      <c r="B29" s="12" t="s">
        <v>424</v>
      </c>
      <c r="C29" s="3"/>
      <c r="D29" s="3"/>
      <c r="G29" s="41"/>
      <c r="H29" s="41"/>
      <c r="J29" s="41"/>
      <c r="N29" s="460"/>
    </row>
    <row r="30" spans="1:14" x14ac:dyDescent="0.3">
      <c r="A30" s="3"/>
      <c r="B30" s="3"/>
      <c r="C30" s="3"/>
      <c r="D30" s="3"/>
      <c r="N30" s="460"/>
    </row>
    <row r="31" spans="1:14" hidden="1" x14ac:dyDescent="0.3">
      <c r="A31" s="3"/>
      <c r="B31" s="3"/>
      <c r="C31" s="3"/>
      <c r="D31" s="3"/>
      <c r="K31" s="138"/>
    </row>
    <row r="32" spans="1:14" hidden="1" x14ac:dyDescent="0.3">
      <c r="A32" s="3"/>
      <c r="B32" s="3"/>
      <c r="C32" s="3"/>
      <c r="D32" s="3"/>
    </row>
    <row r="33" spans="1:11" ht="19.5" hidden="1" x14ac:dyDescent="0.3">
      <c r="A33" s="196"/>
      <c r="B33" s="3"/>
      <c r="C33" s="3"/>
      <c r="D33" s="3"/>
    </row>
    <row r="34" spans="1:11" x14ac:dyDescent="0.3">
      <c r="K34" s="136"/>
    </row>
    <row r="38" spans="1:11" ht="14.25" customHeight="1" x14ac:dyDescent="0.3"/>
    <row r="39" spans="1:11" ht="14.25" customHeight="1" x14ac:dyDescent="0.3"/>
  </sheetData>
  <mergeCells count="4">
    <mergeCell ref="B1:D1"/>
    <mergeCell ref="B2:D2"/>
    <mergeCell ref="B8:C8"/>
    <mergeCell ref="B3:D3"/>
  </mergeCells>
  <phoneticPr fontId="4" type="noConversion"/>
  <pageMargins left="0.7" right="0.7" top="0.75" bottom="0.75" header="0.3" footer="0.3"/>
  <pageSetup scale="97" orientation="portrait" r:id="rId1"/>
  <headerFooter>
    <oddHeader>&amp;R&amp;"Times New Roman,Bold"Exhibit C-1
Page 1 of 3</oddHead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tabColor theme="3" tint="0.59999389629810485"/>
    <pageSetUpPr fitToPage="1"/>
  </sheetPr>
  <dimension ref="A1:P40"/>
  <sheetViews>
    <sheetView zoomScale="80" zoomScaleNormal="80" workbookViewId="0"/>
  </sheetViews>
  <sheetFormatPr defaultColWidth="9.77734375" defaultRowHeight="15.75" x14ac:dyDescent="0.25"/>
  <cols>
    <col min="1" max="1" width="5.88671875" style="3" customWidth="1"/>
    <col min="2" max="2" width="12.6640625" style="3" customWidth="1"/>
    <col min="3" max="3" width="15.44140625" style="3" customWidth="1"/>
    <col min="4" max="4" width="14.44140625" style="3" customWidth="1"/>
    <col min="5" max="5" width="13.5546875" style="3" customWidth="1"/>
    <col min="6" max="6" width="14" style="3" customWidth="1"/>
    <col min="7" max="7" width="14.5546875" style="3" customWidth="1"/>
    <col min="8" max="8" width="18.109375" style="3" customWidth="1"/>
    <col min="9" max="12" width="11.109375" style="3" customWidth="1"/>
    <col min="13" max="13" width="10.21875" style="3" customWidth="1"/>
    <col min="14" max="14" width="17.6640625" style="6" customWidth="1"/>
    <col min="15" max="15" width="13.6640625" style="3" customWidth="1"/>
    <col min="16" max="16" width="16.88671875" style="3" customWidth="1"/>
    <col min="17" max="16384" width="9.77734375" style="3"/>
  </cols>
  <sheetData>
    <row r="1" spans="1:16" ht="18.75" x14ac:dyDescent="0.3">
      <c r="B1" s="635" t="s">
        <v>5</v>
      </c>
      <c r="C1" s="635"/>
      <c r="D1" s="635"/>
      <c r="E1" s="635"/>
      <c r="F1" s="635"/>
      <c r="G1" s="635"/>
      <c r="H1" s="635"/>
    </row>
    <row r="2" spans="1:16" ht="18.75" x14ac:dyDescent="0.3">
      <c r="B2" s="623" t="s">
        <v>422</v>
      </c>
      <c r="C2" s="623"/>
      <c r="D2" s="623"/>
      <c r="E2" s="623"/>
      <c r="F2" s="623"/>
      <c r="G2" s="623"/>
      <c r="H2" s="623"/>
    </row>
    <row r="3" spans="1:16" ht="18.75" x14ac:dyDescent="0.3">
      <c r="B3" s="623" t="str">
        <f>CONCATENATE("For Service Rendered On and After ",'Input Data'!$D$4)</f>
        <v>For Service Rendered On and After February 1, 2026</v>
      </c>
      <c r="C3" s="623"/>
      <c r="D3" s="623"/>
      <c r="E3" s="623"/>
      <c r="F3" s="623"/>
      <c r="G3" s="623"/>
      <c r="H3" s="623"/>
      <c r="I3" s="86"/>
      <c r="J3" s="86"/>
      <c r="K3" s="86"/>
      <c r="L3" s="86"/>
      <c r="M3" s="86"/>
    </row>
    <row r="4" spans="1:16" ht="18.75" x14ac:dyDescent="0.3">
      <c r="A4" s="151"/>
      <c r="B4" s="151"/>
      <c r="C4" s="151"/>
      <c r="D4" s="151"/>
      <c r="E4" s="151"/>
      <c r="F4" s="151"/>
      <c r="G4" s="151"/>
      <c r="H4" s="151"/>
    </row>
    <row r="5" spans="1:16" x14ac:dyDescent="0.25">
      <c r="B5" s="12" t="s">
        <v>350</v>
      </c>
      <c r="C5" s="12" t="str">
        <f>VLOOKUP($B$13,'Case Database'!$A$2:$G$200,6,FALSE)</f>
        <v>2024-00063</v>
      </c>
    </row>
    <row r="7" spans="1:16" x14ac:dyDescent="0.25">
      <c r="I7" s="141"/>
      <c r="J7" s="141"/>
      <c r="K7" s="141"/>
      <c r="L7" s="141"/>
      <c r="M7" s="141"/>
      <c r="N7" s="142"/>
    </row>
    <row r="8" spans="1:16" ht="47.25" x14ac:dyDescent="0.25">
      <c r="A8" s="502" t="s">
        <v>245</v>
      </c>
      <c r="B8" s="340" t="s">
        <v>346</v>
      </c>
      <c r="C8" s="139" t="s">
        <v>308</v>
      </c>
      <c r="D8" s="502" t="s">
        <v>367</v>
      </c>
      <c r="E8" s="92" t="s">
        <v>271</v>
      </c>
      <c r="F8" s="140" t="s">
        <v>270</v>
      </c>
      <c r="G8" s="140" t="s">
        <v>351</v>
      </c>
      <c r="H8" s="140" t="s">
        <v>269</v>
      </c>
      <c r="I8" s="141"/>
      <c r="J8"/>
      <c r="K8"/>
      <c r="L8"/>
      <c r="M8"/>
      <c r="N8"/>
      <c r="O8"/>
      <c r="P8"/>
    </row>
    <row r="9" spans="1:16" ht="18" customHeight="1" x14ac:dyDescent="0.25">
      <c r="A9" s="13"/>
      <c r="B9" s="143" t="s">
        <v>60</v>
      </c>
      <c r="C9" s="143" t="s">
        <v>61</v>
      </c>
      <c r="D9" s="143" t="s">
        <v>62</v>
      </c>
      <c r="E9" s="143" t="s">
        <v>63</v>
      </c>
      <c r="F9" s="143" t="s">
        <v>64</v>
      </c>
      <c r="G9" s="143" t="s">
        <v>485</v>
      </c>
      <c r="H9" s="143" t="s">
        <v>326</v>
      </c>
      <c r="I9" s="141"/>
      <c r="J9"/>
      <c r="K9"/>
      <c r="L9"/>
      <c r="M9"/>
      <c r="N9"/>
      <c r="O9"/>
      <c r="P9"/>
    </row>
    <row r="10" spans="1:16" x14ac:dyDescent="0.25">
      <c r="A10" s="13"/>
      <c r="B10" s="38"/>
      <c r="C10" s="38"/>
      <c r="D10" s="38"/>
      <c r="E10" s="84"/>
      <c r="G10" s="144"/>
      <c r="H10" s="144"/>
      <c r="I10" s="141"/>
      <c r="J10"/>
      <c r="K10"/>
      <c r="L10"/>
      <c r="M10"/>
      <c r="N10"/>
      <c r="O10"/>
      <c r="P10"/>
    </row>
    <row r="11" spans="1:16" ht="18" customHeight="1" x14ac:dyDescent="0.25">
      <c r="A11" s="13">
        <v>1</v>
      </c>
      <c r="E11" s="84"/>
      <c r="G11" s="123" t="s">
        <v>268</v>
      </c>
      <c r="H11" s="71">
        <f>'Input Data'!D145</f>
        <v>-2383992</v>
      </c>
      <c r="I11" s="141"/>
      <c r="J11"/>
      <c r="K11"/>
      <c r="L11"/>
      <c r="M11"/>
      <c r="N11"/>
      <c r="O11"/>
      <c r="P11"/>
    </row>
    <row r="12" spans="1:16" x14ac:dyDescent="0.25">
      <c r="A12" s="13"/>
      <c r="E12" s="84"/>
      <c r="G12" s="71"/>
      <c r="H12" s="71"/>
      <c r="I12" s="141"/>
      <c r="J12"/>
      <c r="K12"/>
      <c r="L12"/>
      <c r="M12"/>
      <c r="N12"/>
      <c r="O12"/>
      <c r="P12"/>
    </row>
    <row r="13" spans="1:16" x14ac:dyDescent="0.25">
      <c r="A13" s="13">
        <v>2</v>
      </c>
      <c r="B13" s="38">
        <f>'Input Data'!C6</f>
        <v>45597</v>
      </c>
      <c r="C13" s="145" t="s">
        <v>362</v>
      </c>
      <c r="D13" s="255">
        <f>VLOOKUP(B13,'Sales Volumes'!$A$1:$H$200,2,FALSE)</f>
        <v>1411216.6</v>
      </c>
      <c r="E13" s="255">
        <f>VLOOKUP(B13,'Sales Volumes'!$A$1:$H$1000,4,FALSE)</f>
        <v>626149.9</v>
      </c>
      <c r="F13" s="81">
        <f>VLOOKUP($B$13,'Case Database'!$A$2:$G$200,7,FALSE)</f>
        <v>-7.6499999999999999E-2</v>
      </c>
      <c r="G13" s="71">
        <f>ROUND(E13*F13,0)</f>
        <v>-47900</v>
      </c>
      <c r="H13" s="71">
        <f>+H11-G13</f>
        <v>-2336092</v>
      </c>
      <c r="I13" s="141"/>
      <c r="J13"/>
      <c r="K13"/>
      <c r="L13"/>
      <c r="M13"/>
      <c r="N13"/>
      <c r="O13"/>
      <c r="P13"/>
    </row>
    <row r="14" spans="1:16" x14ac:dyDescent="0.25">
      <c r="A14" s="13">
        <v>3</v>
      </c>
      <c r="B14" s="38">
        <f>EDATE(B13,1)</f>
        <v>45627</v>
      </c>
      <c r="C14" s="145"/>
      <c r="D14" s="255">
        <f>VLOOKUP(B14,'Sales Volumes'!$A$1:$H$200,2,FALSE)</f>
        <v>4139055.5</v>
      </c>
      <c r="E14" s="255">
        <f>D14</f>
        <v>4139055.5</v>
      </c>
      <c r="F14" s="81">
        <f t="shared" ref="F14:F25" si="0">$F$13</f>
        <v>-7.6499999999999999E-2</v>
      </c>
      <c r="G14" s="71">
        <f t="shared" ref="G14:G25" si="1">ROUND(E14*F14,0)</f>
        <v>-316638</v>
      </c>
      <c r="H14" s="71">
        <f t="shared" ref="H14:H25" si="2">+H13-G14</f>
        <v>-2019454</v>
      </c>
      <c r="I14" s="141"/>
      <c r="J14"/>
      <c r="K14"/>
      <c r="L14"/>
      <c r="M14"/>
      <c r="N14"/>
      <c r="O14"/>
      <c r="P14"/>
    </row>
    <row r="15" spans="1:16" x14ac:dyDescent="0.25">
      <c r="A15" s="13">
        <v>4</v>
      </c>
      <c r="B15" s="38">
        <f t="shared" ref="B15:B25" si="3">EDATE(B14,1)</f>
        <v>45658</v>
      </c>
      <c r="C15" s="145"/>
      <c r="D15" s="255">
        <f>VLOOKUP(B15,'Sales Volumes'!$A$1:$H$200,2,FALSE)</f>
        <v>6059876.4000000004</v>
      </c>
      <c r="E15" s="255">
        <f t="shared" ref="E15:E24" si="4">D15</f>
        <v>6059876.4000000004</v>
      </c>
      <c r="F15" s="81">
        <f t="shared" si="0"/>
        <v>-7.6499999999999999E-2</v>
      </c>
      <c r="G15" s="71">
        <f t="shared" si="1"/>
        <v>-463581</v>
      </c>
      <c r="H15" s="71">
        <f t="shared" si="2"/>
        <v>-1555873</v>
      </c>
      <c r="I15" s="141"/>
      <c r="J15"/>
      <c r="K15"/>
      <c r="L15"/>
      <c r="M15"/>
      <c r="N15"/>
      <c r="O15"/>
      <c r="P15"/>
    </row>
    <row r="16" spans="1:16" x14ac:dyDescent="0.25">
      <c r="A16" s="13">
        <v>5</v>
      </c>
      <c r="B16" s="38">
        <f t="shared" si="3"/>
        <v>45689</v>
      </c>
      <c r="C16" s="145"/>
      <c r="D16" s="255">
        <f>VLOOKUP(B16,'Sales Volumes'!$A$1:$H$200,2,FALSE)</f>
        <v>6018298.7999999998</v>
      </c>
      <c r="E16" s="255">
        <f t="shared" si="4"/>
        <v>6018298.7999999998</v>
      </c>
      <c r="F16" s="81">
        <f t="shared" si="0"/>
        <v>-7.6499999999999999E-2</v>
      </c>
      <c r="G16" s="71">
        <f t="shared" si="1"/>
        <v>-460400</v>
      </c>
      <c r="H16" s="71">
        <f t="shared" si="2"/>
        <v>-1095473</v>
      </c>
      <c r="I16" s="141"/>
      <c r="J16"/>
      <c r="K16"/>
      <c r="L16"/>
      <c r="M16"/>
      <c r="N16"/>
      <c r="O16"/>
      <c r="P16"/>
    </row>
    <row r="17" spans="1:16" x14ac:dyDescent="0.25">
      <c r="A17" s="13">
        <v>6</v>
      </c>
      <c r="B17" s="38">
        <f t="shared" si="3"/>
        <v>45717</v>
      </c>
      <c r="C17" s="145"/>
      <c r="D17" s="255">
        <f>VLOOKUP(B17,'Sales Volumes'!$A$1:$H$200,2,FALSE)</f>
        <v>4573647.2</v>
      </c>
      <c r="E17" s="255">
        <f t="shared" si="4"/>
        <v>4573647.2</v>
      </c>
      <c r="F17" s="81">
        <f t="shared" si="0"/>
        <v>-7.6499999999999999E-2</v>
      </c>
      <c r="G17" s="71">
        <f t="shared" si="1"/>
        <v>-349884</v>
      </c>
      <c r="H17" s="71">
        <f t="shared" si="2"/>
        <v>-745589</v>
      </c>
      <c r="I17" s="141"/>
      <c r="J17"/>
      <c r="K17"/>
      <c r="L17"/>
      <c r="M17"/>
      <c r="N17"/>
      <c r="O17"/>
      <c r="P17"/>
    </row>
    <row r="18" spans="1:16" x14ac:dyDescent="0.25">
      <c r="A18" s="13">
        <v>7</v>
      </c>
      <c r="B18" s="38">
        <f t="shared" si="3"/>
        <v>45748</v>
      </c>
      <c r="C18" s="145"/>
      <c r="D18" s="255">
        <f>VLOOKUP(B18,'Sales Volumes'!$A$1:$H$200,2,FALSE)</f>
        <v>2391850.2999999998</v>
      </c>
      <c r="E18" s="255">
        <f t="shared" si="4"/>
        <v>2391850.2999999998</v>
      </c>
      <c r="F18" s="81">
        <f t="shared" si="0"/>
        <v>-7.6499999999999999E-2</v>
      </c>
      <c r="G18" s="71">
        <f t="shared" si="1"/>
        <v>-182977</v>
      </c>
      <c r="H18" s="71">
        <f t="shared" si="2"/>
        <v>-562612</v>
      </c>
      <c r="I18" s="141"/>
      <c r="J18"/>
      <c r="K18"/>
      <c r="L18"/>
      <c r="M18"/>
      <c r="N18"/>
      <c r="O18"/>
      <c r="P18"/>
    </row>
    <row r="19" spans="1:16" x14ac:dyDescent="0.25">
      <c r="A19" s="13">
        <v>8</v>
      </c>
      <c r="B19" s="38">
        <f t="shared" si="3"/>
        <v>45778</v>
      </c>
      <c r="C19" s="145"/>
      <c r="D19" s="255">
        <f>VLOOKUP(B19,'Sales Volumes'!$A$1:$H$200,2,FALSE)</f>
        <v>1236599.1000000001</v>
      </c>
      <c r="E19" s="255">
        <f t="shared" si="4"/>
        <v>1236599.1000000001</v>
      </c>
      <c r="F19" s="81">
        <f t="shared" si="0"/>
        <v>-7.6499999999999999E-2</v>
      </c>
      <c r="G19" s="71">
        <f t="shared" si="1"/>
        <v>-94600</v>
      </c>
      <c r="H19" s="71">
        <f t="shared" si="2"/>
        <v>-468012</v>
      </c>
      <c r="I19" s="141"/>
      <c r="J19"/>
      <c r="K19"/>
      <c r="L19"/>
      <c r="M19"/>
      <c r="N19"/>
      <c r="O19"/>
      <c r="P19"/>
    </row>
    <row r="20" spans="1:16" x14ac:dyDescent="0.25">
      <c r="A20" s="13">
        <v>9</v>
      </c>
      <c r="B20" s="38">
        <f t="shared" si="3"/>
        <v>45809</v>
      </c>
      <c r="C20" s="145"/>
      <c r="D20" s="255">
        <f>VLOOKUP(B20,'Sales Volumes'!$A$1:$H$200,2,FALSE)</f>
        <v>866541.8</v>
      </c>
      <c r="E20" s="255">
        <f t="shared" si="4"/>
        <v>866541.8</v>
      </c>
      <c r="F20" s="81">
        <f t="shared" si="0"/>
        <v>-7.6499999999999999E-2</v>
      </c>
      <c r="G20" s="71">
        <f t="shared" si="1"/>
        <v>-66290</v>
      </c>
      <c r="H20" s="71">
        <f t="shared" si="2"/>
        <v>-401722</v>
      </c>
      <c r="I20" s="141"/>
      <c r="J20"/>
      <c r="K20"/>
      <c r="L20"/>
      <c r="M20"/>
      <c r="N20"/>
    </row>
    <row r="21" spans="1:16" x14ac:dyDescent="0.25">
      <c r="A21" s="13">
        <v>10</v>
      </c>
      <c r="B21" s="38">
        <f t="shared" si="3"/>
        <v>45839</v>
      </c>
      <c r="C21" s="145"/>
      <c r="D21" s="255">
        <f>VLOOKUP(B21,'Sales Volumes'!$A$1:$H$200,2,FALSE)</f>
        <v>667010.5</v>
      </c>
      <c r="E21" s="255">
        <f t="shared" si="4"/>
        <v>667010.5</v>
      </c>
      <c r="F21" s="81">
        <f t="shared" si="0"/>
        <v>-7.6499999999999999E-2</v>
      </c>
      <c r="G21" s="71">
        <f>ROUND(E21*F21,0)</f>
        <v>-51026</v>
      </c>
      <c r="H21" s="71">
        <f t="shared" si="2"/>
        <v>-350696</v>
      </c>
      <c r="I21" s="141"/>
      <c r="J21"/>
      <c r="K21"/>
      <c r="L21"/>
      <c r="M21"/>
      <c r="N21"/>
    </row>
    <row r="22" spans="1:16" x14ac:dyDescent="0.25">
      <c r="A22" s="13">
        <v>11</v>
      </c>
      <c r="B22" s="38">
        <f t="shared" si="3"/>
        <v>45870</v>
      </c>
      <c r="C22" s="145"/>
      <c r="D22" s="255">
        <f>VLOOKUP(B22,'Sales Volumes'!$A$1:$H$200,2,FALSE)</f>
        <v>653711.80000000005</v>
      </c>
      <c r="E22" s="255">
        <f t="shared" si="4"/>
        <v>653711.80000000005</v>
      </c>
      <c r="F22" s="81">
        <f t="shared" si="0"/>
        <v>-7.6499999999999999E-2</v>
      </c>
      <c r="G22" s="71">
        <f t="shared" si="1"/>
        <v>-50009</v>
      </c>
      <c r="H22" s="71">
        <f t="shared" si="2"/>
        <v>-300687</v>
      </c>
      <c r="I22" s="141"/>
      <c r="J22"/>
      <c r="K22"/>
      <c r="L22"/>
      <c r="M22"/>
      <c r="N22"/>
    </row>
    <row r="23" spans="1:16" x14ac:dyDescent="0.25">
      <c r="A23" s="13">
        <v>12</v>
      </c>
      <c r="B23" s="38">
        <f t="shared" si="3"/>
        <v>45901</v>
      </c>
      <c r="C23" s="145"/>
      <c r="D23" s="255">
        <f>VLOOKUP(B23,'Sales Volumes'!$A$1:$H$200,2,FALSE)</f>
        <v>687884.6</v>
      </c>
      <c r="E23" s="255">
        <f t="shared" si="4"/>
        <v>687884.6</v>
      </c>
      <c r="F23" s="81">
        <f t="shared" si="0"/>
        <v>-7.6499999999999999E-2</v>
      </c>
      <c r="G23" s="71">
        <f t="shared" si="1"/>
        <v>-52623</v>
      </c>
      <c r="H23" s="71">
        <f t="shared" si="2"/>
        <v>-248064</v>
      </c>
      <c r="I23" s="141"/>
      <c r="J23"/>
      <c r="K23"/>
      <c r="L23"/>
      <c r="M23"/>
      <c r="N23"/>
    </row>
    <row r="24" spans="1:16" x14ac:dyDescent="0.25">
      <c r="A24" s="13">
        <v>13</v>
      </c>
      <c r="B24" s="38">
        <f t="shared" si="3"/>
        <v>45931</v>
      </c>
      <c r="C24" s="145"/>
      <c r="D24" s="255">
        <f>VLOOKUP(B24,'Sales Volumes'!$A$1:$H$200,2,FALSE)</f>
        <v>795807.3</v>
      </c>
      <c r="E24" s="255">
        <f t="shared" si="4"/>
        <v>795807.3</v>
      </c>
      <c r="F24" s="81">
        <f t="shared" si="0"/>
        <v>-7.6499999999999999E-2</v>
      </c>
      <c r="G24" s="71">
        <f t="shared" si="1"/>
        <v>-60879</v>
      </c>
      <c r="H24" s="71">
        <f t="shared" si="2"/>
        <v>-187185</v>
      </c>
      <c r="I24" s="141"/>
      <c r="J24"/>
      <c r="K24"/>
      <c r="L24"/>
      <c r="M24"/>
      <c r="N24"/>
    </row>
    <row r="25" spans="1:16" x14ac:dyDescent="0.25">
      <c r="A25" s="13">
        <v>14</v>
      </c>
      <c r="B25" s="38">
        <f t="shared" si="3"/>
        <v>45962</v>
      </c>
      <c r="C25" s="145" t="str">
        <f>$C$13</f>
        <v>Prorated</v>
      </c>
      <c r="D25" s="255">
        <f>VLOOKUP(B25,'Sales Volumes'!$A$1:$H$1000,2,FALSE)</f>
        <v>2013138</v>
      </c>
      <c r="E25" s="255">
        <f>VLOOKUP(B25,'Sales Volumes'!$A$1:$H$1000,3,FALSE)</f>
        <v>1112071.8</v>
      </c>
      <c r="F25" s="81">
        <f t="shared" si="0"/>
        <v>-7.6499999999999999E-2</v>
      </c>
      <c r="G25" s="71">
        <f t="shared" si="1"/>
        <v>-85073</v>
      </c>
      <c r="H25" s="71">
        <f t="shared" si="2"/>
        <v>-102112</v>
      </c>
      <c r="I25" s="141"/>
      <c r="J25"/>
      <c r="K25"/>
      <c r="L25"/>
      <c r="M25"/>
      <c r="N25"/>
    </row>
    <row r="26" spans="1:16" x14ac:dyDescent="0.25">
      <c r="A26" s="13"/>
      <c r="B26" s="38"/>
      <c r="C26" s="145"/>
      <c r="E26" s="84"/>
      <c r="F26" s="84"/>
      <c r="H26" s="144"/>
      <c r="I26" s="141"/>
      <c r="J26"/>
      <c r="K26"/>
      <c r="L26"/>
      <c r="M26"/>
      <c r="N26"/>
    </row>
    <row r="27" spans="1:16" ht="20.25" customHeight="1" x14ac:dyDescent="0.25">
      <c r="A27" s="13">
        <v>15</v>
      </c>
      <c r="E27" s="84"/>
      <c r="F27" s="146" t="s">
        <v>543</v>
      </c>
      <c r="G27" s="71">
        <f>SUM(G13:G25)</f>
        <v>-2281880</v>
      </c>
      <c r="H27" s="144"/>
      <c r="I27" s="141"/>
      <c r="J27"/>
      <c r="K27"/>
      <c r="L27"/>
      <c r="M27"/>
      <c r="N27"/>
    </row>
    <row r="28" spans="1:16" ht="20.25" customHeight="1" x14ac:dyDescent="0.25">
      <c r="E28" s="84"/>
      <c r="F28" s="84"/>
      <c r="G28" s="71"/>
      <c r="I28" s="141"/>
      <c r="J28"/>
      <c r="K28"/>
      <c r="L28"/>
      <c r="M28"/>
      <c r="N28"/>
    </row>
    <row r="29" spans="1:16" x14ac:dyDescent="0.25">
      <c r="A29" s="13">
        <v>16</v>
      </c>
      <c r="F29" s="46" t="s">
        <v>301</v>
      </c>
      <c r="G29" s="71">
        <f>ROUND(H25,0)</f>
        <v>-102112</v>
      </c>
      <c r="J29"/>
      <c r="K29"/>
      <c r="L29"/>
      <c r="M29"/>
      <c r="N29"/>
    </row>
    <row r="30" spans="1:16" x14ac:dyDescent="0.25">
      <c r="J30"/>
      <c r="K30"/>
      <c r="L30"/>
      <c r="M30"/>
      <c r="N30"/>
    </row>
    <row r="31" spans="1:16" x14ac:dyDescent="0.25">
      <c r="A31" s="13"/>
      <c r="J31"/>
      <c r="K31"/>
      <c r="L31"/>
      <c r="M31"/>
      <c r="N31"/>
    </row>
    <row r="32" spans="1:16" x14ac:dyDescent="0.25">
      <c r="J32"/>
      <c r="K32"/>
      <c r="L32"/>
      <c r="M32"/>
      <c r="N32"/>
    </row>
    <row r="33" spans="2:14" x14ac:dyDescent="0.25">
      <c r="J33"/>
      <c r="K33"/>
      <c r="L33"/>
      <c r="M33"/>
      <c r="N33"/>
    </row>
    <row r="34" spans="2:14" x14ac:dyDescent="0.25">
      <c r="D34" s="46"/>
      <c r="E34" s="12"/>
      <c r="J34"/>
      <c r="K34"/>
      <c r="L34"/>
      <c r="M34"/>
      <c r="N34"/>
    </row>
    <row r="35" spans="2:14" x14ac:dyDescent="0.25">
      <c r="B35" s="46"/>
      <c r="C35" s="46"/>
      <c r="D35" s="46"/>
      <c r="E35" s="148"/>
    </row>
    <row r="36" spans="2:14" x14ac:dyDescent="0.25">
      <c r="B36" s="46"/>
      <c r="C36" s="46"/>
      <c r="D36" s="46"/>
      <c r="E36" s="12"/>
    </row>
    <row r="37" spans="2:14" x14ac:dyDescent="0.25">
      <c r="B37" s="46"/>
      <c r="C37" s="46"/>
      <c r="D37" s="561"/>
      <c r="E37" s="12"/>
      <c r="H37" s="15"/>
      <c r="I37" s="15"/>
      <c r="J37" s="15"/>
      <c r="K37" s="15"/>
      <c r="L37" s="15"/>
      <c r="M37" s="15"/>
    </row>
    <row r="38" spans="2:14" x14ac:dyDescent="0.25">
      <c r="B38" s="561"/>
      <c r="C38" s="561"/>
    </row>
    <row r="39" spans="2:14" x14ac:dyDescent="0.25">
      <c r="D39" s="12"/>
    </row>
    <row r="40" spans="2:14" x14ac:dyDescent="0.25">
      <c r="B40" s="12"/>
      <c r="C40" s="12"/>
      <c r="E40" s="12"/>
    </row>
  </sheetData>
  <mergeCells count="3">
    <mergeCell ref="B1:H1"/>
    <mergeCell ref="B2:H2"/>
    <mergeCell ref="B3:H3"/>
  </mergeCells>
  <phoneticPr fontId="4" type="noConversion"/>
  <pageMargins left="0.7" right="0.7" top="0.75" bottom="0.75" header="0.3" footer="0.3"/>
  <pageSetup scale="94" orientation="landscape" r:id="rId1"/>
  <headerFooter>
    <oddFooter>&amp;R&amp;"Times New Roman,Bold"Exhibit C-1
Page 2 of 3</oddFooter>
  </headerFooter>
  <customProperties>
    <customPr name="_pios_id" r:id="rId2"/>
  </customProperties>
  <ignoredErrors>
    <ignoredError sqref="B9:H9"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1">
    <tabColor theme="3" tint="0.59999389629810485"/>
    <pageSetUpPr fitToPage="1"/>
  </sheetPr>
  <dimension ref="A6:M30"/>
  <sheetViews>
    <sheetView zoomScale="80" zoomScaleNormal="80" workbookViewId="0"/>
  </sheetViews>
  <sheetFormatPr defaultColWidth="8.88671875" defaultRowHeight="15.75" x14ac:dyDescent="0.25"/>
  <cols>
    <col min="1" max="1" width="8.88671875" style="3"/>
    <col min="2" max="2" width="11.109375" style="3" customWidth="1"/>
    <col min="3" max="4" width="13.5546875" style="3" customWidth="1"/>
    <col min="5" max="5" width="13.88671875" style="3" customWidth="1"/>
    <col min="6" max="6" width="11.88671875" style="3" customWidth="1"/>
    <col min="7" max="7" width="15.77734375" style="3" bestFit="1" customWidth="1"/>
    <col min="8" max="8" width="14.77734375" style="3" bestFit="1" customWidth="1"/>
    <col min="9" max="9" width="13.5546875" style="3" bestFit="1" customWidth="1"/>
    <col min="10" max="10" width="13.6640625" style="3" customWidth="1"/>
    <col min="11" max="11" width="16.109375" style="3" customWidth="1"/>
    <col min="12" max="12" width="14.33203125" style="3" customWidth="1"/>
    <col min="13" max="16384" width="8.88671875" style="3"/>
  </cols>
  <sheetData>
    <row r="6" spans="1:13" ht="18.75" x14ac:dyDescent="0.3">
      <c r="B6" s="635" t="s">
        <v>5</v>
      </c>
      <c r="C6" s="635"/>
      <c r="D6" s="635"/>
      <c r="E6" s="635"/>
      <c r="F6" s="635"/>
      <c r="G6" s="635"/>
      <c r="H6" s="635"/>
    </row>
    <row r="7" spans="1:13" ht="18.75" x14ac:dyDescent="0.3">
      <c r="B7" s="623" t="s">
        <v>310</v>
      </c>
      <c r="C7" s="623"/>
      <c r="D7" s="623"/>
      <c r="E7" s="623"/>
      <c r="F7" s="623"/>
      <c r="G7" s="623"/>
      <c r="H7" s="623"/>
    </row>
    <row r="8" spans="1:13" ht="18.75" x14ac:dyDescent="0.3">
      <c r="B8" s="623" t="str">
        <f>CONCATENATE("For Service Rendered On and After ",'Input Data'!$D$4)</f>
        <v>For Service Rendered On and After February 1, 2026</v>
      </c>
      <c r="C8" s="623"/>
      <c r="D8" s="623"/>
      <c r="E8" s="623"/>
      <c r="F8" s="623"/>
      <c r="G8" s="623"/>
      <c r="H8" s="623"/>
    </row>
    <row r="9" spans="1:13" x14ac:dyDescent="0.25">
      <c r="A9" s="124"/>
      <c r="B9" s="149"/>
      <c r="C9" s="454"/>
      <c r="D9" s="454"/>
      <c r="E9" s="454"/>
      <c r="F9" s="454"/>
      <c r="G9" s="454"/>
      <c r="H9" s="454"/>
    </row>
    <row r="10" spans="1:13" x14ac:dyDescent="0.25">
      <c r="A10" s="124"/>
      <c r="B10" s="149"/>
      <c r="C10" s="454"/>
      <c r="D10" s="454"/>
      <c r="E10" s="454"/>
      <c r="F10" s="454"/>
      <c r="G10" s="454"/>
      <c r="H10" s="454"/>
    </row>
    <row r="11" spans="1:13" x14ac:dyDescent="0.25">
      <c r="A11" s="124"/>
      <c r="B11" s="149"/>
      <c r="C11" s="454"/>
      <c r="D11" s="454"/>
      <c r="E11" s="454"/>
      <c r="F11" s="454"/>
      <c r="G11" s="454"/>
      <c r="H11" s="454"/>
    </row>
    <row r="12" spans="1:13" x14ac:dyDescent="0.25">
      <c r="A12" s="124"/>
      <c r="B12" s="149"/>
      <c r="C12" s="454"/>
      <c r="D12" s="454"/>
      <c r="E12" s="454"/>
      <c r="F12" s="454"/>
      <c r="G12" s="454"/>
      <c r="H12" s="454"/>
    </row>
    <row r="13" spans="1:13" x14ac:dyDescent="0.25">
      <c r="A13" s="15" t="s">
        <v>116</v>
      </c>
      <c r="B13" s="13" t="str">
        <f>VLOOKUP(B20,'Case Database'!$A$2:$F$200,3,FALSE)</f>
        <v>2025-00188</v>
      </c>
      <c r="C13" s="454"/>
      <c r="D13" s="454"/>
      <c r="E13" s="454"/>
      <c r="F13" s="454"/>
      <c r="G13" s="454"/>
      <c r="H13" s="454"/>
    </row>
    <row r="14" spans="1:13" x14ac:dyDescent="0.25">
      <c r="J14"/>
      <c r="K14"/>
      <c r="L14"/>
      <c r="M14"/>
    </row>
    <row r="15" spans="1:13" ht="47.25" x14ac:dyDescent="0.25">
      <c r="A15" s="140" t="s">
        <v>245</v>
      </c>
      <c r="B15" s="140" t="s">
        <v>346</v>
      </c>
      <c r="C15" s="140" t="s">
        <v>308</v>
      </c>
      <c r="D15" s="502" t="s">
        <v>367</v>
      </c>
      <c r="E15" s="140" t="s">
        <v>297</v>
      </c>
      <c r="F15" s="140" t="s">
        <v>298</v>
      </c>
      <c r="G15" s="140" t="s">
        <v>351</v>
      </c>
      <c r="H15" s="140" t="s">
        <v>269</v>
      </c>
      <c r="J15"/>
      <c r="K15"/>
      <c r="L15"/>
      <c r="M15"/>
    </row>
    <row r="16" spans="1:13" x14ac:dyDescent="0.25">
      <c r="A16" s="13"/>
      <c r="B16" s="145" t="s">
        <v>60</v>
      </c>
      <c r="C16" s="145" t="s">
        <v>61</v>
      </c>
      <c r="D16" s="145" t="s">
        <v>62</v>
      </c>
      <c r="E16" s="145" t="s">
        <v>63</v>
      </c>
      <c r="F16" s="143" t="s">
        <v>64</v>
      </c>
      <c r="G16" s="145" t="s">
        <v>485</v>
      </c>
      <c r="H16" s="143" t="s">
        <v>326</v>
      </c>
      <c r="J16"/>
      <c r="K16"/>
      <c r="L16"/>
      <c r="M16"/>
    </row>
    <row r="17" spans="1:13" x14ac:dyDescent="0.25">
      <c r="A17" s="13"/>
      <c r="B17" s="38"/>
      <c r="C17" s="38"/>
      <c r="D17" s="38"/>
      <c r="E17" s="557"/>
      <c r="J17"/>
      <c r="K17"/>
      <c r="L17"/>
      <c r="M17"/>
    </row>
    <row r="18" spans="1:13" x14ac:dyDescent="0.25">
      <c r="A18" s="13">
        <v>1</v>
      </c>
      <c r="E18" s="557"/>
      <c r="G18" s="150" t="s">
        <v>268</v>
      </c>
      <c r="H18" s="125">
        <f>'Input Data'!D151</f>
        <v>547099.8400000002</v>
      </c>
      <c r="J18"/>
      <c r="K18"/>
      <c r="L18"/>
      <c r="M18"/>
    </row>
    <row r="19" spans="1:13" x14ac:dyDescent="0.25">
      <c r="A19" s="13"/>
      <c r="E19" s="557"/>
      <c r="G19" s="38"/>
      <c r="H19" s="144"/>
      <c r="J19"/>
      <c r="K19"/>
      <c r="L19"/>
      <c r="M19"/>
    </row>
    <row r="20" spans="1:13" x14ac:dyDescent="0.25">
      <c r="A20" s="13">
        <v>2</v>
      </c>
      <c r="B20" s="120">
        <f>'Input Data'!C7</f>
        <v>45870</v>
      </c>
      <c r="C20" s="145" t="s">
        <v>362</v>
      </c>
      <c r="D20" s="560">
        <f>VLOOKUP($B20,'Sales Volumes'!$A$1:$H$200,2,FALSE)</f>
        <v>653711.80000000005</v>
      </c>
      <c r="E20" s="560">
        <f>VLOOKUP($B20,'Sales Volumes'!$A$1:$H$200,4,FALSE)</f>
        <v>302897.40000000002</v>
      </c>
      <c r="F20" s="547">
        <f>VLOOKUP(B13,'Case Database'!C3:M200,10)</f>
        <v>0.1807</v>
      </c>
      <c r="G20" s="123">
        <f>ROUND(E20*F20,0)</f>
        <v>54734</v>
      </c>
      <c r="H20" s="125">
        <f>+H18-G20</f>
        <v>492365.8400000002</v>
      </c>
      <c r="J20"/>
      <c r="K20"/>
      <c r="L20"/>
      <c r="M20"/>
    </row>
    <row r="21" spans="1:13" x14ac:dyDescent="0.25">
      <c r="A21" s="13">
        <v>3</v>
      </c>
      <c r="B21" s="120">
        <f>EDATE(B20,1)</f>
        <v>45901</v>
      </c>
      <c r="C21" s="145"/>
      <c r="D21" s="560">
        <f>VLOOKUP($B21,'Sales Volumes'!$A$1:$H$200,2,FALSE)</f>
        <v>687884.6</v>
      </c>
      <c r="E21" s="560">
        <f>D21</f>
        <v>687884.6</v>
      </c>
      <c r="F21" s="547">
        <f>F20</f>
        <v>0.1807</v>
      </c>
      <c r="G21" s="123">
        <f>ROUND(E21*F21,0)</f>
        <v>124301</v>
      </c>
      <c r="H21" s="125">
        <f>+H20-G21</f>
        <v>368064.8400000002</v>
      </c>
      <c r="J21"/>
      <c r="K21"/>
      <c r="L21"/>
      <c r="M21"/>
    </row>
    <row r="22" spans="1:13" x14ac:dyDescent="0.25">
      <c r="A22" s="13">
        <v>4</v>
      </c>
      <c r="B22" s="120">
        <f>EDATE(B21,1)</f>
        <v>45931</v>
      </c>
      <c r="C22" s="145"/>
      <c r="D22" s="560">
        <f>VLOOKUP($B22,'Sales Volumes'!$A$1:$H$200,2,FALSE)</f>
        <v>795807.3</v>
      </c>
      <c r="E22" s="560">
        <f>D22</f>
        <v>795807.3</v>
      </c>
      <c r="F22" s="547">
        <f>F20</f>
        <v>0.1807</v>
      </c>
      <c r="G22" s="123">
        <f>ROUND(E22*F22,0)</f>
        <v>143802</v>
      </c>
      <c r="H22" s="125">
        <f>+H21-G22</f>
        <v>224262.8400000002</v>
      </c>
      <c r="J22"/>
      <c r="K22"/>
      <c r="L22"/>
      <c r="M22"/>
    </row>
    <row r="23" spans="1:13" x14ac:dyDescent="0.25">
      <c r="A23" s="13">
        <v>5</v>
      </c>
      <c r="B23" s="120">
        <f>EDATE(B22,1)</f>
        <v>45962</v>
      </c>
      <c r="C23" s="145" t="s">
        <v>362</v>
      </c>
      <c r="D23" s="560">
        <f>VLOOKUP($B23,'Sales Volumes'!$A$1:$H$1000,2,FALSE)</f>
        <v>2013138</v>
      </c>
      <c r="E23" s="560">
        <f>VLOOKUP($B23,'Sales Volumes'!$A$1:$H$1000,3,FALSE)</f>
        <v>1112071.8</v>
      </c>
      <c r="F23" s="547">
        <f>F20</f>
        <v>0.1807</v>
      </c>
      <c r="G23" s="123">
        <f>ROUND(E23*F23,0)</f>
        <v>200951</v>
      </c>
      <c r="H23" s="125">
        <f>+H22-G23</f>
        <v>23311.8400000002</v>
      </c>
      <c r="J23"/>
      <c r="K23"/>
      <c r="L23"/>
      <c r="M23"/>
    </row>
    <row r="24" spans="1:13" x14ac:dyDescent="0.25">
      <c r="A24" s="13"/>
      <c r="E24" s="144"/>
      <c r="F24" s="149"/>
      <c r="H24" s="149"/>
      <c r="J24"/>
      <c r="K24"/>
      <c r="L24"/>
      <c r="M24"/>
    </row>
    <row r="25" spans="1:13" x14ac:dyDescent="0.25">
      <c r="A25" s="13">
        <v>6</v>
      </c>
      <c r="E25" s="557"/>
      <c r="F25" s="146" t="s">
        <v>543</v>
      </c>
      <c r="G25" s="125">
        <f>SUM(G20:G23)</f>
        <v>523788</v>
      </c>
      <c r="H25" s="144"/>
      <c r="J25"/>
      <c r="K25"/>
      <c r="L25"/>
      <c r="M25"/>
    </row>
    <row r="26" spans="1:13" x14ac:dyDescent="0.25">
      <c r="A26" s="13"/>
      <c r="E26" s="557"/>
      <c r="F26" s="557"/>
      <c r="J26"/>
      <c r="K26"/>
      <c r="L26"/>
      <c r="M26"/>
    </row>
    <row r="27" spans="1:13" ht="18" customHeight="1" x14ac:dyDescent="0.35">
      <c r="A27" s="13">
        <v>7</v>
      </c>
      <c r="F27" s="46" t="s">
        <v>301</v>
      </c>
      <c r="G27" s="125">
        <f>ROUND(H23,0)</f>
        <v>23312</v>
      </c>
      <c r="H27" s="63"/>
      <c r="J27"/>
      <c r="K27"/>
      <c r="L27"/>
      <c r="M27"/>
    </row>
    <row r="28" spans="1:13" x14ac:dyDescent="0.25">
      <c r="J28"/>
      <c r="K28"/>
      <c r="L28"/>
      <c r="M28"/>
    </row>
    <row r="29" spans="1:13" x14ac:dyDescent="0.25">
      <c r="J29"/>
      <c r="K29"/>
      <c r="L29"/>
      <c r="M29"/>
    </row>
    <row r="30" spans="1:13" x14ac:dyDescent="0.25">
      <c r="J30"/>
      <c r="K30"/>
      <c r="L30"/>
      <c r="M30"/>
    </row>
  </sheetData>
  <mergeCells count="3">
    <mergeCell ref="B8:H8"/>
    <mergeCell ref="B6:H6"/>
    <mergeCell ref="B7:H7"/>
  </mergeCells>
  <pageMargins left="0.7" right="0.7" top="0.75" bottom="0.75" header="0.3" footer="0.3"/>
  <pageSetup scale="73" orientation="portrait" r:id="rId1"/>
  <headerFooter>
    <oddHeader>&amp;R&amp;"Times New Roman,Bold"Exhibit C-1
Page 3 of 3</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8"/>
  <dimension ref="A1:XFC77"/>
  <sheetViews>
    <sheetView zoomScale="70" zoomScaleNormal="70" zoomScaleSheetLayoutView="50" workbookViewId="0"/>
  </sheetViews>
  <sheetFormatPr defaultColWidth="8.88671875" defaultRowHeight="18.75" x14ac:dyDescent="0.3"/>
  <cols>
    <col min="1" max="1" width="10.88671875" style="86" customWidth="1"/>
    <col min="2" max="2" width="17.77734375" style="86" customWidth="1"/>
    <col min="3" max="3" width="10.77734375" style="86" customWidth="1"/>
    <col min="4" max="4" width="4.77734375" style="86" customWidth="1"/>
    <col min="5" max="5" width="9.109375" style="86" customWidth="1"/>
    <col min="6" max="6" width="5" style="86" customWidth="1"/>
    <col min="7" max="7" width="9.109375" style="86" bestFit="1" customWidth="1"/>
    <col min="8" max="8" width="8.88671875" style="86"/>
    <col min="9" max="9" width="17.77734375" style="86" customWidth="1"/>
    <col min="10" max="10" width="10.77734375" style="86" customWidth="1"/>
    <col min="11" max="11" width="4.6640625" style="86" customWidth="1"/>
    <col min="12" max="12" width="10.44140625" style="86" customWidth="1"/>
    <col min="13" max="13" width="4.77734375" style="86" customWidth="1"/>
    <col min="14" max="14" width="9.109375" style="86" bestFit="1" customWidth="1"/>
    <col min="15" max="15" width="8.88671875" style="86"/>
    <col min="16" max="16" width="17.77734375" style="86" customWidth="1"/>
    <col min="17" max="17" width="10.77734375" style="86" customWidth="1"/>
    <col min="18" max="18" width="4.6640625" style="86" customWidth="1"/>
    <col min="19" max="19" width="10" style="86" customWidth="1"/>
    <col min="20" max="20" width="4.77734375" style="86" customWidth="1"/>
    <col min="21" max="21" width="9.109375" style="86" bestFit="1" customWidth="1"/>
    <col min="22" max="22" width="8.88671875" style="86"/>
    <col min="23" max="23" width="3.44140625" style="86" customWidth="1"/>
    <col min="24" max="24" width="8.88671875" style="86"/>
    <col min="25" max="25" width="17.77734375" style="86" customWidth="1"/>
    <col min="26" max="26" width="10.77734375" style="86" customWidth="1"/>
    <col min="27" max="27" width="4.6640625" style="86" customWidth="1"/>
    <col min="28" max="28" width="10.44140625" style="86" customWidth="1"/>
    <col min="29" max="29" width="4.77734375" style="86" customWidth="1"/>
    <col min="30" max="30" width="9.109375" style="86" bestFit="1" customWidth="1"/>
    <col min="31" max="31" width="8.88671875" style="86"/>
    <col min="32" max="32" width="17.77734375" style="86" customWidth="1"/>
    <col min="33" max="33" width="10.77734375" style="86" customWidth="1"/>
    <col min="34" max="34" width="4.6640625" style="86" customWidth="1"/>
    <col min="35" max="35" width="10" style="86" customWidth="1"/>
    <col min="36" max="36" width="4.77734375" style="86" customWidth="1"/>
    <col min="37" max="37" width="9.109375" style="86" bestFit="1" customWidth="1"/>
    <col min="38" max="16384" width="8.88671875" style="86"/>
  </cols>
  <sheetData>
    <row r="1" spans="2:37 16383:16383" x14ac:dyDescent="0.3">
      <c r="B1" s="136" t="s">
        <v>495</v>
      </c>
    </row>
    <row r="2" spans="2:37 16383:16383" ht="19.5" x14ac:dyDescent="0.35">
      <c r="H2" s="198"/>
      <c r="I2" s="198"/>
      <c r="K2"/>
      <c r="L2"/>
      <c r="M2"/>
      <c r="N2"/>
      <c r="Y2" s="198"/>
      <c r="AA2"/>
      <c r="AB2"/>
      <c r="AC2"/>
      <c r="AD2"/>
      <c r="XFC2" s="505"/>
    </row>
    <row r="3" spans="2:37 16383:16383" x14ac:dyDescent="0.3">
      <c r="B3" s="86" t="s">
        <v>394</v>
      </c>
      <c r="Q3" s="242"/>
      <c r="AG3" s="242"/>
    </row>
    <row r="5" spans="2:37 16383:16383" x14ac:dyDescent="0.3">
      <c r="C5" s="210">
        <f>EOMONTH(J5,-3)</f>
        <v>45991</v>
      </c>
      <c r="J5" s="210">
        <f>'Input Data'!C4</f>
        <v>46054</v>
      </c>
      <c r="K5" s="86" t="s">
        <v>395</v>
      </c>
      <c r="Q5" s="210">
        <f>EOMONTH(J5,-12)</f>
        <v>45716</v>
      </c>
      <c r="R5" s="86" t="s">
        <v>396</v>
      </c>
      <c r="W5" s="512"/>
      <c r="Z5" s="210">
        <f>J5</f>
        <v>46054</v>
      </c>
      <c r="AA5" s="86" t="s">
        <v>395</v>
      </c>
      <c r="AG5" s="210">
        <f>EOMONTH(Z5,-12)</f>
        <v>45716</v>
      </c>
      <c r="AH5" s="86" t="s">
        <v>396</v>
      </c>
    </row>
    <row r="6" spans="2:37 16383:16383" ht="6.75" customHeight="1" x14ac:dyDescent="0.3">
      <c r="W6" s="512"/>
    </row>
    <row r="7" spans="2:37 16383:16383" x14ac:dyDescent="0.3">
      <c r="C7" s="86" t="s">
        <v>397</v>
      </c>
      <c r="G7" s="617">
        <f>0.65*365/12</f>
        <v>19.770833333333332</v>
      </c>
      <c r="J7" s="86" t="s">
        <v>397</v>
      </c>
      <c r="N7" s="617">
        <f>0.65*365/12</f>
        <v>19.770833333333332</v>
      </c>
      <c r="Q7" s="86" t="s">
        <v>397</v>
      </c>
      <c r="U7" s="617">
        <f>0.65*365/12</f>
        <v>19.770833333333332</v>
      </c>
      <c r="W7" s="512"/>
      <c r="Z7" s="86" t="s">
        <v>397</v>
      </c>
      <c r="AD7" s="199">
        <f>N7</f>
        <v>19.770833333333332</v>
      </c>
      <c r="AG7" s="86" t="s">
        <v>397</v>
      </c>
      <c r="AK7" s="199">
        <f>U7</f>
        <v>19.770833333333332</v>
      </c>
    </row>
    <row r="8" spans="2:37 16383:16383" x14ac:dyDescent="0.3">
      <c r="W8" s="512"/>
    </row>
    <row r="9" spans="2:37 16383:16383" x14ac:dyDescent="0.3">
      <c r="B9" s="86" t="s">
        <v>398</v>
      </c>
      <c r="C9" s="510">
        <v>60</v>
      </c>
      <c r="D9" s="151" t="s">
        <v>399</v>
      </c>
      <c r="E9" s="618">
        <v>0.51809000000000005</v>
      </c>
      <c r="F9" s="151" t="s">
        <v>400</v>
      </c>
      <c r="G9" s="201">
        <f>ROUND(C9*E9,2)</f>
        <v>31.09</v>
      </c>
      <c r="I9" s="86" t="s">
        <v>398</v>
      </c>
      <c r="J9" s="86">
        <f>$C$9</f>
        <v>60</v>
      </c>
      <c r="K9" s="151" t="s">
        <v>399</v>
      </c>
      <c r="L9" s="618">
        <v>0.51809000000000005</v>
      </c>
      <c r="M9" s="151" t="s">
        <v>400</v>
      </c>
      <c r="N9" s="201">
        <f>ROUND(J9*L9,2)</f>
        <v>31.09</v>
      </c>
      <c r="P9" s="86" t="s">
        <v>398</v>
      </c>
      <c r="Q9" s="86">
        <f>$C$9</f>
        <v>60</v>
      </c>
      <c r="R9" s="151" t="s">
        <v>399</v>
      </c>
      <c r="S9" s="618">
        <v>0.51809000000000005</v>
      </c>
      <c r="T9" s="151" t="s">
        <v>400</v>
      </c>
      <c r="U9" s="201">
        <f>ROUND(Q9*S9,2)</f>
        <v>31.09</v>
      </c>
      <c r="W9" s="512"/>
      <c r="Y9" s="86" t="s">
        <v>398</v>
      </c>
      <c r="Z9" s="620">
        <v>70</v>
      </c>
      <c r="AA9" s="151" t="s">
        <v>399</v>
      </c>
      <c r="AB9" s="203">
        <f>L9</f>
        <v>0.51809000000000005</v>
      </c>
      <c r="AC9" s="151" t="s">
        <v>400</v>
      </c>
      <c r="AD9" s="201">
        <f>ROUND(Z9*AB9,2)</f>
        <v>36.270000000000003</v>
      </c>
      <c r="AF9" s="86" t="s">
        <v>398</v>
      </c>
      <c r="AG9" s="86">
        <f>Z9</f>
        <v>70</v>
      </c>
      <c r="AH9" s="151" t="s">
        <v>399</v>
      </c>
      <c r="AI9" s="203">
        <f>S9</f>
        <v>0.51809000000000005</v>
      </c>
      <c r="AJ9" s="151" t="s">
        <v>400</v>
      </c>
      <c r="AK9" s="201">
        <f>ROUND(AG9*AI9,2)</f>
        <v>36.270000000000003</v>
      </c>
    </row>
    <row r="10" spans="2:37 16383:16383" x14ac:dyDescent="0.3">
      <c r="E10" s="202"/>
      <c r="G10" s="201"/>
      <c r="L10" s="202"/>
      <c r="N10" s="201"/>
      <c r="S10" s="202"/>
      <c r="U10" s="201"/>
      <c r="W10" s="512"/>
      <c r="AD10" s="201"/>
      <c r="AK10" s="201"/>
    </row>
    <row r="11" spans="2:37 16383:16383" x14ac:dyDescent="0.3">
      <c r="B11" s="86" t="s">
        <v>211</v>
      </c>
      <c r="C11" s="86">
        <f>$C$9</f>
        <v>60</v>
      </c>
      <c r="D11" s="151" t="s">
        <v>399</v>
      </c>
      <c r="E11" s="618">
        <v>0.51805999999999996</v>
      </c>
      <c r="F11" s="151" t="s">
        <v>400</v>
      </c>
      <c r="G11" s="201">
        <f>ROUND(C11*E11,2)</f>
        <v>31.08</v>
      </c>
      <c r="I11" s="86" t="s">
        <v>211</v>
      </c>
      <c r="J11" s="86">
        <f>$C$9</f>
        <v>60</v>
      </c>
      <c r="K11" s="151" t="s">
        <v>399</v>
      </c>
      <c r="L11" s="203">
        <f>'Summary Sheet'!K59</f>
        <v>0.46766999999999997</v>
      </c>
      <c r="M11" s="151" t="s">
        <v>400</v>
      </c>
      <c r="N11" s="201">
        <f>ROUND(J11*L11,2)</f>
        <v>28.06</v>
      </c>
      <c r="P11" s="86" t="s">
        <v>211</v>
      </c>
      <c r="Q11" s="86">
        <f>$C$9</f>
        <v>60</v>
      </c>
      <c r="R11" s="151" t="s">
        <v>399</v>
      </c>
      <c r="S11" s="618">
        <v>0.34394999999999998</v>
      </c>
      <c r="T11" s="151" t="s">
        <v>400</v>
      </c>
      <c r="U11" s="201">
        <f>ROUND(Q11*S11,2)</f>
        <v>20.64</v>
      </c>
      <c r="V11" s="203"/>
      <c r="W11" s="513"/>
      <c r="Y11" s="86" t="s">
        <v>211</v>
      </c>
      <c r="Z11" s="86">
        <f>Z9</f>
        <v>70</v>
      </c>
      <c r="AA11" s="151" t="s">
        <v>399</v>
      </c>
      <c r="AB11" s="203">
        <f>L11</f>
        <v>0.46766999999999997</v>
      </c>
      <c r="AC11" s="151" t="s">
        <v>400</v>
      </c>
      <c r="AD11" s="201">
        <f>ROUND(Z11*AB11,2)</f>
        <v>32.74</v>
      </c>
      <c r="AF11" s="86" t="s">
        <v>211</v>
      </c>
      <c r="AG11" s="86">
        <f>Z9</f>
        <v>70</v>
      </c>
      <c r="AH11" s="151" t="s">
        <v>399</v>
      </c>
      <c r="AI11" s="203">
        <f>S11</f>
        <v>0.34394999999999998</v>
      </c>
      <c r="AJ11" s="151" t="s">
        <v>400</v>
      </c>
      <c r="AK11" s="201">
        <f>ROUND(AG11*AI11,2)</f>
        <v>24.08</v>
      </c>
    </row>
    <row r="12" spans="2:37 16383:16383" x14ac:dyDescent="0.3">
      <c r="E12" s="202"/>
      <c r="L12" s="202"/>
      <c r="S12" s="202"/>
      <c r="V12" s="203"/>
      <c r="W12" s="513"/>
    </row>
    <row r="13" spans="2:37 16383:16383" x14ac:dyDescent="0.3">
      <c r="B13" s="86" t="s">
        <v>401</v>
      </c>
      <c r="C13" s="86">
        <f>$C$9</f>
        <v>60</v>
      </c>
      <c r="D13" s="151" t="s">
        <v>402</v>
      </c>
      <c r="E13" s="618">
        <v>2.0289999999999999E-2</v>
      </c>
      <c r="F13" s="151" t="s">
        <v>400</v>
      </c>
      <c r="G13" s="201">
        <f>ROUND(C13*E13,2)</f>
        <v>1.22</v>
      </c>
      <c r="I13" s="86" t="s">
        <v>401</v>
      </c>
      <c r="J13" s="86">
        <f>$C$9</f>
        <v>60</v>
      </c>
      <c r="K13" s="151" t="s">
        <v>402</v>
      </c>
      <c r="L13" s="618">
        <v>2.0289999999999999E-2</v>
      </c>
      <c r="M13" s="151" t="s">
        <v>400</v>
      </c>
      <c r="N13" s="201">
        <f>ROUND(J13*L13,2)</f>
        <v>1.22</v>
      </c>
      <c r="P13" s="86" t="s">
        <v>401</v>
      </c>
      <c r="Q13" s="86">
        <f>$C$9</f>
        <v>60</v>
      </c>
      <c r="R13" s="151" t="s">
        <v>402</v>
      </c>
      <c r="S13" s="618">
        <v>1.6299999999999999E-2</v>
      </c>
      <c r="T13" s="151" t="s">
        <v>400</v>
      </c>
      <c r="U13" s="201">
        <f>ROUND(Q13*S13,2)</f>
        <v>0.98</v>
      </c>
      <c r="W13" s="512"/>
      <c r="Y13" s="86" t="s">
        <v>401</v>
      </c>
      <c r="Z13" s="86">
        <f>Z9</f>
        <v>70</v>
      </c>
      <c r="AA13" s="151" t="s">
        <v>402</v>
      </c>
      <c r="AB13" s="203">
        <f>L13</f>
        <v>2.0289999999999999E-2</v>
      </c>
      <c r="AC13" s="151" t="s">
        <v>400</v>
      </c>
      <c r="AD13" s="201">
        <f>ROUND(Z13*AB13,2)</f>
        <v>1.42</v>
      </c>
      <c r="AF13" s="86" t="s">
        <v>401</v>
      </c>
      <c r="AG13" s="86">
        <f>Z9</f>
        <v>70</v>
      </c>
      <c r="AH13" s="151" t="s">
        <v>402</v>
      </c>
      <c r="AI13" s="203">
        <f>S13</f>
        <v>1.6299999999999999E-2</v>
      </c>
      <c r="AJ13" s="151" t="s">
        <v>400</v>
      </c>
      <c r="AK13" s="201">
        <f>ROUND(AG13*AI13,2)</f>
        <v>1.1399999999999999</v>
      </c>
    </row>
    <row r="14" spans="2:37 16383:16383" x14ac:dyDescent="0.3">
      <c r="E14" s="202"/>
      <c r="G14" s="199"/>
      <c r="L14" s="202"/>
      <c r="N14" s="199"/>
      <c r="U14" s="199"/>
      <c r="W14" s="512"/>
      <c r="AD14" s="199"/>
      <c r="AK14" s="199"/>
    </row>
    <row r="15" spans="2:37 16383:16383" ht="37.5" x14ac:dyDescent="0.3">
      <c r="B15" s="363" t="s">
        <v>606</v>
      </c>
      <c r="C15" s="86">
        <f>C9</f>
        <v>60</v>
      </c>
      <c r="D15" s="151" t="s">
        <v>399</v>
      </c>
      <c r="E15" s="618">
        <v>0</v>
      </c>
      <c r="F15" s="151" t="s">
        <v>400</v>
      </c>
      <c r="G15" s="201">
        <f>ROUND(C15*E15,2)</f>
        <v>0</v>
      </c>
      <c r="I15" s="363" t="s">
        <v>606</v>
      </c>
      <c r="J15" s="86">
        <f>C9</f>
        <v>60</v>
      </c>
      <c r="K15" s="151" t="s">
        <v>399</v>
      </c>
      <c r="L15" s="618">
        <v>0</v>
      </c>
      <c r="M15" s="151" t="s">
        <v>400</v>
      </c>
      <c r="N15" s="201">
        <f>ROUND(J15*L15,2)</f>
        <v>0</v>
      </c>
      <c r="P15" s="363" t="s">
        <v>606</v>
      </c>
      <c r="Q15" s="86">
        <f>C9</f>
        <v>60</v>
      </c>
      <c r="R15" s="151" t="s">
        <v>399</v>
      </c>
      <c r="S15" s="618">
        <v>0</v>
      </c>
      <c r="T15" s="151" t="s">
        <v>400</v>
      </c>
      <c r="U15" s="201">
        <f>ROUND(Q15*S15,2)</f>
        <v>0</v>
      </c>
      <c r="W15" s="512"/>
      <c r="Y15" s="363" t="s">
        <v>606</v>
      </c>
      <c r="Z15" s="86">
        <f>Z9</f>
        <v>70</v>
      </c>
      <c r="AA15" s="151" t="s">
        <v>399</v>
      </c>
      <c r="AB15" s="203">
        <f>L15</f>
        <v>0</v>
      </c>
      <c r="AC15" s="151" t="s">
        <v>400</v>
      </c>
      <c r="AD15" s="201">
        <f>ROUND(Z15*AB15,2)</f>
        <v>0</v>
      </c>
      <c r="AF15" s="363" t="s">
        <v>606</v>
      </c>
      <c r="AG15" s="86">
        <f>Z9</f>
        <v>70</v>
      </c>
      <c r="AH15" s="151" t="s">
        <v>399</v>
      </c>
      <c r="AI15" s="203">
        <f>S15</f>
        <v>0</v>
      </c>
      <c r="AJ15" s="151" t="s">
        <v>400</v>
      </c>
      <c r="AK15" s="201">
        <f>ROUND(AG15*AI15,2)</f>
        <v>0</v>
      </c>
    </row>
    <row r="16" spans="2:37 16383:16383" hidden="1" x14ac:dyDescent="0.3">
      <c r="E16" s="202"/>
      <c r="G16" s="199"/>
      <c r="L16" s="202"/>
      <c r="N16" s="199"/>
      <c r="U16" s="199"/>
      <c r="W16" s="512"/>
      <c r="AD16" s="199"/>
      <c r="AK16" s="199"/>
    </row>
    <row r="17" spans="1:37" hidden="1" x14ac:dyDescent="0.3">
      <c r="B17" s="86" t="s">
        <v>590</v>
      </c>
      <c r="C17" s="86">
        <v>60</v>
      </c>
      <c r="D17" s="151" t="s">
        <v>399</v>
      </c>
      <c r="E17" s="200">
        <v>0</v>
      </c>
      <c r="F17" s="151" t="s">
        <v>400</v>
      </c>
      <c r="G17" s="201">
        <f>ROUND(C17*E17,2)</f>
        <v>0</v>
      </c>
      <c r="I17" s="86" t="s">
        <v>590</v>
      </c>
      <c r="J17" s="86">
        <v>60</v>
      </c>
      <c r="K17" s="151" t="s">
        <v>399</v>
      </c>
      <c r="L17" s="200">
        <v>0</v>
      </c>
      <c r="M17" s="151" t="s">
        <v>400</v>
      </c>
      <c r="N17" s="201">
        <f>ROUND(J17*L17,2)</f>
        <v>0</v>
      </c>
      <c r="P17" s="86" t="s">
        <v>590</v>
      </c>
      <c r="Q17" s="86">
        <v>60</v>
      </c>
      <c r="R17" s="151" t="s">
        <v>399</v>
      </c>
      <c r="S17" s="200">
        <v>0</v>
      </c>
      <c r="T17" s="151" t="s">
        <v>400</v>
      </c>
      <c r="U17" s="201">
        <f>ROUND(Q17*S17,2)</f>
        <v>0</v>
      </c>
      <c r="W17" s="512"/>
      <c r="Y17" s="86" t="s">
        <v>590</v>
      </c>
      <c r="Z17" s="86">
        <v>60</v>
      </c>
      <c r="AA17" s="151" t="s">
        <v>399</v>
      </c>
      <c r="AB17" s="203">
        <v>0</v>
      </c>
      <c r="AC17" s="151" t="s">
        <v>400</v>
      </c>
      <c r="AD17" s="201">
        <f>ROUND(Z17*AB17,2)</f>
        <v>0</v>
      </c>
      <c r="AF17" s="86" t="s">
        <v>590</v>
      </c>
      <c r="AG17" s="86">
        <v>60</v>
      </c>
      <c r="AH17" s="151" t="s">
        <v>399</v>
      </c>
      <c r="AI17" s="203">
        <v>0</v>
      </c>
      <c r="AJ17" s="151" t="s">
        <v>400</v>
      </c>
      <c r="AK17" s="201">
        <f>ROUND(AG17*AI17,2)</f>
        <v>0</v>
      </c>
    </row>
    <row r="18" spans="1:37" x14ac:dyDescent="0.3">
      <c r="E18" s="202"/>
      <c r="G18" s="199"/>
      <c r="L18" s="202"/>
      <c r="N18" s="199"/>
      <c r="U18" s="199"/>
      <c r="W18" s="512"/>
      <c r="AD18" s="199"/>
      <c r="AK18" s="199"/>
    </row>
    <row r="19" spans="1:37" x14ac:dyDescent="0.3">
      <c r="B19" s="363"/>
      <c r="C19"/>
      <c r="D19"/>
      <c r="E19"/>
      <c r="F19"/>
      <c r="G19"/>
      <c r="H19"/>
      <c r="I19"/>
      <c r="J19"/>
      <c r="K19"/>
      <c r="L19"/>
      <c r="M19"/>
      <c r="N19"/>
      <c r="O19"/>
      <c r="P19"/>
      <c r="Q19"/>
      <c r="R19"/>
      <c r="S19"/>
      <c r="T19"/>
      <c r="U19"/>
      <c r="V19"/>
      <c r="W19" s="514"/>
      <c r="Y19"/>
      <c r="Z19"/>
      <c r="AA19"/>
      <c r="AB19"/>
      <c r="AC19"/>
      <c r="AD19"/>
      <c r="AE19"/>
      <c r="AF19"/>
      <c r="AG19"/>
      <c r="AH19"/>
      <c r="AI19"/>
      <c r="AJ19"/>
      <c r="AK19"/>
    </row>
    <row r="20" spans="1:37" x14ac:dyDescent="0.3">
      <c r="E20" s="202"/>
      <c r="G20" s="199"/>
      <c r="L20" s="202"/>
      <c r="N20" s="199"/>
      <c r="U20" s="199"/>
      <c r="W20" s="512"/>
      <c r="AD20" s="199"/>
      <c r="AK20" s="199"/>
    </row>
    <row r="21" spans="1:37" x14ac:dyDescent="0.3">
      <c r="C21" s="86" t="s">
        <v>403</v>
      </c>
      <c r="G21" s="201">
        <f>ROUND(SUM(G7:G19),2)</f>
        <v>83.16</v>
      </c>
      <c r="J21" s="86" t="s">
        <v>403</v>
      </c>
      <c r="N21" s="201">
        <f>ROUND(SUM(N7:N19),2)</f>
        <v>80.14</v>
      </c>
      <c r="Q21" s="86" t="s">
        <v>403</v>
      </c>
      <c r="U21" s="201">
        <f>ROUND(SUM(U7:U19),2)</f>
        <v>72.48</v>
      </c>
      <c r="W21" s="512"/>
      <c r="Z21" s="86" t="s">
        <v>403</v>
      </c>
      <c r="AD21" s="201">
        <f>ROUND(SUM(AD7:AD19),2)</f>
        <v>90.2</v>
      </c>
      <c r="AG21" s="86" t="s">
        <v>403</v>
      </c>
      <c r="AK21" s="201">
        <f>ROUND(SUM(AK7:AK19),2)</f>
        <v>81.260000000000005</v>
      </c>
    </row>
    <row r="22" spans="1:37" x14ac:dyDescent="0.3">
      <c r="G22" s="201"/>
      <c r="N22" s="201"/>
      <c r="U22" s="201"/>
      <c r="W22" s="512"/>
      <c r="AD22" s="201"/>
      <c r="AK22" s="201"/>
    </row>
    <row r="23" spans="1:37" x14ac:dyDescent="0.3">
      <c r="B23" s="86" t="s">
        <v>605</v>
      </c>
      <c r="C23" s="201"/>
      <c r="G23" s="619">
        <v>2.97</v>
      </c>
      <c r="I23" s="86" t="s">
        <v>605</v>
      </c>
      <c r="J23" s="201"/>
      <c r="N23" s="619">
        <v>2.97</v>
      </c>
      <c r="P23" s="86" t="s">
        <v>605</v>
      </c>
      <c r="Q23" s="204"/>
      <c r="U23" s="619">
        <v>2.6</v>
      </c>
      <c r="W23" s="512"/>
      <c r="Y23" s="86" t="s">
        <v>605</v>
      </c>
      <c r="Z23" s="201"/>
      <c r="AD23" s="201">
        <f>N23</f>
        <v>2.97</v>
      </c>
      <c r="AF23" s="86" t="s">
        <v>605</v>
      </c>
      <c r="AG23" s="515"/>
      <c r="AK23" s="201">
        <f>U23</f>
        <v>2.6</v>
      </c>
    </row>
    <row r="24" spans="1:37" x14ac:dyDescent="0.3">
      <c r="C24" s="205"/>
      <c r="G24" s="201"/>
      <c r="J24" s="205"/>
      <c r="N24" s="201"/>
      <c r="Q24" s="205"/>
      <c r="U24" s="201"/>
      <c r="W24" s="512"/>
      <c r="Z24" s="205"/>
      <c r="AD24" s="201"/>
      <c r="AG24" s="205"/>
      <c r="AK24" s="201"/>
    </row>
    <row r="25" spans="1:37" x14ac:dyDescent="0.3">
      <c r="B25" s="86" t="s">
        <v>405</v>
      </c>
      <c r="C25" s="205"/>
      <c r="G25" s="619">
        <v>0.3</v>
      </c>
      <c r="I25" s="86" t="s">
        <v>405</v>
      </c>
      <c r="J25" s="205"/>
      <c r="N25" s="619">
        <v>0.3</v>
      </c>
      <c r="P25" s="86" t="s">
        <v>405</v>
      </c>
      <c r="Q25" s="205"/>
      <c r="U25" s="619">
        <v>0.3</v>
      </c>
      <c r="W25" s="512"/>
      <c r="Y25" s="86" t="s">
        <v>405</v>
      </c>
      <c r="Z25" s="205"/>
      <c r="AD25" s="201">
        <f>N25</f>
        <v>0.3</v>
      </c>
      <c r="AF25" s="86" t="s">
        <v>405</v>
      </c>
      <c r="AG25" s="205"/>
      <c r="AK25" s="201">
        <f>U25</f>
        <v>0.3</v>
      </c>
    </row>
    <row r="26" spans="1:37" ht="19.5" thickBot="1" x14ac:dyDescent="0.35">
      <c r="C26" s="205"/>
      <c r="G26" s="201"/>
      <c r="J26" s="205"/>
      <c r="N26" s="201"/>
      <c r="Q26" s="205"/>
      <c r="U26" s="201"/>
      <c r="W26" s="512"/>
      <c r="Z26" s="205"/>
      <c r="AD26" s="201"/>
      <c r="AG26" s="205"/>
      <c r="AK26" s="201"/>
    </row>
    <row r="27" spans="1:37" ht="19.5" thickBot="1" x14ac:dyDescent="0.35">
      <c r="C27" s="86" t="s">
        <v>30</v>
      </c>
      <c r="G27" s="206">
        <f>ROUND(G21+G23+G25,4)</f>
        <v>86.43</v>
      </c>
      <c r="J27" s="86" t="s">
        <v>30</v>
      </c>
      <c r="N27" s="206">
        <f>ROUND(N21+N23+N25,4)</f>
        <v>83.41</v>
      </c>
      <c r="Q27" s="86" t="s">
        <v>30</v>
      </c>
      <c r="U27" s="206">
        <f>ROUND(U21+U23+U25,2)</f>
        <v>75.38</v>
      </c>
      <c r="W27" s="512"/>
      <c r="Z27" s="86" t="s">
        <v>30</v>
      </c>
      <c r="AD27" s="206">
        <f>ROUND(AD21+AD23+AD25,4)</f>
        <v>93.47</v>
      </c>
      <c r="AG27" s="86" t="s">
        <v>30</v>
      </c>
      <c r="AK27" s="206">
        <f>ROUND(AK21+AK23+AK25,2)</f>
        <v>84.16</v>
      </c>
    </row>
    <row r="28" spans="1:37" ht="19.5" thickBot="1" x14ac:dyDescent="0.35">
      <c r="W28" s="512"/>
    </row>
    <row r="29" spans="1:37" ht="19.5" thickBot="1" x14ac:dyDescent="0.35">
      <c r="J29" s="86" t="s">
        <v>406</v>
      </c>
      <c r="N29" s="207">
        <f>ROUND(N27-G27,4)</f>
        <v>-3.02</v>
      </c>
      <c r="Q29" s="86" t="s">
        <v>407</v>
      </c>
      <c r="U29" s="208">
        <f>(N27/U27)-1</f>
        <v>0.10652693022021764</v>
      </c>
      <c r="W29" s="512"/>
      <c r="Z29"/>
      <c r="AA29"/>
      <c r="AB29"/>
      <c r="AC29"/>
      <c r="AD29"/>
      <c r="AE29"/>
      <c r="AF29"/>
      <c r="AG29"/>
      <c r="AH29"/>
      <c r="AI29"/>
      <c r="AJ29"/>
      <c r="AK29"/>
    </row>
    <row r="30" spans="1:37" ht="19.5" thickBot="1" x14ac:dyDescent="0.35">
      <c r="W30" s="512"/>
      <c r="Z30"/>
      <c r="AA30"/>
      <c r="AB30"/>
      <c r="AC30"/>
      <c r="AD30"/>
      <c r="AE30"/>
      <c r="AF30"/>
      <c r="AG30"/>
      <c r="AH30"/>
      <c r="AI30"/>
      <c r="AJ30"/>
      <c r="AK30"/>
    </row>
    <row r="31" spans="1:37" ht="19.5" thickBot="1" x14ac:dyDescent="0.35">
      <c r="J31" s="86" t="s">
        <v>406</v>
      </c>
      <c r="N31" s="209">
        <f>ROUND(N27/G27-1,4)</f>
        <v>-3.49E-2</v>
      </c>
      <c r="Z31"/>
      <c r="AA31"/>
      <c r="AB31"/>
      <c r="AC31"/>
      <c r="AD31"/>
      <c r="AE31"/>
      <c r="AF31" s="532"/>
      <c r="AG31"/>
      <c r="AH31"/>
      <c r="AI31"/>
      <c r="AJ31"/>
      <c r="AK31"/>
    </row>
    <row r="32" spans="1:37" x14ac:dyDescent="0.3">
      <c r="A32" s="86" t="s">
        <v>408</v>
      </c>
      <c r="B32" s="210">
        <f>J5</f>
        <v>46054</v>
      </c>
      <c r="C32" s="417">
        <f>L11</f>
        <v>0.46766999999999997</v>
      </c>
      <c r="D32" s="86" t="s">
        <v>409</v>
      </c>
      <c r="E32" s="201"/>
      <c r="H32" s="210"/>
      <c r="I32" s="203"/>
      <c r="J32" s="203"/>
      <c r="K32" s="201"/>
      <c r="N32" s="210"/>
      <c r="O32" s="200"/>
      <c r="R32" s="201"/>
      <c r="Y32" s="203"/>
      <c r="Z32"/>
      <c r="AA32"/>
      <c r="AB32"/>
      <c r="AC32"/>
      <c r="AD32"/>
      <c r="AE32"/>
      <c r="AF32" s="532"/>
      <c r="AG32"/>
      <c r="AH32"/>
      <c r="AI32"/>
      <c r="AJ32"/>
      <c r="AK32"/>
    </row>
    <row r="33" spans="1:34" x14ac:dyDescent="0.3">
      <c r="B33" s="210">
        <f>C5</f>
        <v>45991</v>
      </c>
      <c r="C33" s="417">
        <f>E11</f>
        <v>0.51805999999999996</v>
      </c>
      <c r="E33" s="201"/>
      <c r="H33" s="210"/>
      <c r="J33" s="203"/>
      <c r="K33" s="201"/>
      <c r="N33" s="210"/>
      <c r="O33" s="202"/>
      <c r="P33" s="492"/>
      <c r="R33" s="201"/>
      <c r="Z33" s="203"/>
      <c r="AA33" s="201"/>
      <c r="AD33" s="210"/>
      <c r="AE33" s="202"/>
      <c r="AF33" s="492"/>
      <c r="AH33" s="201"/>
    </row>
    <row r="34" spans="1:34" x14ac:dyDescent="0.3">
      <c r="B34" s="210"/>
      <c r="C34" s="211"/>
      <c r="E34" s="212"/>
      <c r="I34" s="491"/>
      <c r="J34" s="212"/>
      <c r="K34" s="212"/>
      <c r="O34" s="212"/>
      <c r="P34" s="531"/>
      <c r="R34" s="212"/>
      <c r="Y34" s="491"/>
      <c r="Z34" s="212"/>
      <c r="AA34" s="212"/>
      <c r="AE34" s="212"/>
      <c r="AF34" s="492"/>
      <c r="AH34" s="212"/>
    </row>
    <row r="35" spans="1:34" x14ac:dyDescent="0.3">
      <c r="B35" s="137" t="s">
        <v>410</v>
      </c>
      <c r="C35" s="417">
        <f>+C32-C33</f>
        <v>-5.038999999999999E-2</v>
      </c>
      <c r="D35" s="86" t="s">
        <v>411</v>
      </c>
      <c r="E35" s="212"/>
      <c r="I35" s="509"/>
      <c r="Y35" s="509"/>
    </row>
    <row r="36" spans="1:34" x14ac:dyDescent="0.3">
      <c r="B36" s="137" t="s">
        <v>412</v>
      </c>
      <c r="C36" s="213">
        <f>(C32-C33)/C33</f>
        <v>-9.7266725861869269E-2</v>
      </c>
      <c r="E36" s="212"/>
      <c r="G36" s="214"/>
      <c r="K36" s="215"/>
      <c r="R36" s="215"/>
      <c r="AA36" s="215"/>
      <c r="AH36" s="215"/>
    </row>
    <row r="37" spans="1:34" x14ac:dyDescent="0.3">
      <c r="B37" s="210">
        <f>+B33</f>
        <v>45991</v>
      </c>
      <c r="C37" s="216">
        <f>+ROUND(G27,2)</f>
        <v>86.43</v>
      </c>
      <c r="E37" s="212"/>
      <c r="I37" s="492"/>
    </row>
    <row r="38" spans="1:34" x14ac:dyDescent="0.3">
      <c r="A38" s="86" t="s">
        <v>413</v>
      </c>
      <c r="B38" s="210">
        <f>+B32</f>
        <v>46054</v>
      </c>
      <c r="C38" s="216">
        <f>+ROUND(N27,2)</f>
        <v>83.41</v>
      </c>
      <c r="E38" s="212"/>
      <c r="N38" s="492"/>
      <c r="AD38" s="492"/>
    </row>
    <row r="39" spans="1:34" x14ac:dyDescent="0.3">
      <c r="A39" s="86" t="s">
        <v>414</v>
      </c>
      <c r="C39" s="213">
        <f>+ROUND((C38-C37)/C37,4)</f>
        <v>-3.49E-2</v>
      </c>
      <c r="E39" s="212"/>
      <c r="J39" s="203"/>
      <c r="N39" s="492"/>
      <c r="Z39" s="203"/>
      <c r="AD39" s="492"/>
    </row>
    <row r="40" spans="1:34" x14ac:dyDescent="0.3">
      <c r="C40" s="212"/>
      <c r="E40" s="212"/>
      <c r="F40" s="215"/>
      <c r="J40" s="203"/>
      <c r="Z40" s="203"/>
    </row>
    <row r="41" spans="1:34" x14ac:dyDescent="0.3">
      <c r="A41" s="86" t="s">
        <v>415</v>
      </c>
      <c r="C41" s="417">
        <f>+L11</f>
        <v>0.46766999999999997</v>
      </c>
      <c r="D41" s="86" t="s">
        <v>416</v>
      </c>
      <c r="E41" s="212"/>
      <c r="J41" s="212"/>
      <c r="Z41" s="212"/>
    </row>
    <row r="42" spans="1:34" x14ac:dyDescent="0.3">
      <c r="A42" s="86" t="s">
        <v>414</v>
      </c>
      <c r="C42" s="213">
        <f>+(C41-C43)/C43</f>
        <v>0.35970344526820758</v>
      </c>
      <c r="J42" s="205"/>
      <c r="Z42" s="205"/>
    </row>
    <row r="43" spans="1:34" x14ac:dyDescent="0.3">
      <c r="A43" s="86" t="s">
        <v>417</v>
      </c>
      <c r="C43" s="417">
        <f>+S11</f>
        <v>0.34394999999999998</v>
      </c>
      <c r="E43" s="212"/>
      <c r="J43" s="205"/>
      <c r="M43" s="492"/>
      <c r="Z43" s="205"/>
    </row>
    <row r="44" spans="1:34" x14ac:dyDescent="0.3">
      <c r="A44" s="86" t="s">
        <v>418</v>
      </c>
      <c r="C44" s="216">
        <f>AD27</f>
        <v>93.47</v>
      </c>
      <c r="J44" s="205"/>
      <c r="Z44" s="205"/>
    </row>
    <row r="45" spans="1:34" x14ac:dyDescent="0.3">
      <c r="A45" s="86" t="s">
        <v>419</v>
      </c>
      <c r="C45" s="216">
        <f>AK27</f>
        <v>84.16</v>
      </c>
      <c r="J45" s="205"/>
      <c r="Z45" s="205"/>
    </row>
    <row r="46" spans="1:34" x14ac:dyDescent="0.3">
      <c r="A46" s="86" t="s">
        <v>414</v>
      </c>
      <c r="C46" s="213">
        <f>+(C44-C45)/C45</f>
        <v>0.11062262357414451</v>
      </c>
      <c r="J46" s="205"/>
      <c r="Z46" s="205"/>
    </row>
    <row r="47" spans="1:34" x14ac:dyDescent="0.3">
      <c r="C47" s="212"/>
      <c r="J47" s="205"/>
      <c r="Z47" s="205"/>
    </row>
    <row r="48" spans="1:34" x14ac:dyDescent="0.3">
      <c r="J48" s="205"/>
      <c r="Z48" s="205"/>
    </row>
    <row r="49" spans="3:26" x14ac:dyDescent="0.3">
      <c r="J49" s="205"/>
      <c r="Z49" s="205"/>
    </row>
    <row r="50" spans="3:26" x14ac:dyDescent="0.3">
      <c r="C50" s="203"/>
      <c r="J50" s="205"/>
      <c r="Z50" s="205"/>
    </row>
    <row r="51" spans="3:26" x14ac:dyDescent="0.3">
      <c r="J51" s="205"/>
      <c r="Z51" s="205"/>
    </row>
    <row r="52" spans="3:26" x14ac:dyDescent="0.3">
      <c r="J52" s="205"/>
      <c r="Z52" s="205"/>
    </row>
    <row r="53" spans="3:26" x14ac:dyDescent="0.3">
      <c r="E53" s="215"/>
      <c r="J53" s="205"/>
      <c r="Z53" s="205"/>
    </row>
    <row r="55" spans="3:26" x14ac:dyDescent="0.3">
      <c r="E55" s="217"/>
    </row>
    <row r="62" spans="3:26" x14ac:dyDescent="0.3">
      <c r="J62" s="210"/>
      <c r="Z62" s="210"/>
    </row>
    <row r="66" spans="10:28" x14ac:dyDescent="0.3">
      <c r="L66" s="203"/>
      <c r="AB66" s="203"/>
    </row>
    <row r="74" spans="10:28" x14ac:dyDescent="0.3">
      <c r="J74" s="218"/>
      <c r="Z74" s="218"/>
    </row>
    <row r="75" spans="10:28" x14ac:dyDescent="0.3">
      <c r="J75" s="205"/>
      <c r="Z75" s="205"/>
    </row>
    <row r="76" spans="10:28" x14ac:dyDescent="0.3">
      <c r="J76" s="205"/>
      <c r="Z76" s="205"/>
    </row>
    <row r="77" spans="10:28" x14ac:dyDescent="0.3">
      <c r="J77" s="205"/>
      <c r="Z77" s="205"/>
    </row>
  </sheetData>
  <pageMargins left="0.7" right="0.7" top="0.75" bottom="0.75" header="0.3" footer="0.3"/>
  <pageSetup scale="51" orientation="landscape" r:id="rId1"/>
  <headerFooter>
    <oddFooter>&amp;L_x000D_&amp;1#&amp;"Calibri"&amp;14&amp;K000000 Business Use</oddFooter>
  </headerFooter>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D43E8-0D3D-41D7-A65B-37EB74756092}">
  <sheetPr codeName="Sheet37">
    <tabColor rgb="FF00B050"/>
    <pageSetUpPr fitToPage="1"/>
  </sheetPr>
  <dimension ref="B1:I9"/>
  <sheetViews>
    <sheetView zoomScaleNormal="100" workbookViewId="0"/>
  </sheetViews>
  <sheetFormatPr defaultColWidth="8.77734375" defaultRowHeight="15.75" x14ac:dyDescent="0.25"/>
  <cols>
    <col min="1" max="1" width="1.109375" style="3" customWidth="1"/>
    <col min="2" max="9" width="8.77734375" style="3"/>
    <col min="10" max="10" width="1.109375" style="3" customWidth="1"/>
    <col min="11" max="16384" width="8.77734375" style="3"/>
  </cols>
  <sheetData>
    <row r="1" spans="2:9" x14ac:dyDescent="0.25">
      <c r="B1" s="639" t="s">
        <v>5</v>
      </c>
      <c r="C1" s="639"/>
      <c r="D1" s="639"/>
      <c r="E1" s="639"/>
      <c r="F1" s="639"/>
      <c r="G1" s="639"/>
      <c r="H1" s="639"/>
      <c r="I1" s="639"/>
    </row>
    <row r="2" spans="2:9" x14ac:dyDescent="0.25">
      <c r="B2" s="15"/>
      <c r="C2" s="15"/>
      <c r="D2" s="15"/>
      <c r="E2" s="15"/>
      <c r="F2" s="15"/>
      <c r="G2" s="15"/>
      <c r="H2" s="15"/>
      <c r="I2" s="15"/>
    </row>
    <row r="3" spans="2:9" x14ac:dyDescent="0.25">
      <c r="B3" s="639" t="str">
        <f>'Exhibit F Write-Up'!B3:N3</f>
        <v>Gas Supply Clause: 2025-00400</v>
      </c>
      <c r="C3" s="639"/>
      <c r="D3" s="639"/>
      <c r="E3" s="639"/>
      <c r="F3" s="639"/>
      <c r="G3" s="639"/>
      <c r="H3" s="639"/>
      <c r="I3" s="639"/>
    </row>
    <row r="5" spans="2:9" ht="30.6" customHeight="1" x14ac:dyDescent="0.25">
      <c r="B5" s="637" t="s">
        <v>628</v>
      </c>
      <c r="C5" s="637"/>
      <c r="D5" s="637"/>
      <c r="E5" s="637"/>
      <c r="F5" s="637"/>
      <c r="G5" s="637"/>
      <c r="H5" s="637"/>
      <c r="I5" s="637"/>
    </row>
    <row r="7" spans="2:9" x14ac:dyDescent="0.25">
      <c r="B7" s="674" t="s">
        <v>629</v>
      </c>
      <c r="C7" s="674"/>
      <c r="D7" s="674"/>
      <c r="E7" s="674"/>
      <c r="F7" s="674"/>
      <c r="G7" s="674"/>
      <c r="H7" s="674"/>
      <c r="I7" s="674"/>
    </row>
    <row r="9" spans="2:9" x14ac:dyDescent="0.25">
      <c r="C9" s="3" t="s">
        <v>630</v>
      </c>
    </row>
  </sheetData>
  <mergeCells count="4">
    <mergeCell ref="B1:I1"/>
    <mergeCell ref="B3:I3"/>
    <mergeCell ref="B5:I5"/>
    <mergeCell ref="B7:I7"/>
  </mergeCells>
  <pageMargins left="0.7" right="0.7" top="0.75" bottom="0.75" header="0.3" footer="0.3"/>
  <pageSetup orientation="portrait" r:id="rId1"/>
  <headerFooter>
    <oddHeader>&amp;R&amp;"Times New Roman,Bold"Exhibit D</oddHead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3">
    <tabColor theme="3" tint="0.59999389629810485"/>
    <pageSetUpPr fitToPage="1"/>
  </sheetPr>
  <dimension ref="A2:CG164"/>
  <sheetViews>
    <sheetView zoomScale="80" zoomScaleNormal="80" workbookViewId="0"/>
  </sheetViews>
  <sheetFormatPr defaultColWidth="8.88671875" defaultRowHeight="15.75" x14ac:dyDescent="0.25"/>
  <cols>
    <col min="1" max="1" width="8.88671875" style="3"/>
    <col min="2" max="2" width="10.77734375" style="3" customWidth="1"/>
    <col min="3" max="3" width="20.5546875" style="3" customWidth="1"/>
    <col min="4" max="4" width="16.77734375" style="3" customWidth="1"/>
    <col min="5" max="5" width="15.33203125" style="3" customWidth="1"/>
    <col min="6" max="6" width="13.33203125" style="3" customWidth="1"/>
    <col min="7" max="7" width="12.44140625" style="84" customWidth="1"/>
    <col min="8" max="8" width="13.77734375" style="3" customWidth="1"/>
    <col min="9" max="9" width="12.5546875" style="3" customWidth="1"/>
    <col min="10" max="10" width="1.6640625" style="3" hidden="1" customWidth="1"/>
    <col min="11" max="11" width="10.21875" style="3" hidden="1" customWidth="1"/>
    <col min="12" max="12" width="15.44140625" style="3" hidden="1" customWidth="1"/>
    <col min="13" max="13" width="14.109375" style="3" hidden="1" customWidth="1"/>
    <col min="14" max="14" width="14.77734375" style="3" hidden="1" customWidth="1"/>
    <col min="15" max="15" width="20.88671875" style="3" hidden="1" customWidth="1"/>
    <col min="16" max="16" width="12.44140625" style="3" hidden="1" customWidth="1"/>
    <col min="17" max="17" width="14.21875" style="3" hidden="1" customWidth="1"/>
    <col min="18" max="18" width="10.21875" style="3" customWidth="1"/>
    <col min="19" max="19" width="6.88671875" style="3" customWidth="1"/>
    <col min="20" max="20" width="8.88671875" style="3"/>
    <col min="21" max="21" width="7.77734375" style="3" customWidth="1"/>
    <col min="22" max="16384" width="8.88671875" style="3"/>
  </cols>
  <sheetData>
    <row r="2" spans="1:22" ht="18.75" customHeight="1" x14ac:dyDescent="0.3">
      <c r="B2" s="679" t="s">
        <v>5</v>
      </c>
      <c r="C2" s="679"/>
      <c r="D2" s="679"/>
      <c r="E2" s="679"/>
      <c r="F2" s="679"/>
      <c r="G2" s="679"/>
      <c r="H2" s="679"/>
      <c r="I2" s="679"/>
      <c r="J2" s="679"/>
    </row>
    <row r="3" spans="1:22" ht="18.75" customHeight="1" x14ac:dyDescent="0.3">
      <c r="B3" s="679" t="s">
        <v>117</v>
      </c>
      <c r="C3" s="679"/>
      <c r="D3" s="679"/>
      <c r="E3" s="679"/>
      <c r="F3" s="679"/>
      <c r="G3" s="679"/>
      <c r="H3" s="679"/>
      <c r="I3" s="679"/>
      <c r="J3" s="679"/>
    </row>
    <row r="4" spans="1:22" ht="18.75" x14ac:dyDescent="0.3">
      <c r="B4" s="623" t="str">
        <f>CONCATENATE("For Service Rendered On and After ",'Input Data'!$D$4)</f>
        <v>For Service Rendered On and After February 1, 2026</v>
      </c>
      <c r="C4" s="623"/>
      <c r="D4" s="623"/>
      <c r="E4" s="623"/>
      <c r="F4" s="623"/>
      <c r="G4" s="623"/>
      <c r="H4" s="623"/>
      <c r="I4" s="623"/>
    </row>
    <row r="5" spans="1:22" ht="18.75" x14ac:dyDescent="0.3">
      <c r="B5" s="75"/>
      <c r="D5" s="75"/>
      <c r="E5" s="75"/>
      <c r="F5" s="75"/>
      <c r="G5" s="85"/>
      <c r="H5" s="75"/>
      <c r="I5" s="75"/>
      <c r="J5" s="75"/>
      <c r="L5" s="189" t="s">
        <v>273</v>
      </c>
      <c r="M5" s="32"/>
      <c r="N5" s="32"/>
      <c r="O5" s="32"/>
      <c r="P5" s="32"/>
    </row>
    <row r="6" spans="1:22" ht="18.75" x14ac:dyDescent="0.3">
      <c r="C6" s="86"/>
      <c r="D6" s="86"/>
      <c r="E6" s="86"/>
      <c r="F6" s="86"/>
      <c r="G6" s="87"/>
      <c r="H6" s="86"/>
      <c r="I6" s="86"/>
      <c r="J6" s="86"/>
      <c r="L6" s="189" t="s">
        <v>228</v>
      </c>
      <c r="M6" s="30"/>
      <c r="N6" s="30"/>
      <c r="O6" s="30"/>
      <c r="P6" s="30"/>
      <c r="Q6" s="32"/>
      <c r="R6" s="32"/>
    </row>
    <row r="7" spans="1:22" ht="25.5" x14ac:dyDescent="0.35">
      <c r="C7" s="3" t="s">
        <v>542</v>
      </c>
      <c r="F7" s="88"/>
      <c r="G7" s="88"/>
      <c r="H7" s="88"/>
      <c r="I7" s="88"/>
      <c r="J7" s="89"/>
      <c r="L7" s="676" t="s">
        <v>209</v>
      </c>
      <c r="M7" s="677"/>
      <c r="N7" s="677"/>
      <c r="O7" s="677"/>
      <c r="P7" s="678"/>
    </row>
    <row r="8" spans="1:22" x14ac:dyDescent="0.25">
      <c r="B8" s="90"/>
      <c r="C8" s="90"/>
      <c r="D8" s="90"/>
      <c r="E8" s="90"/>
      <c r="F8" s="90"/>
      <c r="G8" s="91"/>
      <c r="H8" s="90"/>
      <c r="I8" s="90"/>
      <c r="J8" s="89"/>
      <c r="L8" s="680" t="s">
        <v>243</v>
      </c>
      <c r="M8" s="681"/>
      <c r="N8" s="681"/>
      <c r="O8" s="681"/>
      <c r="P8" s="682"/>
    </row>
    <row r="9" spans="1:22" ht="63" x14ac:dyDescent="0.25">
      <c r="A9" s="502" t="s">
        <v>245</v>
      </c>
      <c r="B9" s="502" t="s">
        <v>369</v>
      </c>
      <c r="C9" s="502" t="s">
        <v>0</v>
      </c>
      <c r="D9" s="502" t="s">
        <v>215</v>
      </c>
      <c r="E9" s="502" t="s">
        <v>216</v>
      </c>
      <c r="F9" s="502" t="s">
        <v>217</v>
      </c>
      <c r="G9" s="92" t="s">
        <v>218</v>
      </c>
      <c r="H9" s="502" t="s">
        <v>230</v>
      </c>
      <c r="I9" s="675" t="s">
        <v>583</v>
      </c>
      <c r="J9" s="675"/>
      <c r="L9" s="70"/>
      <c r="M9" s="231" t="s">
        <v>208</v>
      </c>
      <c r="N9" s="232" t="s">
        <v>609</v>
      </c>
      <c r="O9" s="231" t="s">
        <v>210</v>
      </c>
      <c r="P9" s="190" t="s">
        <v>30</v>
      </c>
    </row>
    <row r="10" spans="1:22" ht="21.75" customHeight="1" x14ac:dyDescent="0.3">
      <c r="A10" s="151"/>
      <c r="B10" s="90" t="s">
        <v>60</v>
      </c>
      <c r="C10" s="88" t="s">
        <v>61</v>
      </c>
      <c r="D10" s="88" t="s">
        <v>62</v>
      </c>
      <c r="E10" s="88" t="s">
        <v>63</v>
      </c>
      <c r="F10" s="88" t="s">
        <v>490</v>
      </c>
      <c r="G10" s="93" t="s">
        <v>65</v>
      </c>
      <c r="H10" s="88" t="s">
        <v>486</v>
      </c>
      <c r="I10" s="88" t="s">
        <v>111</v>
      </c>
      <c r="L10" s="221">
        <f>'Input Data'!C4</f>
        <v>46054</v>
      </c>
      <c r="M10" s="68">
        <f>VLOOKUP(L10,Forecast!A$1:K$200,9)</f>
        <v>5177223</v>
      </c>
      <c r="N10" s="68">
        <f>VLOOKUP(L10,Forecast!A$19:$K$200,10)</f>
        <v>16375</v>
      </c>
      <c r="O10" s="68">
        <f>VLOOKUP(L10,Forecast!A$1:K$200,3)</f>
        <v>16121</v>
      </c>
      <c r="P10" s="222">
        <f>SUM(M10:O10)</f>
        <v>5209719</v>
      </c>
      <c r="R10" s="40"/>
      <c r="T10" s="40"/>
      <c r="V10" s="40"/>
    </row>
    <row r="11" spans="1:22" ht="18.75" x14ac:dyDescent="0.3">
      <c r="A11" s="151"/>
      <c r="B11" s="90"/>
      <c r="C11" s="90"/>
      <c r="D11" s="90"/>
      <c r="E11" s="90"/>
      <c r="F11" s="90"/>
      <c r="G11" s="91"/>
      <c r="H11" s="90"/>
      <c r="I11" s="90"/>
      <c r="L11" s="98">
        <f>EDATE(L10,1)</f>
        <v>46082</v>
      </c>
      <c r="M11" s="68">
        <f>VLOOKUP(L11,Forecast!A$1:K$200,9)</f>
        <v>3881333</v>
      </c>
      <c r="N11" s="68">
        <f>VLOOKUP(L11,Forecast!A$19:$K$200,10)</f>
        <v>13657</v>
      </c>
      <c r="O11" s="68">
        <f>VLOOKUP(L11,Forecast!A$1:K$200,3)</f>
        <v>31846</v>
      </c>
      <c r="P11" s="223">
        <f t="shared" ref="P11:P21" si="0">SUM(M11:O11)</f>
        <v>3926836</v>
      </c>
      <c r="R11" s="40"/>
      <c r="T11" s="40"/>
      <c r="V11" s="40"/>
    </row>
    <row r="12" spans="1:22" x14ac:dyDescent="0.25">
      <c r="A12" s="13">
        <v>1</v>
      </c>
      <c r="B12" s="559">
        <f>'Input Data'!C4</f>
        <v>46054</v>
      </c>
      <c r="C12" s="238" t="str">
        <f>VLOOKUP(B12,'Case Database'!$A$2:$H$200,3,FALSE)</f>
        <v>2025-00400</v>
      </c>
      <c r="D12" s="18">
        <f>'Input Data'!D160</f>
        <v>0</v>
      </c>
      <c r="E12" s="18">
        <f>'Input Data'!D161</f>
        <v>0</v>
      </c>
      <c r="F12" s="18">
        <f>+D12+E12</f>
        <v>0</v>
      </c>
      <c r="G12" s="84">
        <f>P23</f>
        <v>31531995</v>
      </c>
      <c r="H12" s="94">
        <f>+ROUND(F12/G12,4)</f>
        <v>0</v>
      </c>
      <c r="I12" s="415">
        <f>H12/10</f>
        <v>0</v>
      </c>
      <c r="J12" s="12" t="s">
        <v>214</v>
      </c>
      <c r="L12" s="98">
        <f t="shared" ref="L12:L20" si="1">EDATE(L11,1)</f>
        <v>46113</v>
      </c>
      <c r="M12" s="68">
        <f>VLOOKUP(L12,Forecast!A$1:K$200,9)</f>
        <v>2063154</v>
      </c>
      <c r="N12" s="68">
        <f>VLOOKUP(L12,Forecast!A$19:$K$200,10)</f>
        <v>18732</v>
      </c>
      <c r="O12" s="68">
        <f>VLOOKUP(L12,Forecast!A$1:K$200,3)</f>
        <v>36046</v>
      </c>
      <c r="P12" s="223">
        <f t="shared" si="0"/>
        <v>2117932</v>
      </c>
      <c r="R12" s="40"/>
      <c r="T12" s="40"/>
      <c r="V12" s="40"/>
    </row>
    <row r="13" spans="1:22" ht="14.25" customHeight="1" x14ac:dyDescent="0.25">
      <c r="A13" s="13">
        <v>2</v>
      </c>
      <c r="B13" s="559">
        <f>EDATE(B12,-3)</f>
        <v>45962</v>
      </c>
      <c r="C13" s="238" t="str">
        <f>VLOOKUP(B13,'Case Database'!$A$2:$H$200,3,FALSE)</f>
        <v>2025-00304</v>
      </c>
      <c r="D13" s="18">
        <f>VLOOKUP($C13,'Case Database'!$C$3:$O$200,12)</f>
        <v>0</v>
      </c>
      <c r="E13" s="18">
        <f>VLOOKUP($C13,'Case Database'!$C$3:$O$200,13)</f>
        <v>0</v>
      </c>
      <c r="F13" s="18">
        <f>+D13+E13</f>
        <v>0</v>
      </c>
      <c r="G13" s="486">
        <f>VLOOKUP($B13,Forecast!$A$8:$J$5000,9)+VLOOKUP((EDATE($B13,1)),Forecast!$A$8:$J$5000,9)+VLOOKUP((EDATE($B13,2)),Forecast!$A$8:$J$5000,9)+VLOOKUP((EDATE($B13,3)),Forecast!$A$8:$J$5000,9)+VLOOKUP((EDATE($B13,4)),Forecast!$A$8:$J$5000,9)+VLOOKUP((EDATE($B13,5)),Forecast!$A$8:$J$5000,9)+VLOOKUP((EDATE($B13,6)),Forecast!$A$8:$J$5000,9)+VLOOKUP((EDATE($B13,7)),Forecast!$A$8:$J$5000,9)+VLOOKUP((EDATE($B13,8)),Forecast!$A$8:$J$5000,9)+VLOOKUP((EDATE($B13,9)),Forecast!$A$8:$J$5000,9)+VLOOKUP((EDATE($B13,10)),Forecast!$A$8:$J$5000,9)+VLOOKUP((EDATE($B13,11)),Forecast!$A$8:$J$5000,9)+VLOOKUP($B13,Forecast!$A$8:$J$5000,3)+VLOOKUP((EDATE($B13,1)),Forecast!$A$8:$J$5000,3)+VLOOKUP((EDATE($B13,2)),Forecast!$A$8:$J$5000,3)+VLOOKUP((EDATE($B13,3)),Forecast!$A$8:$J$5000,3)+VLOOKUP((EDATE($B13,4)),Forecast!$A$8:$J$5000,3)+VLOOKUP((EDATE($B13,5)),Forecast!$A$8:$J$5000,3)+VLOOKUP((EDATE($B13,6)),Forecast!$A$8:$J$5000,3)+VLOOKUP((EDATE($B13,7)),Forecast!$A$8:$J$5000,3)+VLOOKUP((EDATE($B13,8)),Forecast!$A$8:$J$5000,3)+VLOOKUP((EDATE($B13,9)),Forecast!$A$8:$J$5000,3)+VLOOKUP((EDATE($B13,10)),Forecast!$A$8:$J$5000,3)+VLOOKUP((EDATE($B13,11)),Forecast!$A$8:$J$5000,3)+VLOOKUP($B13,Forecast!$A$8:$J$5000,10)+VLOOKUP((EDATE($B13,1)),Forecast!$A$8:$J$5000,10)+VLOOKUP((EDATE($B13,2)),Forecast!$A$8:$J$5000,10)+VLOOKUP((EDATE($B13,3)),Forecast!$A$8:$J$5000,10)+VLOOKUP((EDATE($B13,4)),Forecast!$A$8:$J$5000,10)+VLOOKUP((EDATE($B13,5)),Forecast!$A$8:$J$5000,10)+VLOOKUP((EDATE($B13,6)),Forecast!$A$8:$J$5000,10)+VLOOKUP((EDATE($B13,7)),Forecast!$A$8:$J$5000,10)+VLOOKUP((EDATE($B13,8)),Forecast!$A$8:$J$5000,10)+VLOOKUP((EDATE($B13,9)),Forecast!$A$8:$J$5000,10)+VLOOKUP((EDATE($B13,10)),Forecast!$A$8:$J$5000,10)+VLOOKUP((EDATE($B13,11)),Forecast!$A$8:$J$5000,10)</f>
        <v>31501100</v>
      </c>
      <c r="H13" s="94">
        <f>+ROUND(F13/G13,4)</f>
        <v>0</v>
      </c>
      <c r="I13" s="415">
        <f>H13/10</f>
        <v>0</v>
      </c>
      <c r="J13" s="12" t="s">
        <v>214</v>
      </c>
      <c r="L13" s="98">
        <f>EDATE(L12,1)</f>
        <v>46143</v>
      </c>
      <c r="M13" s="68">
        <f>VLOOKUP(L13,Forecast!A$1:K$200,9)</f>
        <v>1098578</v>
      </c>
      <c r="N13" s="68">
        <f>VLOOKUP(L13,Forecast!A$19:$K$200,10)</f>
        <v>19754</v>
      </c>
      <c r="O13" s="68">
        <f>VLOOKUP(L13,Forecast!A$1:K$200,3)</f>
        <v>39280</v>
      </c>
      <c r="P13" s="223">
        <f t="shared" si="0"/>
        <v>1157612</v>
      </c>
      <c r="R13" s="40"/>
      <c r="T13" s="40"/>
      <c r="V13" s="40"/>
    </row>
    <row r="14" spans="1:22" x14ac:dyDescent="0.25">
      <c r="A14" s="13">
        <v>3</v>
      </c>
      <c r="B14" s="559">
        <f>EDATE(B13,-3)</f>
        <v>45870</v>
      </c>
      <c r="C14" s="238" t="str">
        <f>VLOOKUP(B14,'Case Database'!$A$2:$H$200,3,FALSE)</f>
        <v>2025-00188</v>
      </c>
      <c r="D14" s="18">
        <f>VLOOKUP($C14,'Case Database'!$C$3:$O$200,12)</f>
        <v>0</v>
      </c>
      <c r="E14" s="18">
        <f>VLOOKUP($C14,'Case Database'!$C$3:$O$200,13)</f>
        <v>0</v>
      </c>
      <c r="F14" s="18">
        <f>+D14+E14</f>
        <v>0</v>
      </c>
      <c r="G14" s="486">
        <f>VLOOKUP($B14,Forecast!$A$8:$J$5000,9)+VLOOKUP((EDATE($B14,1)),Forecast!$A$8:$J$5000,9)+VLOOKUP((EDATE($B14,2)),Forecast!$A$8:$J$5000,9)+VLOOKUP((EDATE($B14,3)),Forecast!$A$8:$J$5000,9)+VLOOKUP((EDATE($B14,4)),Forecast!$A$8:$J$5000,9)+VLOOKUP((EDATE($B14,5)),Forecast!$A$8:$J$5000,9)+VLOOKUP((EDATE($B14,6)),Forecast!$A$8:$J$5000,9)+VLOOKUP((EDATE($B14,7)),Forecast!$A$8:$J$5000,9)+VLOOKUP((EDATE($B14,8)),Forecast!$A$8:$J$5000,9)+VLOOKUP((EDATE($B14,9)),Forecast!$A$8:$J$5000,9)+VLOOKUP((EDATE($B14,10)),Forecast!$A$8:$J$5000,9)+VLOOKUP((EDATE($B14,11)),Forecast!$A$8:$J$5000,9)+VLOOKUP($B14,Forecast!$A$8:$J$5000,3)+VLOOKUP((EDATE($B14,1)),Forecast!$A$8:$J$5000,3)+VLOOKUP((EDATE($B14,2)),Forecast!$A$8:$J$5000,3)+VLOOKUP((EDATE($B14,3)),Forecast!$A$8:$J$5000,3)+VLOOKUP((EDATE($B14,4)),Forecast!$A$8:$J$5000,3)+VLOOKUP((EDATE($B14,5)),Forecast!$A$8:$J$5000,3)+VLOOKUP((EDATE($B14,6)),Forecast!$A$8:$J$5000,3)+VLOOKUP((EDATE($B14,7)),Forecast!$A$8:$J$5000,3)+VLOOKUP((EDATE($B14,8)),Forecast!$A$8:$J$5000,3)+VLOOKUP((EDATE($B14,9)),Forecast!$A$8:$J$5000,3)+VLOOKUP((EDATE($B14,10)),Forecast!$A$8:$J$5000,3)+VLOOKUP((EDATE($B14,11)),Forecast!$A$8:$J$5000,3)+VLOOKUP($B14,Forecast!$A$8:$J$5000,10)+VLOOKUP((EDATE($B14,1)),Forecast!$A$8:$J$5000,10)+VLOOKUP((EDATE($B14,2)),Forecast!$A$8:$J$5000,10)+VLOOKUP((EDATE($B14,3)),Forecast!$A$8:$J$5000,10)+VLOOKUP((EDATE($B14,4)),Forecast!$A$8:$J$5000,10)+VLOOKUP((EDATE($B14,5)),Forecast!$A$8:$J$5000,10)+VLOOKUP((EDATE($B14,6)),Forecast!$A$8:$J$5000,10)+VLOOKUP((EDATE($B14,7)),Forecast!$A$8:$J$5000,10)+VLOOKUP((EDATE($B14,8)),Forecast!$A$8:$J$5000,10)+VLOOKUP((EDATE($B14,9)),Forecast!$A$8:$J$5000,10)+VLOOKUP((EDATE($B14,10)),Forecast!$A$8:$J$5000,10)+VLOOKUP((EDATE($B14,11)),Forecast!$A$8:$J$5000,10)</f>
        <v>31504153</v>
      </c>
      <c r="H14" s="94">
        <f>+ROUND(F14/G14,4)</f>
        <v>0</v>
      </c>
      <c r="I14" s="415">
        <f>H14/10</f>
        <v>0</v>
      </c>
      <c r="J14" s="12" t="s">
        <v>214</v>
      </c>
      <c r="L14" s="98">
        <f t="shared" si="1"/>
        <v>46174</v>
      </c>
      <c r="M14" s="68">
        <f>VLOOKUP(L14,Forecast!A$1:K$200,9)</f>
        <v>724273</v>
      </c>
      <c r="N14" s="68">
        <f>VLOOKUP(L14,Forecast!A$19:$K$200,10)</f>
        <v>20001</v>
      </c>
      <c r="O14" s="68">
        <f>VLOOKUP(L14,Forecast!A$1:K$200,3)</f>
        <v>36150</v>
      </c>
      <c r="P14" s="223">
        <f t="shared" si="0"/>
        <v>780424</v>
      </c>
      <c r="R14" s="40"/>
      <c r="T14" s="40"/>
      <c r="V14" s="40"/>
    </row>
    <row r="15" spans="1:22" ht="15" customHeight="1" x14ac:dyDescent="0.25">
      <c r="A15" s="13">
        <v>4</v>
      </c>
      <c r="B15" s="559">
        <f>EDATE(B14,-3)</f>
        <v>45778</v>
      </c>
      <c r="C15" s="238" t="str">
        <f>VLOOKUP(B15,'Case Database'!$A$2:$H$200,3,FALSE)</f>
        <v>2025-00061</v>
      </c>
      <c r="D15" s="18">
        <f>VLOOKUP($C15,'Case Database'!$C$3:$O$200,12)</f>
        <v>0</v>
      </c>
      <c r="E15" s="18">
        <f>VLOOKUP($C15,'Case Database'!$C$3:$O$200,13)</f>
        <v>0</v>
      </c>
      <c r="F15" s="18">
        <f>+D15+E15</f>
        <v>0</v>
      </c>
      <c r="G15" s="486">
        <f>VLOOKUP($B15,Forecast!$A$8:$J$5000,9)+VLOOKUP((EDATE($B15,1)),Forecast!$A$8:$J$5000,9)+VLOOKUP((EDATE($B15,2)),Forecast!$A$8:$J$5000,9)+VLOOKUP((EDATE($B15,3)),Forecast!$A$8:$J$5000,9)+VLOOKUP((EDATE($B15,4)),Forecast!$A$8:$J$5000,9)+VLOOKUP((EDATE($B15,5)),Forecast!$A$8:$J$5000,9)+VLOOKUP((EDATE($B15,6)),Forecast!$A$8:$J$5000,9)+VLOOKUP((EDATE($B15,7)),Forecast!$A$8:$J$5000,9)+VLOOKUP((EDATE($B15,8)),Forecast!$A$8:$J$5000,9)+VLOOKUP((EDATE($B15,9)),Forecast!$A$8:$J$5000,9)+VLOOKUP((EDATE($B15,10)),Forecast!$A$8:$J$5000,9)+VLOOKUP((EDATE($B15,11)),Forecast!$A$8:$J$5000,9)+VLOOKUP($B15,Forecast!$A$8:$J$5000,3)+VLOOKUP((EDATE($B15,1)),Forecast!$A$8:$J$5000,3)+VLOOKUP((EDATE($B15,2)),Forecast!$A$8:$J$5000,3)+VLOOKUP((EDATE($B15,3)),Forecast!$A$8:$J$5000,3)+VLOOKUP((EDATE($B15,4)),Forecast!$A$8:$J$5000,3)+VLOOKUP((EDATE($B15,5)),Forecast!$A$8:$J$5000,3)+VLOOKUP((EDATE($B15,6)),Forecast!$A$8:$J$5000,3)+VLOOKUP((EDATE($B15,7)),Forecast!$A$8:$J$5000,3)+VLOOKUP((EDATE($B15,8)),Forecast!$A$8:$J$5000,3)+VLOOKUP((EDATE($B15,9)),Forecast!$A$8:$J$5000,3)+VLOOKUP((EDATE($B15,10)),Forecast!$A$8:$J$5000,3)+VLOOKUP((EDATE($B15,11)),Forecast!$A$8:$J$5000,3)+VLOOKUP($B15,Forecast!$A$8:$J$5000,10)+VLOOKUP((EDATE($B15,1)),Forecast!$A$8:$J$5000,10)+VLOOKUP((EDATE($B15,2)),Forecast!$A$8:$J$5000,10)+VLOOKUP((EDATE($B15,3)),Forecast!$A$8:$J$5000,10)+VLOOKUP((EDATE($B15,4)),Forecast!$A$8:$J$5000,10)+VLOOKUP((EDATE($B15,5)),Forecast!$A$8:$J$5000,10)+VLOOKUP((EDATE($B15,6)),Forecast!$A$8:$J$5000,10)+VLOOKUP((EDATE($B15,7)),Forecast!$A$8:$J$5000,10)+VLOOKUP((EDATE($B15,8)),Forecast!$A$8:$J$5000,10)+VLOOKUP((EDATE($B15,9)),Forecast!$A$8:$J$5000,10)+VLOOKUP((EDATE($B15,10)),Forecast!$A$8:$J$5000,10)+VLOOKUP((EDATE($B15,11)),Forecast!$A$8:$J$5000,10)</f>
        <v>31509327</v>
      </c>
      <c r="H15" s="95">
        <f>+ROUND(F15/G15,4)</f>
        <v>0</v>
      </c>
      <c r="I15" s="415">
        <f>H15/10</f>
        <v>0</v>
      </c>
      <c r="J15" s="12" t="s">
        <v>214</v>
      </c>
      <c r="L15" s="98">
        <f t="shared" si="1"/>
        <v>46204</v>
      </c>
      <c r="M15" s="68">
        <f>VLOOKUP(L15,Forecast!A$1:K$200,9)</f>
        <v>647121</v>
      </c>
      <c r="N15" s="68">
        <f>VLOOKUP(L15,Forecast!A$19:$K$200,10)</f>
        <v>17463</v>
      </c>
      <c r="O15" s="68">
        <f>VLOOKUP(L15,Forecast!A$1:K$200,3)</f>
        <v>41435</v>
      </c>
      <c r="P15" s="223">
        <f t="shared" si="0"/>
        <v>706019</v>
      </c>
      <c r="R15" s="40"/>
      <c r="T15" s="40"/>
      <c r="V15" s="40"/>
    </row>
    <row r="16" spans="1:22" ht="15" customHeight="1" x14ac:dyDescent="0.25">
      <c r="A16" s="13"/>
      <c r="L16" s="98">
        <f t="shared" si="1"/>
        <v>46235</v>
      </c>
      <c r="M16" s="68">
        <f>VLOOKUP(L16,Forecast!A$1:K$200,9)</f>
        <v>642493</v>
      </c>
      <c r="N16" s="68">
        <f>VLOOKUP(L16,Forecast!A$19:$K$200,10)</f>
        <v>18163</v>
      </c>
      <c r="O16" s="68">
        <f>VLOOKUP(L16,Forecast!A$1:K$200,3)</f>
        <v>46911</v>
      </c>
      <c r="P16" s="223">
        <f t="shared" si="0"/>
        <v>707567</v>
      </c>
      <c r="R16" s="40"/>
      <c r="T16" s="40"/>
      <c r="V16" s="40"/>
    </row>
    <row r="17" spans="1:85" x14ac:dyDescent="0.25">
      <c r="A17" s="13">
        <v>5</v>
      </c>
      <c r="G17" s="46" t="s">
        <v>312</v>
      </c>
      <c r="H17" s="81">
        <f>SUM(H12:H15)</f>
        <v>0</v>
      </c>
      <c r="L17" s="98">
        <f t="shared" si="1"/>
        <v>46266</v>
      </c>
      <c r="M17" s="68">
        <f>VLOOKUP(L17,Forecast!A$1:K$200,9)</f>
        <v>709748</v>
      </c>
      <c r="N17" s="68">
        <f>VLOOKUP(L17,Forecast!A$19:$K$200,10)</f>
        <v>17463</v>
      </c>
      <c r="O17" s="68">
        <f>VLOOKUP(L17,Forecast!A$1:K$200,3)</f>
        <v>41303</v>
      </c>
      <c r="P17" s="223">
        <f t="shared" si="0"/>
        <v>768514</v>
      </c>
      <c r="R17" s="40"/>
      <c r="T17" s="40"/>
      <c r="V17" s="40"/>
    </row>
    <row r="18" spans="1:85" ht="18.75" x14ac:dyDescent="0.3">
      <c r="A18" s="151"/>
      <c r="L18" s="98">
        <f t="shared" si="1"/>
        <v>46296</v>
      </c>
      <c r="M18" s="68">
        <f>VLOOKUP(L18,Forecast!A$1:K$200,9)</f>
        <v>1510796</v>
      </c>
      <c r="N18" s="68">
        <f>VLOOKUP(L18,Forecast!A$19:$K$200,10)</f>
        <v>18198</v>
      </c>
      <c r="O18" s="68">
        <f>VLOOKUP(L18,Forecast!A$1:K$200,3)</f>
        <v>42157</v>
      </c>
      <c r="P18" s="223">
        <f t="shared" si="0"/>
        <v>1571151</v>
      </c>
      <c r="R18" s="40"/>
      <c r="T18" s="40"/>
      <c r="V18" s="40"/>
    </row>
    <row r="19" spans="1:85" ht="18.75" x14ac:dyDescent="0.3">
      <c r="A19" s="151"/>
      <c r="L19" s="98">
        <f t="shared" si="1"/>
        <v>46327</v>
      </c>
      <c r="M19" s="68">
        <f>VLOOKUP(L19,Forecast!A$1:K$200,9)</f>
        <v>3200076</v>
      </c>
      <c r="N19" s="68">
        <f>VLOOKUP(L19,Forecast!A$19:$K$200,10)</f>
        <v>20507</v>
      </c>
      <c r="O19" s="68">
        <f>VLOOKUP(L19,Forecast!A$1:K$200,3)</f>
        <v>34274</v>
      </c>
      <c r="P19" s="223">
        <f t="shared" si="0"/>
        <v>3254857</v>
      </c>
      <c r="R19" s="40"/>
      <c r="T19" s="40"/>
      <c r="V19" s="40"/>
    </row>
    <row r="20" spans="1:85" ht="18.75" x14ac:dyDescent="0.3">
      <c r="A20" s="151"/>
      <c r="L20" s="98">
        <f t="shared" si="1"/>
        <v>46357</v>
      </c>
      <c r="M20" s="68">
        <f>VLOOKUP(L20,Forecast!A$1:K$200,9)</f>
        <v>5086307</v>
      </c>
      <c r="N20" s="68">
        <f>VLOOKUP(L20,Forecast!A$19:$K$200,10)</f>
        <v>18913</v>
      </c>
      <c r="O20" s="68">
        <f>VLOOKUP(L20,Forecast!A$1:K$200,3)</f>
        <v>22523</v>
      </c>
      <c r="P20" s="223">
        <f t="shared" si="0"/>
        <v>5127743</v>
      </c>
      <c r="R20" s="40"/>
      <c r="T20" s="40"/>
      <c r="V20" s="40"/>
    </row>
    <row r="21" spans="1:85" ht="18.75" x14ac:dyDescent="0.3">
      <c r="A21" s="151"/>
      <c r="F21" s="96"/>
      <c r="H21" s="96"/>
      <c r="L21" s="98">
        <f>EDATE(L20,1)</f>
        <v>46388</v>
      </c>
      <c r="M21" s="68">
        <f>VLOOKUP(L21,Forecast!A$1:K$200,9)</f>
        <v>6175111</v>
      </c>
      <c r="N21" s="68">
        <f>VLOOKUP(L21,Forecast!A$19:$K$200,10)</f>
        <v>16555</v>
      </c>
      <c r="O21" s="68">
        <f>VLOOKUP(L21,Forecast!A$1:K$200,3)</f>
        <v>11955</v>
      </c>
      <c r="P21" s="223">
        <f t="shared" si="0"/>
        <v>6203621</v>
      </c>
      <c r="R21" s="40"/>
      <c r="T21" s="40"/>
      <c r="V21" s="40"/>
    </row>
    <row r="22" spans="1:85" ht="19.5" thickBot="1" x14ac:dyDescent="0.35">
      <c r="A22" s="151"/>
      <c r="B22" s="559"/>
      <c r="D22" s="18"/>
      <c r="E22" s="18"/>
      <c r="F22" s="18"/>
      <c r="L22" s="224"/>
      <c r="M22" s="225"/>
      <c r="N22" s="225"/>
      <c r="O22" s="225"/>
      <c r="P22" s="226"/>
      <c r="T22" s="40"/>
      <c r="V22" s="40"/>
    </row>
    <row r="23" spans="1:85" ht="16.5" thickBot="1" x14ac:dyDescent="0.3">
      <c r="B23" s="559"/>
      <c r="D23" s="18"/>
      <c r="E23" s="18"/>
      <c r="F23" s="18"/>
      <c r="L23" s="227"/>
      <c r="M23" s="228"/>
      <c r="N23" s="228"/>
      <c r="O23" s="65"/>
      <c r="P23" s="229">
        <f>SUM(P10:P22)</f>
        <v>31531995</v>
      </c>
      <c r="R23" s="40"/>
      <c r="T23" s="40"/>
      <c r="V23" s="40"/>
      <c r="W23" s="40"/>
    </row>
    <row r="24" spans="1:85" x14ac:dyDescent="0.25">
      <c r="B24" s="559"/>
      <c r="D24" s="18"/>
      <c r="E24" s="18"/>
      <c r="F24" s="18"/>
      <c r="L24" s="32"/>
      <c r="M24" s="32"/>
      <c r="N24" s="32"/>
      <c r="O24" s="32"/>
      <c r="P24" s="32"/>
      <c r="Q24" s="32"/>
      <c r="R24" s="32"/>
    </row>
    <row r="25" spans="1:85" x14ac:dyDescent="0.25">
      <c r="D25" s="443"/>
      <c r="E25" s="443"/>
      <c r="F25" s="443"/>
      <c r="M25" s="32"/>
      <c r="N25" s="32"/>
      <c r="O25" s="32"/>
      <c r="P25" s="32"/>
      <c r="Q25" s="32"/>
      <c r="R25" s="32"/>
    </row>
    <row r="26" spans="1:85" x14ac:dyDescent="0.25">
      <c r="D26" s="443"/>
      <c r="E26" s="443"/>
      <c r="F26" s="443"/>
    </row>
    <row r="27" spans="1:85" x14ac:dyDescent="0.25">
      <c r="D27" s="443"/>
      <c r="E27" s="443"/>
      <c r="F27" s="443"/>
    </row>
    <row r="28" spans="1:85" x14ac:dyDescent="0.25">
      <c r="D28" s="18"/>
      <c r="E28" s="18"/>
      <c r="F28" s="18"/>
    </row>
    <row r="29" spans="1:85" x14ac:dyDescent="0.25">
      <c r="D29" s="18"/>
      <c r="E29" s="18"/>
      <c r="F29" s="18"/>
      <c r="CG29" s="3" t="s">
        <v>269</v>
      </c>
    </row>
    <row r="30" spans="1:85" x14ac:dyDescent="0.25">
      <c r="D30" s="18"/>
      <c r="E30" s="18"/>
      <c r="F30" s="18"/>
      <c r="CG30" s="3" t="s">
        <v>272</v>
      </c>
    </row>
    <row r="31" spans="1:85" x14ac:dyDescent="0.25">
      <c r="D31" s="18"/>
      <c r="E31" s="18"/>
      <c r="F31" s="18"/>
    </row>
    <row r="32" spans="1:85" x14ac:dyDescent="0.25">
      <c r="D32" s="18"/>
      <c r="E32" s="18"/>
      <c r="F32" s="18"/>
      <c r="CG32" s="3">
        <v>-411623</v>
      </c>
    </row>
    <row r="33" spans="7:85" x14ac:dyDescent="0.25">
      <c r="G33" s="3"/>
    </row>
    <row r="34" spans="7:85" x14ac:dyDescent="0.25">
      <c r="G34" s="3"/>
      <c r="CA34" s="3" t="e">
        <v>#REF!</v>
      </c>
      <c r="CB34" s="3" t="s">
        <v>61</v>
      </c>
      <c r="CC34" s="3" t="e">
        <v>#REF!</v>
      </c>
      <c r="CD34" s="3" t="s">
        <v>60</v>
      </c>
      <c r="CE34" s="3" t="e">
        <v>#REF!</v>
      </c>
      <c r="CF34" s="3" t="s">
        <v>60</v>
      </c>
      <c r="CG34" s="3">
        <v>-402587.94319999998</v>
      </c>
    </row>
    <row r="35" spans="7:85" x14ac:dyDescent="0.25">
      <c r="G35" s="3"/>
      <c r="CC35" s="3" t="e">
        <v>#REF!</v>
      </c>
      <c r="CD35" s="3" t="s">
        <v>60</v>
      </c>
      <c r="CE35" s="3" t="e">
        <v>#REF!</v>
      </c>
      <c r="CF35" s="3" t="s">
        <v>60</v>
      </c>
      <c r="CG35" s="3">
        <v>-389209.51574</v>
      </c>
    </row>
    <row r="36" spans="7:85" x14ac:dyDescent="0.25">
      <c r="G36" s="3"/>
      <c r="CC36" s="3" t="e">
        <v>#REF!</v>
      </c>
      <c r="CD36" s="3" t="s">
        <v>60</v>
      </c>
      <c r="CE36" s="3" t="e">
        <v>#REF!</v>
      </c>
      <c r="CF36" s="3" t="s">
        <v>60</v>
      </c>
      <c r="CG36" s="3">
        <v>-379257.88942999998</v>
      </c>
    </row>
    <row r="37" spans="7:85" x14ac:dyDescent="0.25">
      <c r="G37" s="3"/>
      <c r="CC37" s="3" t="e">
        <v>#REF!</v>
      </c>
      <c r="CD37" s="3" t="s">
        <v>61</v>
      </c>
      <c r="CE37" s="3" t="e">
        <v>#REF!</v>
      </c>
      <c r="CF37" s="3" t="s">
        <v>60</v>
      </c>
      <c r="CG37" s="3">
        <v>-369315.90457999997</v>
      </c>
    </row>
    <row r="38" spans="7:85" x14ac:dyDescent="0.25">
      <c r="G38" s="3"/>
      <c r="CE38" s="3" t="e">
        <v>#REF!</v>
      </c>
      <c r="CF38" s="3" t="s">
        <v>60</v>
      </c>
      <c r="CG38" s="3">
        <v>-359018.76595999999</v>
      </c>
    </row>
    <row r="39" spans="7:85" x14ac:dyDescent="0.25">
      <c r="G39" s="3"/>
      <c r="CE39" s="3" t="e">
        <v>#REF!</v>
      </c>
      <c r="CF39" s="3" t="s">
        <v>60</v>
      </c>
      <c r="CG39" s="3">
        <v>-345075.15596</v>
      </c>
    </row>
    <row r="40" spans="7:85" x14ac:dyDescent="0.25">
      <c r="G40" s="3"/>
      <c r="CE40" s="3" t="e">
        <v>#REF!</v>
      </c>
      <c r="CF40" s="3" t="s">
        <v>61</v>
      </c>
      <c r="CG40" s="3">
        <v>-318552.39218000002</v>
      </c>
    </row>
    <row r="41" spans="7:85" x14ac:dyDescent="0.25">
      <c r="G41" s="3"/>
      <c r="CG41" s="3">
        <v>-272826.39557000005</v>
      </c>
    </row>
    <row r="42" spans="7:85" x14ac:dyDescent="0.25">
      <c r="G42" s="3"/>
      <c r="CG42" s="3">
        <v>-205104.66959000006</v>
      </c>
    </row>
    <row r="43" spans="7:85" x14ac:dyDescent="0.25">
      <c r="G43" s="3"/>
      <c r="CG43" s="3">
        <v>-140806.26692000008</v>
      </c>
    </row>
    <row r="44" spans="7:85" x14ac:dyDescent="0.25">
      <c r="G44" s="3"/>
      <c r="CG44" s="3">
        <v>-95338.527020000081</v>
      </c>
    </row>
    <row r="45" spans="7:85" x14ac:dyDescent="0.25">
      <c r="G45" s="3"/>
      <c r="CG45" s="3">
        <v>-76782.608450000087</v>
      </c>
    </row>
    <row r="46" spans="7:85" x14ac:dyDescent="0.25">
      <c r="G46" s="3"/>
      <c r="CG46" s="3">
        <v>-68418.687050000095</v>
      </c>
    </row>
    <row r="47" spans="7:85" x14ac:dyDescent="0.25">
      <c r="G47" s="3"/>
    </row>
    <row r="48" spans="7:85" x14ac:dyDescent="0.25">
      <c r="G48" s="3"/>
    </row>
    <row r="49" spans="7:85" x14ac:dyDescent="0.25">
      <c r="G49" s="3"/>
    </row>
    <row r="50" spans="7:85" x14ac:dyDescent="0.25">
      <c r="G50" s="3"/>
      <c r="CG50" s="3">
        <v>-68418.687050000095</v>
      </c>
    </row>
    <row r="51" spans="7:85" x14ac:dyDescent="0.25">
      <c r="G51" s="3"/>
    </row>
    <row r="52" spans="7:85" x14ac:dyDescent="0.25">
      <c r="G52" s="3"/>
    </row>
    <row r="53" spans="7:85" x14ac:dyDescent="0.25">
      <c r="G53" s="3"/>
    </row>
    <row r="54" spans="7:85" x14ac:dyDescent="0.25">
      <c r="G54" s="3"/>
    </row>
    <row r="55" spans="7:85" x14ac:dyDescent="0.25">
      <c r="G55" s="3"/>
    </row>
    <row r="56" spans="7:85" x14ac:dyDescent="0.25">
      <c r="G56" s="3"/>
    </row>
    <row r="57" spans="7:85" x14ac:dyDescent="0.25">
      <c r="G57" s="3"/>
    </row>
    <row r="58" spans="7:85" x14ac:dyDescent="0.25">
      <c r="G58" s="3"/>
      <c r="L58" s="32"/>
      <c r="M58" s="32"/>
    </row>
    <row r="59" spans="7:85" x14ac:dyDescent="0.25">
      <c r="G59" s="3"/>
      <c r="L59" s="191"/>
      <c r="M59" s="191"/>
    </row>
    <row r="60" spans="7:85" ht="15.75" customHeight="1" x14ac:dyDescent="0.25">
      <c r="G60" s="3"/>
      <c r="M60" s="191"/>
    </row>
    <row r="61" spans="7:85" x14ac:dyDescent="0.25">
      <c r="G61" s="3"/>
      <c r="L61" s="192"/>
      <c r="M61" s="32"/>
    </row>
    <row r="62" spans="7:85" x14ac:dyDescent="0.25">
      <c r="G62" s="3"/>
      <c r="L62" s="192"/>
      <c r="M62" s="32"/>
    </row>
    <row r="63" spans="7:85" x14ac:dyDescent="0.25">
      <c r="G63" s="3"/>
      <c r="L63" s="192"/>
      <c r="M63" s="32"/>
    </row>
    <row r="64" spans="7:85" x14ac:dyDescent="0.25">
      <c r="G64" s="3"/>
      <c r="L64" s="192"/>
      <c r="M64" s="32"/>
    </row>
    <row r="65" spans="7:14" x14ac:dyDescent="0.25">
      <c r="G65" s="3"/>
      <c r="L65" s="192"/>
      <c r="M65" s="32"/>
    </row>
    <row r="66" spans="7:14" x14ac:dyDescent="0.25">
      <c r="G66" s="3"/>
      <c r="L66" s="192"/>
      <c r="M66" s="32"/>
    </row>
    <row r="67" spans="7:14" x14ac:dyDescent="0.25">
      <c r="G67" s="3"/>
      <c r="L67" s="192"/>
      <c r="M67" s="32"/>
    </row>
    <row r="68" spans="7:14" x14ac:dyDescent="0.25">
      <c r="G68" s="3"/>
      <c r="L68" s="192"/>
      <c r="M68" s="32"/>
    </row>
    <row r="69" spans="7:14" x14ac:dyDescent="0.25">
      <c r="G69" s="3"/>
      <c r="L69" s="192"/>
      <c r="M69" s="32"/>
    </row>
    <row r="70" spans="7:14" x14ac:dyDescent="0.25">
      <c r="G70" s="3"/>
      <c r="L70" s="192"/>
      <c r="M70" s="32"/>
    </row>
    <row r="71" spans="7:14" x14ac:dyDescent="0.25">
      <c r="G71" s="3"/>
      <c r="L71" s="192"/>
      <c r="M71" s="32"/>
    </row>
    <row r="72" spans="7:14" x14ac:dyDescent="0.25">
      <c r="G72" s="3"/>
      <c r="L72" s="192"/>
      <c r="M72" s="193"/>
      <c r="N72" s="32"/>
    </row>
    <row r="73" spans="7:14" x14ac:dyDescent="0.25">
      <c r="G73" s="3"/>
      <c r="L73" s="192"/>
      <c r="M73" s="193"/>
      <c r="N73" s="32"/>
    </row>
    <row r="74" spans="7:14" x14ac:dyDescent="0.25">
      <c r="G74" s="3"/>
      <c r="L74" s="192"/>
      <c r="M74" s="193"/>
      <c r="N74" s="32"/>
    </row>
    <row r="75" spans="7:14" x14ac:dyDescent="0.25">
      <c r="G75" s="3"/>
      <c r="L75" s="192"/>
      <c r="M75" s="193"/>
      <c r="N75" s="32"/>
    </row>
    <row r="76" spans="7:14" x14ac:dyDescent="0.25">
      <c r="G76" s="3"/>
      <c r="L76" s="192"/>
      <c r="M76" s="193"/>
      <c r="N76" s="32"/>
    </row>
    <row r="77" spans="7:14" x14ac:dyDescent="0.25">
      <c r="G77" s="3"/>
      <c r="L77" s="192"/>
      <c r="M77" s="193"/>
      <c r="N77" s="32"/>
    </row>
    <row r="78" spans="7:14" x14ac:dyDescent="0.25">
      <c r="G78" s="3"/>
      <c r="L78" s="192"/>
      <c r="M78" s="193"/>
      <c r="N78" s="32"/>
    </row>
    <row r="79" spans="7:14" x14ac:dyDescent="0.25">
      <c r="G79" s="3"/>
      <c r="L79" s="192"/>
      <c r="M79" s="193"/>
      <c r="N79" s="32"/>
    </row>
    <row r="80" spans="7:14" x14ac:dyDescent="0.25">
      <c r="G80" s="3"/>
      <c r="L80" s="192"/>
      <c r="M80" s="193"/>
      <c r="N80" s="32"/>
    </row>
    <row r="81" spans="7:14" x14ac:dyDescent="0.25">
      <c r="G81" s="3"/>
      <c r="L81" s="192"/>
      <c r="M81" s="193"/>
      <c r="N81" s="32"/>
    </row>
    <row r="82" spans="7:14" x14ac:dyDescent="0.25">
      <c r="G82" s="3"/>
      <c r="L82" s="192"/>
      <c r="M82" s="193"/>
      <c r="N82" s="32"/>
    </row>
    <row r="83" spans="7:14" x14ac:dyDescent="0.25">
      <c r="G83" s="3"/>
      <c r="L83" s="32"/>
      <c r="M83" s="32"/>
    </row>
    <row r="84" spans="7:14" x14ac:dyDescent="0.25">
      <c r="G84" s="3"/>
      <c r="M84" s="32"/>
    </row>
    <row r="85" spans="7:14" x14ac:dyDescent="0.25">
      <c r="G85" s="3"/>
      <c r="L85" s="32"/>
      <c r="M85" s="32"/>
    </row>
    <row r="86" spans="7:14" x14ac:dyDescent="0.25">
      <c r="G86" s="3"/>
    </row>
    <row r="87" spans="7:14" x14ac:dyDescent="0.25">
      <c r="G87" s="3"/>
    </row>
    <row r="88" spans="7:14" x14ac:dyDescent="0.25">
      <c r="G88" s="3"/>
    </row>
    <row r="89" spans="7:14" x14ac:dyDescent="0.25">
      <c r="G89" s="3"/>
    </row>
    <row r="90" spans="7:14" x14ac:dyDescent="0.25">
      <c r="G90" s="3"/>
    </row>
    <row r="91" spans="7:14" x14ac:dyDescent="0.25">
      <c r="G91" s="3"/>
    </row>
    <row r="92" spans="7:14" x14ac:dyDescent="0.25">
      <c r="G92" s="3"/>
    </row>
    <row r="93" spans="7:14" x14ac:dyDescent="0.25">
      <c r="G93" s="3"/>
    </row>
    <row r="94" spans="7:14" x14ac:dyDescent="0.25">
      <c r="G94" s="3"/>
    </row>
    <row r="95" spans="7:14" x14ac:dyDescent="0.25">
      <c r="G95" s="3"/>
    </row>
    <row r="96" spans="7:14" x14ac:dyDescent="0.25">
      <c r="G96" s="3"/>
    </row>
    <row r="97" spans="7:7" x14ac:dyDescent="0.25">
      <c r="G97" s="3"/>
    </row>
    <row r="98" spans="7:7" x14ac:dyDescent="0.25">
      <c r="G98" s="3"/>
    </row>
    <row r="99" spans="7:7" x14ac:dyDescent="0.25">
      <c r="G99" s="3"/>
    </row>
    <row r="100" spans="7:7" x14ac:dyDescent="0.25">
      <c r="G100" s="3"/>
    </row>
    <row r="101" spans="7:7" x14ac:dyDescent="0.25">
      <c r="G101" s="3"/>
    </row>
    <row r="102" spans="7:7" x14ac:dyDescent="0.25">
      <c r="G102" s="3"/>
    </row>
    <row r="103" spans="7:7" x14ac:dyDescent="0.25">
      <c r="G103" s="3"/>
    </row>
    <row r="104" spans="7:7" x14ac:dyDescent="0.25">
      <c r="G104" s="3"/>
    </row>
    <row r="105" spans="7:7" x14ac:dyDescent="0.25">
      <c r="G105" s="3"/>
    </row>
    <row r="106" spans="7:7" x14ac:dyDescent="0.25">
      <c r="G106" s="3"/>
    </row>
    <row r="107" spans="7:7" x14ac:dyDescent="0.25">
      <c r="G107" s="3"/>
    </row>
    <row r="108" spans="7:7" x14ac:dyDescent="0.25">
      <c r="G108" s="3"/>
    </row>
    <row r="109" spans="7:7" x14ac:dyDescent="0.25">
      <c r="G109" s="3"/>
    </row>
    <row r="110" spans="7:7" x14ac:dyDescent="0.25">
      <c r="G110" s="3"/>
    </row>
    <row r="111" spans="7:7" x14ac:dyDescent="0.25">
      <c r="G111" s="3"/>
    </row>
    <row r="112" spans="7:7" x14ac:dyDescent="0.25">
      <c r="G112" s="3"/>
    </row>
    <row r="113" spans="7:7" x14ac:dyDescent="0.25">
      <c r="G113" s="3"/>
    </row>
    <row r="114" spans="7:7" x14ac:dyDescent="0.25">
      <c r="G114" s="3"/>
    </row>
    <row r="115" spans="7:7" x14ac:dyDescent="0.25">
      <c r="G115" s="3"/>
    </row>
    <row r="116" spans="7:7" x14ac:dyDescent="0.25">
      <c r="G116" s="3"/>
    </row>
    <row r="117" spans="7:7" x14ac:dyDescent="0.25">
      <c r="G117" s="3"/>
    </row>
    <row r="118" spans="7:7" x14ac:dyDescent="0.25">
      <c r="G118" s="3"/>
    </row>
    <row r="119" spans="7:7" x14ac:dyDescent="0.25">
      <c r="G119" s="3"/>
    </row>
    <row r="120" spans="7:7" x14ac:dyDescent="0.25">
      <c r="G120" s="3"/>
    </row>
    <row r="121" spans="7:7" x14ac:dyDescent="0.25">
      <c r="G121" s="3"/>
    </row>
    <row r="122" spans="7:7" x14ac:dyDescent="0.25">
      <c r="G122" s="3"/>
    </row>
    <row r="123" spans="7:7" x14ac:dyDescent="0.25">
      <c r="G123" s="3"/>
    </row>
    <row r="124" spans="7:7" x14ac:dyDescent="0.25">
      <c r="G124" s="3"/>
    </row>
    <row r="125" spans="7:7" x14ac:dyDescent="0.25">
      <c r="G125" s="3"/>
    </row>
    <row r="126" spans="7:7" x14ac:dyDescent="0.25">
      <c r="G126" s="3"/>
    </row>
    <row r="127" spans="7:7" x14ac:dyDescent="0.25">
      <c r="G127" s="3"/>
    </row>
    <row r="128" spans="7:7" x14ac:dyDescent="0.25">
      <c r="G128" s="3"/>
    </row>
    <row r="129" spans="7:7" x14ac:dyDescent="0.25">
      <c r="G129" s="3"/>
    </row>
    <row r="130" spans="7:7" x14ac:dyDescent="0.25">
      <c r="G130" s="3"/>
    </row>
    <row r="131" spans="7:7" x14ac:dyDescent="0.25">
      <c r="G131" s="3"/>
    </row>
    <row r="132" spans="7:7" x14ac:dyDescent="0.25">
      <c r="G132" s="3"/>
    </row>
    <row r="133" spans="7:7" x14ac:dyDescent="0.25">
      <c r="G133" s="3"/>
    </row>
    <row r="134" spans="7:7" x14ac:dyDescent="0.25">
      <c r="G134" s="3"/>
    </row>
    <row r="135" spans="7:7" x14ac:dyDescent="0.25">
      <c r="G135" s="3"/>
    </row>
    <row r="136" spans="7:7" x14ac:dyDescent="0.25">
      <c r="G136" s="3"/>
    </row>
    <row r="137" spans="7:7" x14ac:dyDescent="0.25">
      <c r="G137" s="3"/>
    </row>
    <row r="138" spans="7:7" x14ac:dyDescent="0.25">
      <c r="G138" s="3"/>
    </row>
    <row r="139" spans="7:7" x14ac:dyDescent="0.25">
      <c r="G139" s="3"/>
    </row>
    <row r="140" spans="7:7" x14ac:dyDescent="0.25">
      <c r="G140" s="3"/>
    </row>
    <row r="141" spans="7:7" x14ac:dyDescent="0.25">
      <c r="G141" s="3"/>
    </row>
    <row r="142" spans="7:7" x14ac:dyDescent="0.25">
      <c r="G142" s="3"/>
    </row>
    <row r="143" spans="7:7" x14ac:dyDescent="0.25">
      <c r="G143" s="3"/>
    </row>
    <row r="144" spans="7:7" x14ac:dyDescent="0.25">
      <c r="G144" s="3"/>
    </row>
    <row r="145" spans="7:7" x14ac:dyDescent="0.25">
      <c r="G145" s="3"/>
    </row>
    <row r="146" spans="7:7" x14ac:dyDescent="0.25">
      <c r="G146" s="3"/>
    </row>
    <row r="147" spans="7:7" x14ac:dyDescent="0.25">
      <c r="G147" s="3"/>
    </row>
    <row r="148" spans="7:7" x14ac:dyDescent="0.25">
      <c r="G148" s="3"/>
    </row>
    <row r="149" spans="7:7" x14ac:dyDescent="0.25">
      <c r="G149" s="3"/>
    </row>
    <row r="150" spans="7:7" x14ac:dyDescent="0.25">
      <c r="G150" s="3"/>
    </row>
    <row r="151" spans="7:7" x14ac:dyDescent="0.25">
      <c r="G151" s="3"/>
    </row>
    <row r="152" spans="7:7" x14ac:dyDescent="0.25">
      <c r="G152" s="3"/>
    </row>
    <row r="153" spans="7:7" x14ac:dyDescent="0.25">
      <c r="G153" s="3"/>
    </row>
    <row r="154" spans="7:7" x14ac:dyDescent="0.25">
      <c r="G154" s="3"/>
    </row>
    <row r="155" spans="7:7" x14ac:dyDescent="0.25">
      <c r="G155" s="3"/>
    </row>
    <row r="156" spans="7:7" x14ac:dyDescent="0.25">
      <c r="G156" s="3"/>
    </row>
    <row r="157" spans="7:7" x14ac:dyDescent="0.25">
      <c r="G157" s="3"/>
    </row>
    <row r="158" spans="7:7" x14ac:dyDescent="0.25">
      <c r="G158" s="3"/>
    </row>
    <row r="159" spans="7:7" x14ac:dyDescent="0.25">
      <c r="G159" s="3"/>
    </row>
    <row r="160" spans="7:7" x14ac:dyDescent="0.25">
      <c r="G160" s="3"/>
    </row>
    <row r="161" spans="7:7" x14ac:dyDescent="0.25">
      <c r="G161" s="3"/>
    </row>
    <row r="162" spans="7:7" x14ac:dyDescent="0.25">
      <c r="G162" s="3"/>
    </row>
    <row r="163" spans="7:7" x14ac:dyDescent="0.25">
      <c r="G163" s="3"/>
    </row>
    <row r="164" spans="7:7" x14ac:dyDescent="0.25">
      <c r="G164" s="3"/>
    </row>
  </sheetData>
  <mergeCells count="6">
    <mergeCell ref="I9:J9"/>
    <mergeCell ref="L7:P7"/>
    <mergeCell ref="B2:J2"/>
    <mergeCell ref="B3:J3"/>
    <mergeCell ref="L8:P8"/>
    <mergeCell ref="B4:I4"/>
  </mergeCells>
  <phoneticPr fontId="4" type="noConversion"/>
  <pageMargins left="0.7" right="0.7" top="0.75" bottom="0.75" header="0.3" footer="0.3"/>
  <pageSetup scale="83" orientation="landscape" r:id="rId1"/>
  <headerFooter>
    <oddFooter>&amp;R&amp;"Times New Roman,Bold"Exhibit D-1
Page 1 of 2</oddFoot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2">
    <tabColor theme="3" tint="0.59999389629810485"/>
  </sheetPr>
  <dimension ref="A1:BY43"/>
  <sheetViews>
    <sheetView zoomScale="80" zoomScaleNormal="80" workbookViewId="0"/>
  </sheetViews>
  <sheetFormatPr defaultColWidth="8.88671875" defaultRowHeight="23.25" x14ac:dyDescent="0.35"/>
  <cols>
    <col min="1" max="1" width="9.109375" style="3" bestFit="1" customWidth="1"/>
    <col min="2" max="2" width="12" style="3" customWidth="1"/>
    <col min="3" max="3" width="12.44140625" style="3" customWidth="1"/>
    <col min="4" max="4" width="14.33203125" style="3" customWidth="1"/>
    <col min="5" max="5" width="15.5546875" style="3" customWidth="1"/>
    <col min="6" max="6" width="14.44140625" style="3" customWidth="1"/>
    <col min="7" max="7" width="16.5546875" style="3" customWidth="1"/>
    <col min="8" max="8" width="16.109375" style="63" customWidth="1"/>
    <col min="9" max="70" width="8.88671875" style="3"/>
    <col min="71" max="71" width="9.109375" style="3" bestFit="1" customWidth="1"/>
    <col min="72" max="72" width="8.88671875" style="3"/>
    <col min="73" max="73" width="9.109375" style="3" bestFit="1" customWidth="1"/>
    <col min="74" max="74" width="8.88671875" style="3"/>
    <col min="75" max="75" width="9.109375" style="3" bestFit="1" customWidth="1"/>
    <col min="76" max="76" width="8.88671875" style="3"/>
    <col min="77" max="77" width="11.21875" style="3" bestFit="1" customWidth="1"/>
    <col min="78" max="16384" width="8.88671875" style="3"/>
  </cols>
  <sheetData>
    <row r="1" spans="1:77" ht="15.75" customHeight="1" x14ac:dyDescent="0.35"/>
    <row r="2" spans="1:77" ht="18.75" x14ac:dyDescent="0.3">
      <c r="B2" s="679" t="s">
        <v>5</v>
      </c>
      <c r="C2" s="679"/>
      <c r="D2" s="679"/>
      <c r="E2" s="679"/>
      <c r="F2" s="679"/>
      <c r="G2" s="679"/>
      <c r="H2" s="679"/>
      <c r="I2" s="152"/>
      <c r="J2" s="152"/>
      <c r="K2" s="152"/>
      <c r="L2" s="152"/>
      <c r="M2" s="152"/>
      <c r="N2" s="152"/>
      <c r="O2" s="152"/>
      <c r="P2" s="152"/>
      <c r="Q2" s="152"/>
      <c r="R2" s="152"/>
      <c r="S2" s="152"/>
      <c r="T2" s="152"/>
      <c r="U2" s="152"/>
      <c r="V2" s="152"/>
    </row>
    <row r="3" spans="1:77" ht="18.75" customHeight="1" x14ac:dyDescent="0.3">
      <c r="B3" s="683" t="s">
        <v>376</v>
      </c>
      <c r="C3" s="683"/>
      <c r="D3" s="683"/>
      <c r="E3" s="683"/>
      <c r="F3" s="683"/>
      <c r="G3" s="683"/>
      <c r="H3" s="683"/>
    </row>
    <row r="4" spans="1:77" ht="15.75" customHeight="1" x14ac:dyDescent="0.3">
      <c r="B4" s="623" t="str">
        <f>CONCATENATE("For Service Rendered On and After ",'Input Data'!$D$4)</f>
        <v>For Service Rendered On and After February 1, 2026</v>
      </c>
      <c r="C4" s="623"/>
      <c r="D4" s="623"/>
      <c r="E4" s="623"/>
      <c r="F4" s="623"/>
      <c r="G4" s="623"/>
      <c r="H4" s="623"/>
    </row>
    <row r="5" spans="1:77" ht="15.75" customHeight="1" x14ac:dyDescent="0.35"/>
    <row r="6" spans="1:77" ht="15.75" customHeight="1" x14ac:dyDescent="0.35">
      <c r="I6" s="461"/>
    </row>
    <row r="7" spans="1:77" x14ac:dyDescent="0.35">
      <c r="A7" s="15" t="s">
        <v>116</v>
      </c>
      <c r="B7" s="454" t="str">
        <f>VLOOKUP(B15,'Case Database'!$A$2:$F$200,3,FALSE)</f>
        <v>2024-00294</v>
      </c>
    </row>
    <row r="8" spans="1:77" ht="15.75" customHeight="1" x14ac:dyDescent="0.35"/>
    <row r="9" spans="1:77" ht="15.75" customHeight="1" x14ac:dyDescent="0.35"/>
    <row r="10" spans="1:77" ht="31.5" x14ac:dyDescent="0.25">
      <c r="A10" s="65" t="s">
        <v>245</v>
      </c>
      <c r="B10" s="140" t="s">
        <v>346</v>
      </c>
      <c r="C10" s="140" t="s">
        <v>308</v>
      </c>
      <c r="D10" s="140" t="s">
        <v>324</v>
      </c>
      <c r="E10" s="140" t="s">
        <v>325</v>
      </c>
      <c r="F10" s="140" t="s">
        <v>275</v>
      </c>
      <c r="G10" s="140" t="s">
        <v>299</v>
      </c>
      <c r="H10" s="140" t="s">
        <v>300</v>
      </c>
      <c r="I10" s="66"/>
      <c r="J10" s="47"/>
      <c r="K10" s="66"/>
      <c r="N10" s="153"/>
      <c r="Q10" s="153"/>
      <c r="R10" s="153"/>
      <c r="S10" s="141"/>
      <c r="T10" s="141"/>
      <c r="W10" s="153"/>
      <c r="X10" s="153"/>
      <c r="Y10" s="153"/>
      <c r="Z10" s="153"/>
      <c r="AA10" s="141"/>
      <c r="AB10" s="141"/>
      <c r="AC10" s="141"/>
      <c r="AY10" s="153"/>
      <c r="AZ10" s="153"/>
      <c r="BA10" s="153"/>
      <c r="BB10" s="153"/>
      <c r="BC10" s="153"/>
      <c r="BD10" s="153"/>
      <c r="BE10" s="153"/>
      <c r="BF10" s="153"/>
      <c r="BG10" s="153"/>
      <c r="BH10" s="153"/>
      <c r="BI10" s="153"/>
      <c r="BJ10" s="153"/>
      <c r="BK10" s="153"/>
      <c r="BL10" s="153"/>
      <c r="BM10" s="153"/>
      <c r="BN10" s="153"/>
      <c r="BO10" s="153"/>
      <c r="BP10" s="153"/>
      <c r="BQ10" s="153"/>
      <c r="BR10" s="141"/>
      <c r="BS10" s="153"/>
      <c r="BT10" s="141"/>
      <c r="BU10" s="153"/>
      <c r="BV10" s="141"/>
      <c r="BW10" s="153"/>
      <c r="BX10" s="141"/>
      <c r="BY10" s="144" t="s">
        <v>269</v>
      </c>
    </row>
    <row r="11" spans="1:77" ht="15.75" x14ac:dyDescent="0.25">
      <c r="A11" s="13"/>
      <c r="B11" s="145" t="s">
        <v>60</v>
      </c>
      <c r="C11" s="145" t="s">
        <v>61</v>
      </c>
      <c r="D11" s="145" t="s">
        <v>62</v>
      </c>
      <c r="E11" s="145" t="s">
        <v>63</v>
      </c>
      <c r="F11" s="143" t="s">
        <v>64</v>
      </c>
      <c r="G11" s="145" t="s">
        <v>487</v>
      </c>
      <c r="H11" s="143" t="s">
        <v>326</v>
      </c>
      <c r="I11" s="66"/>
      <c r="J11" s="47"/>
      <c r="K11" s="66"/>
      <c r="N11" s="153"/>
      <c r="Q11" s="153"/>
      <c r="R11" s="153"/>
      <c r="S11" s="141"/>
      <c r="T11" s="141"/>
      <c r="W11" s="153"/>
      <c r="X11" s="153"/>
      <c r="Y11" s="153"/>
      <c r="Z11" s="153"/>
      <c r="AA11" s="141"/>
      <c r="AB11" s="141"/>
      <c r="AC11" s="141"/>
      <c r="AY11" s="153"/>
      <c r="AZ11" s="153"/>
      <c r="BA11" s="153"/>
      <c r="BB11" s="153"/>
      <c r="BC11" s="153"/>
      <c r="BD11" s="153"/>
      <c r="BE11" s="153"/>
      <c r="BF11" s="153"/>
      <c r="BG11" s="153"/>
      <c r="BH11" s="153"/>
      <c r="BI11" s="153"/>
      <c r="BJ11" s="153"/>
      <c r="BK11" s="153"/>
      <c r="BL11" s="153"/>
      <c r="BM11" s="153"/>
      <c r="BN11" s="153"/>
      <c r="BO11" s="153"/>
      <c r="BP11" s="153"/>
      <c r="BQ11" s="153"/>
      <c r="BR11" s="141"/>
      <c r="BS11" s="153"/>
      <c r="BT11" s="141"/>
      <c r="BU11" s="153"/>
      <c r="BV11" s="141"/>
      <c r="BW11" s="153"/>
      <c r="BX11" s="141"/>
      <c r="BY11" s="38" t="s">
        <v>272</v>
      </c>
    </row>
    <row r="12" spans="1:77" x14ac:dyDescent="0.35">
      <c r="A12" s="13"/>
      <c r="B12" s="38"/>
      <c r="C12" s="38"/>
      <c r="D12" s="557"/>
      <c r="E12" s="557"/>
      <c r="G12" s="144"/>
      <c r="H12" s="184"/>
      <c r="I12" s="66"/>
      <c r="J12" s="47"/>
      <c r="K12" s="66"/>
      <c r="N12" s="153"/>
      <c r="Q12" s="153"/>
      <c r="R12" s="153"/>
      <c r="S12" s="141"/>
      <c r="T12" s="141"/>
      <c r="W12" s="153"/>
      <c r="X12" s="153"/>
      <c r="Y12" s="153"/>
      <c r="Z12" s="153"/>
      <c r="AA12" s="141"/>
      <c r="AB12" s="141"/>
      <c r="AC12" s="141"/>
      <c r="AY12" s="153"/>
      <c r="AZ12" s="153"/>
      <c r="BA12" s="153"/>
      <c r="BB12" s="153"/>
      <c r="BC12" s="153"/>
      <c r="BD12" s="153"/>
      <c r="BE12" s="153"/>
      <c r="BF12" s="153"/>
      <c r="BG12" s="153"/>
      <c r="BH12" s="153"/>
      <c r="BI12" s="153"/>
      <c r="BJ12" s="153"/>
      <c r="BK12" s="153"/>
      <c r="BL12" s="153"/>
      <c r="BM12" s="153"/>
      <c r="BN12" s="153"/>
      <c r="BO12" s="153"/>
      <c r="BP12" s="153"/>
      <c r="BQ12" s="153"/>
      <c r="BR12" s="141"/>
      <c r="BS12" s="153"/>
      <c r="BT12" s="141"/>
      <c r="BU12" s="153"/>
      <c r="BV12" s="141"/>
      <c r="BW12" s="153"/>
      <c r="BX12" s="141"/>
      <c r="BY12" s="144"/>
    </row>
    <row r="13" spans="1:77" ht="15.75" x14ac:dyDescent="0.25">
      <c r="A13" s="13">
        <v>1</v>
      </c>
      <c r="D13" s="557"/>
      <c r="E13" s="557"/>
      <c r="G13" s="150" t="s">
        <v>268</v>
      </c>
      <c r="H13" s="149">
        <f>'Input Data'!D167</f>
        <v>0</v>
      </c>
      <c r="I13" s="66"/>
      <c r="J13" s="47"/>
      <c r="K13" s="66"/>
      <c r="N13" s="153"/>
      <c r="Q13" s="153"/>
      <c r="R13" s="153"/>
      <c r="S13" s="141"/>
      <c r="T13" s="141"/>
      <c r="W13" s="153"/>
      <c r="X13" s="153"/>
      <c r="Y13" s="153"/>
      <c r="Z13" s="153"/>
      <c r="AA13" s="141"/>
      <c r="AB13" s="141"/>
      <c r="AC13" s="141"/>
      <c r="AY13" s="153"/>
      <c r="AZ13" s="153"/>
      <c r="BA13" s="153"/>
      <c r="BB13" s="153"/>
      <c r="BC13" s="153"/>
      <c r="BD13" s="153"/>
      <c r="BE13" s="153"/>
      <c r="BF13" s="153"/>
      <c r="BG13" s="153"/>
      <c r="BH13" s="153"/>
      <c r="BI13" s="153"/>
      <c r="BJ13" s="153"/>
      <c r="BK13" s="153"/>
      <c r="BL13" s="153"/>
      <c r="BM13" s="153"/>
      <c r="BN13" s="153"/>
      <c r="BO13" s="153"/>
      <c r="BP13" s="153"/>
      <c r="BQ13" s="153"/>
      <c r="BR13" s="141"/>
      <c r="BS13" s="153"/>
      <c r="BT13" s="141"/>
      <c r="BU13" s="153"/>
      <c r="BV13" s="141"/>
      <c r="BW13" s="153"/>
      <c r="BX13" s="141"/>
      <c r="BY13" s="144">
        <v>-411623</v>
      </c>
    </row>
    <row r="14" spans="1:77" ht="15.75" x14ac:dyDescent="0.25">
      <c r="A14" s="13"/>
      <c r="D14" s="557"/>
      <c r="E14" s="557"/>
      <c r="G14" s="38"/>
      <c r="H14" s="144"/>
      <c r="I14" s="66"/>
      <c r="J14" s="47"/>
      <c r="K14" s="66"/>
      <c r="N14" s="153"/>
      <c r="Q14" s="153"/>
      <c r="R14" s="153"/>
      <c r="S14" s="141"/>
      <c r="T14" s="141"/>
      <c r="W14" s="153"/>
      <c r="X14" s="153"/>
      <c r="Y14" s="153"/>
      <c r="Z14" s="153"/>
      <c r="AA14" s="141"/>
      <c r="AB14" s="141"/>
      <c r="AC14" s="141"/>
      <c r="AY14" s="153"/>
      <c r="AZ14" s="153"/>
      <c r="BA14" s="153"/>
      <c r="BB14" s="153"/>
      <c r="BC14" s="153"/>
      <c r="BD14" s="153"/>
      <c r="BE14" s="153"/>
      <c r="BF14" s="153"/>
      <c r="BG14" s="153"/>
      <c r="BH14" s="153"/>
      <c r="BI14" s="153"/>
      <c r="BJ14" s="153"/>
      <c r="BK14" s="153"/>
      <c r="BL14" s="153"/>
      <c r="BM14" s="153"/>
      <c r="BN14" s="153"/>
      <c r="BO14" s="153"/>
      <c r="BP14" s="153"/>
      <c r="BQ14" s="153"/>
      <c r="BR14" s="141"/>
      <c r="BS14" s="153"/>
      <c r="BT14" s="141"/>
      <c r="BU14" s="153"/>
      <c r="BV14" s="141"/>
      <c r="BW14" s="153"/>
      <c r="BX14" s="141"/>
      <c r="BY14" s="144"/>
    </row>
    <row r="15" spans="1:77" ht="15.75" x14ac:dyDescent="0.25">
      <c r="A15" s="13">
        <v>2</v>
      </c>
      <c r="B15" s="145">
        <f>'Input Data'!C8</f>
        <v>45597</v>
      </c>
      <c r="C15" s="145" t="s">
        <v>362</v>
      </c>
      <c r="D15" s="40">
        <f>VLOOKUP($B15,'Sales Volumes'!$A$1:$H$200,4,FALSE)</f>
        <v>626149.9</v>
      </c>
      <c r="E15" s="40">
        <f>VLOOKUP($B15,'Sales Volumes'!$A$1:$H$200,5,FALSE)</f>
        <v>33090.6</v>
      </c>
      <c r="F15" s="547">
        <f>VLOOKUP($B$7,'Case Database'!$C$2:$P$200,14,FALSE)</f>
        <v>0</v>
      </c>
      <c r="G15" s="125">
        <f t="shared" ref="G15:G27" si="0">ROUND((D15+E15)*F15,2)</f>
        <v>0</v>
      </c>
      <c r="H15" s="125">
        <f>+H13-G15</f>
        <v>0</v>
      </c>
      <c r="I15" s="66"/>
      <c r="J15" s="47"/>
      <c r="K15" s="66"/>
      <c r="N15" s="153"/>
      <c r="Q15" s="153"/>
      <c r="R15" s="153"/>
      <c r="S15" s="141"/>
      <c r="T15" s="141"/>
      <c r="W15" s="153"/>
      <c r="X15" s="153"/>
      <c r="Y15" s="153"/>
      <c r="Z15" s="153"/>
      <c r="AA15" s="141"/>
      <c r="AB15" s="141"/>
      <c r="AC15" s="141"/>
      <c r="AY15" s="153"/>
      <c r="AZ15" s="153"/>
      <c r="BA15" s="153"/>
      <c r="BB15" s="153"/>
      <c r="BC15" s="153"/>
      <c r="BD15" s="153"/>
      <c r="BE15" s="153"/>
      <c r="BF15" s="153"/>
      <c r="BG15" s="153"/>
      <c r="BH15" s="153"/>
      <c r="BI15" s="153"/>
      <c r="BJ15" s="153"/>
      <c r="BK15" s="153"/>
      <c r="BL15" s="153"/>
      <c r="BM15" s="153"/>
      <c r="BN15" s="153"/>
      <c r="BO15" s="153"/>
      <c r="BP15" s="153"/>
      <c r="BQ15" s="153"/>
      <c r="BR15" s="141"/>
      <c r="BS15" s="153" t="e">
        <v>#REF!</v>
      </c>
      <c r="BT15" s="141" t="s">
        <v>61</v>
      </c>
      <c r="BU15" s="153" t="e">
        <v>#REF!</v>
      </c>
      <c r="BV15" s="141" t="s">
        <v>60</v>
      </c>
      <c r="BW15" s="153" t="e">
        <v>#REF!</v>
      </c>
      <c r="BX15" s="141" t="s">
        <v>60</v>
      </c>
      <c r="BY15" s="144">
        <v>-402587.94319999998</v>
      </c>
    </row>
    <row r="16" spans="1:77" ht="15.75" x14ac:dyDescent="0.25">
      <c r="A16" s="13">
        <v>3</v>
      </c>
      <c r="B16" s="145">
        <f>EDATE(B15,1)</f>
        <v>45627</v>
      </c>
      <c r="C16" s="145"/>
      <c r="D16" s="40">
        <f>VLOOKUP($B16,'Sales Volumes'!$A$1:$H$200,4,FALSE)</f>
        <v>4050335.5</v>
      </c>
      <c r="E16" s="40">
        <f>VLOOKUP($B16,'Sales Volumes'!$A$1:$H$200,5,FALSE)</f>
        <v>20746.7</v>
      </c>
      <c r="F16" s="547">
        <f>$F$15</f>
        <v>0</v>
      </c>
      <c r="G16" s="125">
        <f t="shared" si="0"/>
        <v>0</v>
      </c>
      <c r="H16" s="125">
        <f>H15-G16</f>
        <v>0</v>
      </c>
      <c r="I16" s="66"/>
      <c r="J16" s="47"/>
      <c r="K16" s="66"/>
      <c r="N16" s="153"/>
      <c r="Q16" s="153"/>
      <c r="R16" s="153"/>
      <c r="S16" s="141"/>
      <c r="T16" s="141"/>
      <c r="W16" s="153"/>
      <c r="X16" s="153"/>
      <c r="Y16" s="153"/>
      <c r="Z16" s="153"/>
      <c r="AA16" s="141"/>
      <c r="AB16" s="141"/>
      <c r="AC16" s="141"/>
      <c r="AY16" s="153"/>
      <c r="AZ16" s="153"/>
      <c r="BA16" s="153"/>
      <c r="BB16" s="153"/>
      <c r="BC16" s="153"/>
      <c r="BD16" s="153"/>
      <c r="BE16" s="153"/>
      <c r="BF16" s="153"/>
      <c r="BG16" s="153"/>
      <c r="BH16" s="153"/>
      <c r="BI16" s="153"/>
      <c r="BJ16" s="153"/>
      <c r="BK16" s="153"/>
      <c r="BL16" s="153"/>
      <c r="BM16" s="153"/>
      <c r="BN16" s="153"/>
      <c r="BO16" s="153"/>
      <c r="BP16" s="153"/>
      <c r="BQ16" s="153"/>
      <c r="BR16" s="141"/>
      <c r="BS16" s="153"/>
      <c r="BT16" s="153"/>
      <c r="BU16" s="153" t="e">
        <v>#REF!</v>
      </c>
      <c r="BV16" s="141" t="s">
        <v>60</v>
      </c>
      <c r="BW16" s="153" t="e">
        <v>#REF!</v>
      </c>
      <c r="BX16" s="141" t="s">
        <v>60</v>
      </c>
      <c r="BY16" s="144">
        <v>-389209.51574</v>
      </c>
    </row>
    <row r="17" spans="1:77" ht="15.75" x14ac:dyDescent="0.25">
      <c r="A17" s="13">
        <v>4</v>
      </c>
      <c r="B17" s="145">
        <f t="shared" ref="B17:B27" si="1">EDATE(B16,1)</f>
        <v>45658</v>
      </c>
      <c r="C17" s="145"/>
      <c r="D17" s="40">
        <f>VLOOKUP($B17,'Sales Volumes'!$A$1:$H$200,4,FALSE)</f>
        <v>6057022.5</v>
      </c>
      <c r="E17" s="40">
        <f>VLOOKUP($B17,'Sales Volumes'!$A$1:$H$200,5,FALSE)</f>
        <v>11012.4</v>
      </c>
      <c r="F17" s="547">
        <f t="shared" ref="F17:F27" si="2">$F$15</f>
        <v>0</v>
      </c>
      <c r="G17" s="125">
        <f t="shared" si="0"/>
        <v>0</v>
      </c>
      <c r="H17" s="125">
        <f t="shared" ref="H17:H27" si="3">H16-G17</f>
        <v>0</v>
      </c>
      <c r="I17" s="66"/>
      <c r="J17" s="47"/>
      <c r="K17" s="66"/>
      <c r="N17" s="153"/>
      <c r="Q17" s="153"/>
      <c r="R17" s="153"/>
      <c r="S17" s="141"/>
      <c r="T17" s="141"/>
      <c r="W17" s="153"/>
      <c r="X17" s="153"/>
      <c r="Y17" s="153"/>
      <c r="Z17" s="153"/>
      <c r="AA17" s="141"/>
      <c r="AB17" s="141"/>
      <c r="AC17" s="141"/>
      <c r="AY17" s="153"/>
      <c r="AZ17" s="153"/>
      <c r="BA17" s="153"/>
      <c r="BB17" s="153"/>
      <c r="BC17" s="153"/>
      <c r="BD17" s="153"/>
      <c r="BE17" s="153"/>
      <c r="BF17" s="153"/>
      <c r="BG17" s="153"/>
      <c r="BH17" s="153"/>
      <c r="BI17" s="153"/>
      <c r="BJ17" s="153"/>
      <c r="BK17" s="153"/>
      <c r="BL17" s="153"/>
      <c r="BM17" s="153"/>
      <c r="BN17" s="153"/>
      <c r="BO17" s="153"/>
      <c r="BP17" s="153"/>
      <c r="BQ17" s="153"/>
      <c r="BR17" s="141"/>
      <c r="BS17" s="153"/>
      <c r="BT17" s="153"/>
      <c r="BU17" s="153" t="e">
        <v>#REF!</v>
      </c>
      <c r="BV17" s="141" t="s">
        <v>60</v>
      </c>
      <c r="BW17" s="153" t="e">
        <v>#REF!</v>
      </c>
      <c r="BX17" s="141" t="s">
        <v>60</v>
      </c>
      <c r="BY17" s="144">
        <v>-379257.88942999998</v>
      </c>
    </row>
    <row r="18" spans="1:77" ht="15.75" x14ac:dyDescent="0.25">
      <c r="A18" s="13">
        <v>5</v>
      </c>
      <c r="B18" s="145">
        <f t="shared" si="1"/>
        <v>45689</v>
      </c>
      <c r="C18" s="145"/>
      <c r="D18" s="40">
        <f>VLOOKUP($B18,'Sales Volumes'!$A$1:$H$200,4,FALSE)</f>
        <v>2687217.3</v>
      </c>
      <c r="E18" s="40">
        <f>VLOOKUP($B18,'Sales Volumes'!$A$1:$H$200,5,FALSE)</f>
        <v>7899.4</v>
      </c>
      <c r="F18" s="547">
        <f t="shared" si="2"/>
        <v>0</v>
      </c>
      <c r="G18" s="125">
        <f t="shared" si="0"/>
        <v>0</v>
      </c>
      <c r="H18" s="125">
        <f t="shared" si="3"/>
        <v>0</v>
      </c>
      <c r="I18" s="66"/>
      <c r="J18" s="47"/>
      <c r="K18" s="66"/>
      <c r="N18" s="153"/>
      <c r="Q18" s="153"/>
      <c r="R18" s="153"/>
      <c r="S18" s="141"/>
      <c r="T18" s="141"/>
      <c r="W18" s="153"/>
      <c r="X18" s="153"/>
      <c r="Y18" s="153"/>
      <c r="Z18" s="153"/>
      <c r="AA18" s="141"/>
      <c r="AB18" s="141"/>
      <c r="AC18" s="141"/>
      <c r="AY18" s="153"/>
      <c r="AZ18" s="153"/>
      <c r="BA18" s="153"/>
      <c r="BB18" s="153"/>
      <c r="BC18" s="153"/>
      <c r="BD18" s="153"/>
      <c r="BE18" s="153"/>
      <c r="BF18" s="153"/>
      <c r="BG18" s="153"/>
      <c r="BH18" s="153"/>
      <c r="BI18" s="153"/>
      <c r="BJ18" s="153"/>
      <c r="BK18" s="153"/>
      <c r="BL18" s="153"/>
      <c r="BM18" s="153"/>
      <c r="BN18" s="153"/>
      <c r="BO18" s="153"/>
      <c r="BP18" s="153"/>
      <c r="BQ18" s="153"/>
      <c r="BR18" s="141"/>
      <c r="BS18" s="153"/>
      <c r="BT18" s="153"/>
      <c r="BU18" s="153" t="e">
        <v>#REF!</v>
      </c>
      <c r="BV18" s="141" t="s">
        <v>61</v>
      </c>
      <c r="BW18" s="153" t="e">
        <v>#REF!</v>
      </c>
      <c r="BX18" s="141" t="s">
        <v>60</v>
      </c>
      <c r="BY18" s="144">
        <v>-369315.90457999997</v>
      </c>
    </row>
    <row r="19" spans="1:77" ht="15.75" x14ac:dyDescent="0.25">
      <c r="A19" s="13">
        <v>6</v>
      </c>
      <c r="B19" s="145">
        <f t="shared" si="1"/>
        <v>45717</v>
      </c>
      <c r="C19" s="145"/>
      <c r="D19" s="40">
        <f>VLOOKUP($B19,'Sales Volumes'!$A$1:$H$200,4,FALSE)</f>
        <v>4476215.0999999996</v>
      </c>
      <c r="E19" s="40">
        <f>VLOOKUP($B19,'Sales Volumes'!$A$1:$H$200,5,FALSE)</f>
        <v>20571.599999999999</v>
      </c>
      <c r="F19" s="547">
        <f t="shared" si="2"/>
        <v>0</v>
      </c>
      <c r="G19" s="125">
        <f t="shared" si="0"/>
        <v>0</v>
      </c>
      <c r="H19" s="125">
        <f t="shared" si="3"/>
        <v>0</v>
      </c>
      <c r="I19" s="66"/>
      <c r="J19" s="47"/>
      <c r="K19" s="66"/>
      <c r="N19" s="153"/>
      <c r="Q19" s="153"/>
      <c r="R19" s="153"/>
      <c r="S19" s="141"/>
      <c r="T19" s="141"/>
      <c r="W19" s="153"/>
      <c r="X19" s="153"/>
      <c r="Y19" s="153"/>
      <c r="Z19" s="153"/>
      <c r="AA19" s="141"/>
      <c r="AB19" s="141"/>
      <c r="AC19" s="141"/>
      <c r="AY19" s="153"/>
      <c r="AZ19" s="153"/>
      <c r="BA19" s="153"/>
      <c r="BB19" s="153"/>
      <c r="BC19" s="153"/>
      <c r="BD19" s="153"/>
      <c r="BE19" s="153"/>
      <c r="BF19" s="153"/>
      <c r="BG19" s="153"/>
      <c r="BH19" s="153"/>
      <c r="BI19" s="153"/>
      <c r="BJ19" s="153"/>
      <c r="BK19" s="153"/>
      <c r="BL19" s="153"/>
      <c r="BM19" s="153"/>
      <c r="BN19" s="153"/>
      <c r="BO19" s="153"/>
      <c r="BP19" s="153"/>
      <c r="BQ19" s="153"/>
      <c r="BR19" s="141"/>
      <c r="BS19" s="153"/>
      <c r="BT19" s="153"/>
      <c r="BU19" s="153"/>
      <c r="BV19" s="153"/>
      <c r="BW19" s="153" t="e">
        <v>#REF!</v>
      </c>
      <c r="BX19" s="141" t="s">
        <v>60</v>
      </c>
      <c r="BY19" s="144">
        <v>-359018.76595999999</v>
      </c>
    </row>
    <row r="20" spans="1:77" ht="15.75" x14ac:dyDescent="0.25">
      <c r="A20" s="13">
        <v>7</v>
      </c>
      <c r="B20" s="145">
        <f t="shared" si="1"/>
        <v>45748</v>
      </c>
      <c r="C20" s="145"/>
      <c r="D20" s="40">
        <f>VLOOKUP($B20,'Sales Volumes'!$A$1:$H$200,4,FALSE)</f>
        <v>2383316.6</v>
      </c>
      <c r="E20" s="40">
        <f>VLOOKUP($B20,'Sales Volumes'!$A$1:$H$200,5,FALSE)</f>
        <v>26007.599999999999</v>
      </c>
      <c r="F20" s="547">
        <f t="shared" si="2"/>
        <v>0</v>
      </c>
      <c r="G20" s="125">
        <f t="shared" si="0"/>
        <v>0</v>
      </c>
      <c r="H20" s="125">
        <f t="shared" si="3"/>
        <v>0</v>
      </c>
      <c r="I20" s="66"/>
      <c r="J20" s="47"/>
      <c r="K20" s="66"/>
      <c r="N20" s="153"/>
      <c r="Q20" s="153"/>
      <c r="R20" s="153"/>
      <c r="S20" s="141"/>
      <c r="T20" s="141"/>
      <c r="W20" s="153"/>
      <c r="X20" s="153"/>
      <c r="Y20" s="153"/>
      <c r="Z20" s="153"/>
      <c r="AA20" s="141"/>
      <c r="AB20" s="141"/>
      <c r="AC20" s="141"/>
      <c r="AY20" s="153"/>
      <c r="AZ20" s="153"/>
      <c r="BA20" s="153"/>
      <c r="BB20" s="153"/>
      <c r="BC20" s="153"/>
      <c r="BD20" s="153"/>
      <c r="BE20" s="153"/>
      <c r="BF20" s="153"/>
      <c r="BG20" s="153"/>
      <c r="BH20" s="153"/>
      <c r="BI20" s="153"/>
      <c r="BJ20" s="153"/>
      <c r="BK20" s="153"/>
      <c r="BL20" s="153"/>
      <c r="BM20" s="153"/>
      <c r="BN20" s="153"/>
      <c r="BO20" s="153"/>
      <c r="BP20" s="153"/>
      <c r="BQ20" s="153"/>
      <c r="BR20" s="141"/>
      <c r="BS20" s="153"/>
      <c r="BT20" s="153"/>
      <c r="BU20" s="153"/>
      <c r="BV20" s="153"/>
      <c r="BW20" s="153" t="e">
        <v>#REF!</v>
      </c>
      <c r="BX20" s="141" t="s">
        <v>60</v>
      </c>
      <c r="BY20" s="144">
        <v>-345075.15596</v>
      </c>
    </row>
    <row r="21" spans="1:77" ht="15.75" x14ac:dyDescent="0.25">
      <c r="A21" s="13">
        <v>8</v>
      </c>
      <c r="B21" s="145">
        <f t="shared" si="1"/>
        <v>45778</v>
      </c>
      <c r="C21" s="145"/>
      <c r="D21" s="40">
        <f>VLOOKUP($B21,'Sales Volumes'!$A$1:$H$200,4,FALSE)</f>
        <v>476422.3</v>
      </c>
      <c r="E21" s="40">
        <f>VLOOKUP($B21,'Sales Volumes'!$A$1:$H$200,5,FALSE)</f>
        <v>29964.3</v>
      </c>
      <c r="F21" s="547">
        <f t="shared" si="2"/>
        <v>0</v>
      </c>
      <c r="G21" s="125">
        <f t="shared" si="0"/>
        <v>0</v>
      </c>
      <c r="H21" s="125">
        <f t="shared" si="3"/>
        <v>0</v>
      </c>
      <c r="I21" s="66"/>
      <c r="J21" s="47"/>
      <c r="K21" s="66"/>
      <c r="N21" s="153"/>
      <c r="Q21" s="153"/>
      <c r="R21" s="153"/>
      <c r="S21" s="141"/>
      <c r="T21" s="141"/>
      <c r="W21" s="153"/>
      <c r="X21" s="153"/>
      <c r="Y21" s="153"/>
      <c r="Z21" s="153"/>
      <c r="AA21" s="141"/>
      <c r="AB21" s="141"/>
      <c r="AC21" s="141"/>
      <c r="AY21" s="153"/>
      <c r="AZ21" s="153"/>
      <c r="BA21" s="153"/>
      <c r="BB21" s="153"/>
      <c r="BC21" s="153"/>
      <c r="BD21" s="153"/>
      <c r="BE21" s="153"/>
      <c r="BF21" s="153"/>
      <c r="BG21" s="153"/>
      <c r="BH21" s="153"/>
      <c r="BI21" s="153"/>
      <c r="BJ21" s="153"/>
      <c r="BK21" s="153"/>
      <c r="BL21" s="153"/>
      <c r="BM21" s="153"/>
      <c r="BN21" s="153"/>
      <c r="BO21" s="153"/>
      <c r="BP21" s="153"/>
      <c r="BQ21" s="153"/>
      <c r="BR21" s="141"/>
      <c r="BS21" s="153"/>
      <c r="BT21" s="153"/>
      <c r="BU21" s="153"/>
      <c r="BV21" s="153"/>
      <c r="BW21" s="153" t="e">
        <v>#REF!</v>
      </c>
      <c r="BX21" s="141" t="s">
        <v>61</v>
      </c>
      <c r="BY21" s="144">
        <v>-318552.39218000002</v>
      </c>
    </row>
    <row r="22" spans="1:77" ht="15.75" x14ac:dyDescent="0.25">
      <c r="A22" s="13">
        <v>9</v>
      </c>
      <c r="B22" s="145">
        <f t="shared" si="1"/>
        <v>45809</v>
      </c>
      <c r="C22" s="145"/>
      <c r="D22" s="40">
        <f>VLOOKUP($B22,'Sales Volumes'!$A$1:$H$200,4,FALSE)</f>
        <v>877934.5</v>
      </c>
      <c r="E22" s="40">
        <f>VLOOKUP($B22,'Sales Volumes'!$A$1:$H$200,5,FALSE)</f>
        <v>41312</v>
      </c>
      <c r="F22" s="547">
        <f t="shared" si="2"/>
        <v>0</v>
      </c>
      <c r="G22" s="125">
        <f t="shared" si="0"/>
        <v>0</v>
      </c>
      <c r="H22" s="125">
        <f t="shared" si="3"/>
        <v>0</v>
      </c>
      <c r="I22" s="66"/>
      <c r="J22" s="47"/>
      <c r="K22" s="66"/>
      <c r="N22" s="153"/>
      <c r="Q22" s="153"/>
      <c r="R22" s="153"/>
      <c r="S22" s="141"/>
      <c r="T22" s="141"/>
      <c r="W22" s="153"/>
      <c r="X22" s="153"/>
      <c r="Y22" s="153"/>
      <c r="Z22" s="153"/>
      <c r="AA22" s="141"/>
      <c r="AB22" s="141"/>
      <c r="AC22" s="141"/>
      <c r="AY22" s="153"/>
      <c r="AZ22" s="153"/>
      <c r="BA22" s="153"/>
      <c r="BB22" s="153"/>
      <c r="BC22" s="153"/>
      <c r="BD22" s="153"/>
      <c r="BE22" s="153"/>
      <c r="BF22" s="153"/>
      <c r="BG22" s="153"/>
      <c r="BH22" s="153"/>
      <c r="BI22" s="153"/>
      <c r="BJ22" s="153"/>
      <c r="BK22" s="153"/>
      <c r="BL22" s="153"/>
      <c r="BM22" s="153"/>
      <c r="BN22" s="153"/>
      <c r="BO22" s="153"/>
      <c r="BP22" s="153"/>
      <c r="BQ22" s="153"/>
      <c r="BR22" s="141"/>
      <c r="BS22" s="153"/>
      <c r="BT22" s="153"/>
      <c r="BU22" s="153"/>
      <c r="BV22" s="153"/>
      <c r="BW22" s="153"/>
      <c r="BX22" s="141"/>
      <c r="BY22" s="144">
        <v>-272826.39557000005</v>
      </c>
    </row>
    <row r="23" spans="1:77" ht="15.75" x14ac:dyDescent="0.25">
      <c r="A23" s="13">
        <v>10</v>
      </c>
      <c r="B23" s="145">
        <f t="shared" si="1"/>
        <v>45839</v>
      </c>
      <c r="C23" s="145"/>
      <c r="D23" s="40">
        <f>VLOOKUP($B23,'Sales Volumes'!$A$1:$H$200,4,FALSE)</f>
        <v>664427.80000000005</v>
      </c>
      <c r="E23" s="40">
        <f>VLOOKUP($B23,'Sales Volumes'!$A$1:$H$200,5,FALSE)</f>
        <v>43218.7</v>
      </c>
      <c r="F23" s="547">
        <f t="shared" si="2"/>
        <v>0</v>
      </c>
      <c r="G23" s="125">
        <f t="shared" si="0"/>
        <v>0</v>
      </c>
      <c r="H23" s="125">
        <f t="shared" si="3"/>
        <v>0</v>
      </c>
      <c r="I23" s="66"/>
      <c r="J23" s="47"/>
      <c r="K23" s="66"/>
      <c r="N23" s="153"/>
      <c r="Q23" s="153"/>
      <c r="R23" s="153"/>
      <c r="S23" s="141"/>
      <c r="T23" s="141"/>
      <c r="W23" s="153"/>
      <c r="X23" s="153"/>
      <c r="Y23" s="153"/>
      <c r="Z23" s="153"/>
      <c r="AA23" s="141"/>
      <c r="AB23" s="141"/>
      <c r="AC23" s="141"/>
      <c r="AY23" s="153"/>
      <c r="AZ23" s="153"/>
      <c r="BA23" s="153"/>
      <c r="BB23" s="153"/>
      <c r="BC23" s="153"/>
      <c r="BD23" s="153"/>
      <c r="BE23" s="153"/>
      <c r="BF23" s="153"/>
      <c r="BG23" s="153"/>
      <c r="BH23" s="153"/>
      <c r="BI23" s="153"/>
      <c r="BJ23" s="153"/>
      <c r="BK23" s="153"/>
      <c r="BL23" s="153"/>
      <c r="BM23" s="153"/>
      <c r="BN23" s="153"/>
      <c r="BO23" s="153"/>
      <c r="BP23" s="153"/>
      <c r="BQ23" s="153"/>
      <c r="BR23" s="141"/>
      <c r="BS23" s="153"/>
      <c r="BT23" s="153"/>
      <c r="BU23" s="153"/>
      <c r="BV23" s="153"/>
      <c r="BW23" s="153"/>
      <c r="BX23" s="141"/>
      <c r="BY23" s="144">
        <v>-205104.66959000006</v>
      </c>
    </row>
    <row r="24" spans="1:77" ht="15.75" x14ac:dyDescent="0.25">
      <c r="A24" s="13">
        <v>11</v>
      </c>
      <c r="B24" s="145">
        <f t="shared" si="1"/>
        <v>45870</v>
      </c>
      <c r="C24" s="145"/>
      <c r="D24" s="40">
        <f>VLOOKUP($B24,'Sales Volumes'!$A$1:$H$200,4,FALSE)</f>
        <v>302897.40000000002</v>
      </c>
      <c r="E24" s="40">
        <f>VLOOKUP($B24,'Sales Volumes'!$A$1:$H$200,5,FALSE)</f>
        <v>39764.800000000003</v>
      </c>
      <c r="F24" s="547">
        <f t="shared" si="2"/>
        <v>0</v>
      </c>
      <c r="G24" s="125">
        <f t="shared" si="0"/>
        <v>0</v>
      </c>
      <c r="H24" s="125">
        <f t="shared" si="3"/>
        <v>0</v>
      </c>
      <c r="I24" s="66"/>
      <c r="J24" s="47"/>
      <c r="K24" s="66"/>
      <c r="N24" s="153"/>
      <c r="Q24" s="153"/>
      <c r="R24" s="153"/>
      <c r="S24" s="141"/>
      <c r="T24" s="141"/>
      <c r="W24" s="153"/>
      <c r="X24" s="153"/>
      <c r="Y24" s="153"/>
      <c r="Z24" s="153"/>
      <c r="AA24" s="141"/>
      <c r="AB24" s="141"/>
      <c r="AC24" s="141"/>
      <c r="AY24" s="153"/>
      <c r="AZ24" s="153"/>
      <c r="BA24" s="153"/>
      <c r="BB24" s="153"/>
      <c r="BC24" s="153"/>
      <c r="BD24" s="153"/>
      <c r="BE24" s="153"/>
      <c r="BF24" s="153"/>
      <c r="BG24" s="153"/>
      <c r="BH24" s="153"/>
      <c r="BI24" s="153"/>
      <c r="BJ24" s="153"/>
      <c r="BK24" s="153"/>
      <c r="BL24" s="153"/>
      <c r="BM24" s="153"/>
      <c r="BN24" s="153"/>
      <c r="BO24" s="153"/>
      <c r="BP24" s="153"/>
      <c r="BQ24" s="153"/>
      <c r="BR24" s="141"/>
      <c r="BS24" s="153"/>
      <c r="BT24" s="153"/>
      <c r="BU24" s="153"/>
      <c r="BV24" s="153"/>
      <c r="BW24" s="153"/>
      <c r="BX24" s="141"/>
      <c r="BY24" s="144">
        <v>-140806.26692000008</v>
      </c>
    </row>
    <row r="25" spans="1:77" ht="15.75" x14ac:dyDescent="0.25">
      <c r="A25" s="13">
        <v>12</v>
      </c>
      <c r="B25" s="145">
        <f t="shared" si="1"/>
        <v>45901</v>
      </c>
      <c r="C25" s="145"/>
      <c r="D25" s="40">
        <f>VLOOKUP($B25,'Sales Volumes'!$A$1:$H$200,4,FALSE)</f>
        <v>669053.6</v>
      </c>
      <c r="E25" s="40">
        <f>VLOOKUP($B25,'Sales Volumes'!$A$1:$H$200,5,FALSE)</f>
        <v>44875.5</v>
      </c>
      <c r="F25" s="547">
        <f t="shared" si="2"/>
        <v>0</v>
      </c>
      <c r="G25" s="125">
        <f t="shared" si="0"/>
        <v>0</v>
      </c>
      <c r="H25" s="125">
        <f t="shared" si="3"/>
        <v>0</v>
      </c>
      <c r="I25" s="66"/>
      <c r="J25" s="47"/>
      <c r="K25" s="66"/>
      <c r="N25" s="153"/>
      <c r="Q25" s="153"/>
      <c r="R25" s="153"/>
      <c r="S25" s="141"/>
      <c r="T25" s="141"/>
      <c r="W25" s="153"/>
      <c r="X25" s="153"/>
      <c r="Y25" s="153"/>
      <c r="Z25" s="153"/>
      <c r="AA25" s="141"/>
      <c r="AB25" s="141"/>
      <c r="AC25" s="141"/>
      <c r="AY25" s="153"/>
      <c r="AZ25" s="153"/>
      <c r="BA25" s="153"/>
      <c r="BB25" s="153"/>
      <c r="BC25" s="153"/>
      <c r="BD25" s="153"/>
      <c r="BE25" s="153"/>
      <c r="BF25" s="153"/>
      <c r="BG25" s="153"/>
      <c r="BH25" s="153"/>
      <c r="BI25" s="153"/>
      <c r="BJ25" s="153"/>
      <c r="BK25" s="153"/>
      <c r="BL25" s="153"/>
      <c r="BM25" s="153"/>
      <c r="BN25" s="153"/>
      <c r="BO25" s="153"/>
      <c r="BP25" s="153"/>
      <c r="BQ25" s="153"/>
      <c r="BR25" s="141"/>
      <c r="BS25" s="153"/>
      <c r="BT25" s="153"/>
      <c r="BU25" s="153"/>
      <c r="BV25" s="153"/>
      <c r="BW25" s="153"/>
      <c r="BX25" s="141"/>
      <c r="BY25" s="144">
        <v>-95338.527020000081</v>
      </c>
    </row>
    <row r="26" spans="1:77" ht="15.75" x14ac:dyDescent="0.25">
      <c r="A26" s="13">
        <v>13</v>
      </c>
      <c r="B26" s="145">
        <f t="shared" si="1"/>
        <v>45931</v>
      </c>
      <c r="C26" s="145"/>
      <c r="D26" s="40">
        <f>VLOOKUP($B26,'Sales Volumes'!$A$1:$H$200,4,FALSE)</f>
        <v>796271.7</v>
      </c>
      <c r="E26" s="40">
        <f>VLOOKUP($B26,'Sales Volumes'!$A$1:$H$200,5,FALSE)</f>
        <v>43681.5</v>
      </c>
      <c r="F26" s="547">
        <f t="shared" si="2"/>
        <v>0</v>
      </c>
      <c r="G26" s="125">
        <f t="shared" si="0"/>
        <v>0</v>
      </c>
      <c r="H26" s="125">
        <f t="shared" si="3"/>
        <v>0</v>
      </c>
      <c r="I26" s="66"/>
      <c r="J26" s="47"/>
      <c r="K26" s="66"/>
      <c r="N26" s="153"/>
      <c r="Q26" s="153"/>
      <c r="R26" s="153"/>
      <c r="S26" s="141"/>
      <c r="T26" s="141"/>
      <c r="W26" s="153"/>
      <c r="X26" s="153"/>
      <c r="Y26" s="153"/>
      <c r="Z26" s="153"/>
      <c r="AA26" s="141"/>
      <c r="AB26" s="141"/>
      <c r="AC26" s="141"/>
      <c r="AY26" s="153"/>
      <c r="AZ26" s="153"/>
      <c r="BA26" s="153"/>
      <c r="BB26" s="153"/>
      <c r="BC26" s="153"/>
      <c r="BD26" s="153"/>
      <c r="BE26" s="153"/>
      <c r="BF26" s="153"/>
      <c r="BG26" s="153"/>
      <c r="BH26" s="153"/>
      <c r="BI26" s="153"/>
      <c r="BJ26" s="153"/>
      <c r="BK26" s="153"/>
      <c r="BL26" s="153"/>
      <c r="BM26" s="153"/>
      <c r="BN26" s="153"/>
      <c r="BO26" s="153"/>
      <c r="BP26" s="153"/>
      <c r="BQ26" s="153"/>
      <c r="BR26" s="141"/>
      <c r="BS26" s="153"/>
      <c r="BT26" s="153"/>
      <c r="BU26" s="153"/>
      <c r="BV26" s="153"/>
      <c r="BW26" s="153"/>
      <c r="BX26" s="141"/>
      <c r="BY26" s="144">
        <v>-76782.608450000087</v>
      </c>
    </row>
    <row r="27" spans="1:77" ht="16.149999999999999" customHeight="1" x14ac:dyDescent="0.25">
      <c r="A27" s="13">
        <v>14</v>
      </c>
      <c r="B27" s="145">
        <f t="shared" si="1"/>
        <v>45962</v>
      </c>
      <c r="C27" s="145" t="s">
        <v>362</v>
      </c>
      <c r="D27" s="40">
        <f>VLOOKUP($B27,'Sales Volumes'!$A$1:$H$1000,4,FALSE)</f>
        <v>901066.2</v>
      </c>
      <c r="E27" s="40">
        <f>VLOOKUP($B27,'Sales Volumes'!$A$1:$H$1000,5,FALSE)</f>
        <v>0</v>
      </c>
      <c r="F27" s="547">
        <f t="shared" si="2"/>
        <v>0</v>
      </c>
      <c r="G27" s="125">
        <f t="shared" si="0"/>
        <v>0</v>
      </c>
      <c r="H27" s="125">
        <f t="shared" si="3"/>
        <v>0</v>
      </c>
      <c r="I27" s="66"/>
      <c r="J27" s="47"/>
      <c r="K27" s="66"/>
      <c r="N27" s="153"/>
      <c r="Q27" s="153"/>
      <c r="R27" s="153"/>
      <c r="S27" s="141"/>
      <c r="T27" s="141"/>
      <c r="W27" s="153"/>
      <c r="X27" s="153"/>
      <c r="Y27" s="153"/>
      <c r="Z27" s="153"/>
      <c r="AA27" s="141"/>
      <c r="AB27" s="141"/>
      <c r="AC27" s="141"/>
      <c r="AY27" s="153"/>
      <c r="AZ27" s="153"/>
      <c r="BA27" s="153"/>
      <c r="BB27" s="153"/>
      <c r="BC27" s="153"/>
      <c r="BD27" s="153"/>
      <c r="BE27" s="153"/>
      <c r="BF27" s="153"/>
      <c r="BG27" s="153"/>
      <c r="BH27" s="153"/>
      <c r="BI27" s="153"/>
      <c r="BJ27" s="153"/>
      <c r="BK27" s="153"/>
      <c r="BL27" s="153"/>
      <c r="BM27" s="153"/>
      <c r="BN27" s="153"/>
      <c r="BO27" s="153"/>
      <c r="BP27" s="153"/>
      <c r="BQ27" s="153"/>
      <c r="BR27" s="141"/>
      <c r="BS27" s="153"/>
      <c r="BT27" s="153"/>
      <c r="BU27" s="153"/>
      <c r="BV27" s="153"/>
      <c r="BW27" s="153"/>
      <c r="BX27" s="141"/>
      <c r="BY27" s="144">
        <v>-68418.687050000095</v>
      </c>
    </row>
    <row r="28" spans="1:77" ht="15.75" x14ac:dyDescent="0.25">
      <c r="A28" s="13"/>
      <c r="D28" s="144"/>
      <c r="E28" s="144"/>
      <c r="F28" s="149"/>
      <c r="H28" s="149"/>
      <c r="I28" s="66"/>
      <c r="J28" s="47"/>
      <c r="K28" s="66"/>
      <c r="N28" s="153"/>
      <c r="Q28" s="153"/>
      <c r="R28" s="153"/>
      <c r="S28" s="141"/>
      <c r="T28" s="141"/>
      <c r="W28" s="153"/>
      <c r="X28" s="153"/>
      <c r="Y28" s="153"/>
      <c r="Z28" s="153"/>
      <c r="AA28" s="141"/>
      <c r="AB28" s="141"/>
      <c r="AC28" s="141"/>
      <c r="AY28" s="153"/>
      <c r="AZ28" s="153"/>
      <c r="BA28" s="153"/>
      <c r="BB28" s="153"/>
      <c r="BC28" s="153"/>
      <c r="BD28" s="153"/>
      <c r="BE28" s="153"/>
      <c r="BF28" s="153"/>
      <c r="BG28" s="153"/>
      <c r="BH28" s="153"/>
      <c r="BI28" s="153"/>
      <c r="BJ28" s="153"/>
      <c r="BK28" s="153"/>
      <c r="BL28" s="153"/>
      <c r="BM28" s="153"/>
      <c r="BN28" s="153"/>
      <c r="BO28" s="153"/>
      <c r="BP28" s="153"/>
      <c r="BQ28" s="153"/>
      <c r="BR28" s="141"/>
      <c r="BS28" s="153"/>
      <c r="BT28" s="153"/>
      <c r="BU28" s="153"/>
      <c r="BV28" s="153"/>
      <c r="BW28" s="153"/>
      <c r="BX28" s="141"/>
      <c r="BY28" s="144"/>
    </row>
    <row r="29" spans="1:77" ht="15.75" x14ac:dyDescent="0.25">
      <c r="A29" s="13"/>
      <c r="D29" s="144"/>
      <c r="E29" s="144"/>
      <c r="F29" s="149" t="s">
        <v>360</v>
      </c>
      <c r="G29" s="125">
        <f>SUM(G15:G28)</f>
        <v>0</v>
      </c>
      <c r="H29" s="149"/>
      <c r="I29" s="66"/>
      <c r="J29" s="47"/>
      <c r="K29" s="66"/>
      <c r="N29" s="153"/>
      <c r="Q29" s="153"/>
      <c r="R29" s="153"/>
      <c r="S29" s="141"/>
      <c r="T29" s="141"/>
      <c r="W29" s="153"/>
      <c r="X29" s="153"/>
      <c r="Y29" s="153"/>
      <c r="Z29" s="153"/>
      <c r="AA29" s="141"/>
      <c r="AB29" s="141"/>
      <c r="AC29" s="141"/>
      <c r="AY29" s="153"/>
      <c r="AZ29" s="153"/>
      <c r="BA29" s="153"/>
      <c r="BB29" s="153"/>
      <c r="BC29" s="153"/>
      <c r="BD29" s="153"/>
      <c r="BE29" s="153"/>
      <c r="BF29" s="153"/>
      <c r="BG29" s="153"/>
      <c r="BH29" s="153"/>
      <c r="BI29" s="153"/>
      <c r="BJ29" s="153"/>
      <c r="BK29" s="153"/>
      <c r="BL29" s="153"/>
      <c r="BM29" s="153"/>
      <c r="BN29" s="153"/>
      <c r="BO29" s="153"/>
      <c r="BP29" s="153"/>
      <c r="BQ29" s="153"/>
      <c r="BR29" s="141"/>
      <c r="BS29" s="153"/>
      <c r="BT29" s="153"/>
      <c r="BU29" s="153"/>
      <c r="BV29" s="153"/>
      <c r="BW29" s="153"/>
      <c r="BX29" s="141"/>
      <c r="BY29" s="144"/>
    </row>
    <row r="30" spans="1:77" ht="15.75" x14ac:dyDescent="0.25">
      <c r="A30" s="13"/>
      <c r="D30" s="144"/>
      <c r="E30" s="144"/>
      <c r="F30" s="149"/>
      <c r="G30" s="71"/>
      <c r="H30" s="149"/>
      <c r="I30" s="66"/>
      <c r="J30" s="47"/>
      <c r="K30" s="66"/>
      <c r="N30" s="153"/>
      <c r="Q30" s="153"/>
      <c r="R30" s="153"/>
      <c r="S30" s="141"/>
      <c r="T30" s="141"/>
      <c r="W30" s="153"/>
      <c r="X30" s="153"/>
      <c r="Y30" s="153"/>
      <c r="Z30" s="153"/>
      <c r="AA30" s="141"/>
      <c r="AB30" s="141"/>
      <c r="AC30" s="141"/>
      <c r="AY30" s="153"/>
      <c r="AZ30" s="153"/>
      <c r="BA30" s="153"/>
      <c r="BB30" s="153"/>
      <c r="BC30" s="153"/>
      <c r="BD30" s="153"/>
      <c r="BE30" s="153"/>
      <c r="BF30" s="153"/>
      <c r="BG30" s="153"/>
      <c r="BH30" s="153"/>
      <c r="BI30" s="153"/>
      <c r="BJ30" s="153"/>
      <c r="BK30" s="153"/>
      <c r="BL30" s="153"/>
      <c r="BM30" s="153"/>
      <c r="BN30" s="153"/>
      <c r="BO30" s="153"/>
      <c r="BP30" s="153"/>
      <c r="BQ30" s="153"/>
      <c r="BR30" s="141"/>
      <c r="BS30" s="153"/>
      <c r="BT30" s="153"/>
      <c r="BU30" s="153"/>
      <c r="BV30" s="153"/>
      <c r="BW30" s="153"/>
      <c r="BX30" s="141"/>
      <c r="BY30" s="144"/>
    </row>
    <row r="31" spans="1:77" ht="15.75" x14ac:dyDescent="0.25">
      <c r="A31" s="13">
        <v>15</v>
      </c>
      <c r="D31" s="144"/>
      <c r="E31" s="144"/>
      <c r="F31" s="46" t="s">
        <v>301</v>
      </c>
      <c r="G31" s="125">
        <f>ROUND(H27,0)</f>
        <v>0</v>
      </c>
      <c r="H31" s="149"/>
      <c r="I31" s="66"/>
      <c r="J31" s="47"/>
      <c r="K31" s="66"/>
      <c r="N31" s="153"/>
      <c r="Q31" s="153"/>
      <c r="R31" s="153"/>
      <c r="S31" s="141"/>
      <c r="T31" s="141"/>
      <c r="W31" s="153"/>
      <c r="X31" s="153"/>
      <c r="Y31" s="153"/>
      <c r="Z31" s="153"/>
      <c r="AA31" s="141"/>
      <c r="AB31" s="141"/>
      <c r="AC31" s="141"/>
      <c r="AY31" s="153"/>
      <c r="AZ31" s="153"/>
      <c r="BA31" s="153"/>
      <c r="BB31" s="153"/>
      <c r="BC31" s="153"/>
      <c r="BD31" s="153"/>
      <c r="BE31" s="153"/>
      <c r="BF31" s="153"/>
      <c r="BG31" s="153"/>
      <c r="BH31" s="153"/>
      <c r="BI31" s="153"/>
      <c r="BJ31" s="153"/>
      <c r="BK31" s="153"/>
      <c r="BL31" s="153"/>
      <c r="BM31" s="153"/>
      <c r="BN31" s="153"/>
      <c r="BO31" s="153"/>
      <c r="BP31" s="153"/>
      <c r="BQ31" s="153"/>
      <c r="BR31" s="141"/>
      <c r="BS31" s="153"/>
      <c r="BT31" s="153"/>
      <c r="BU31" s="153"/>
      <c r="BV31" s="153"/>
      <c r="BW31" s="153"/>
      <c r="BX31" s="141"/>
      <c r="BY31" s="144"/>
    </row>
    <row r="32" spans="1:77" ht="15.75" x14ac:dyDescent="0.25">
      <c r="A32" s="13"/>
      <c r="D32" s="144"/>
      <c r="E32" s="144"/>
      <c r="F32" s="149"/>
      <c r="H32" s="149"/>
      <c r="I32" s="66"/>
      <c r="J32" s="47"/>
      <c r="K32" s="66"/>
      <c r="N32" s="153"/>
      <c r="Q32" s="153"/>
      <c r="R32" s="153"/>
      <c r="S32" s="141"/>
      <c r="T32" s="141"/>
      <c r="W32" s="153"/>
      <c r="X32" s="153"/>
      <c r="Y32" s="153"/>
      <c r="Z32" s="153"/>
      <c r="AA32" s="141"/>
      <c r="AB32" s="141"/>
      <c r="AC32" s="141"/>
      <c r="AY32" s="153"/>
      <c r="AZ32" s="153"/>
      <c r="BA32" s="153"/>
      <c r="BB32" s="153"/>
      <c r="BC32" s="153"/>
      <c r="BD32" s="153"/>
      <c r="BE32" s="153"/>
      <c r="BF32" s="153"/>
      <c r="BG32" s="153"/>
      <c r="BH32" s="153"/>
      <c r="BI32" s="153"/>
      <c r="BJ32" s="153"/>
      <c r="BK32" s="153"/>
      <c r="BL32" s="153"/>
      <c r="BM32" s="153"/>
      <c r="BN32" s="153"/>
      <c r="BO32" s="153"/>
      <c r="BP32" s="153"/>
      <c r="BQ32" s="153"/>
      <c r="BR32" s="141"/>
      <c r="BS32" s="153"/>
      <c r="BT32" s="153"/>
      <c r="BU32" s="153"/>
      <c r="BV32" s="153"/>
      <c r="BW32" s="153"/>
      <c r="BX32" s="141"/>
      <c r="BY32" s="144"/>
    </row>
    <row r="33" spans="1:77" ht="15.75" x14ac:dyDescent="0.25">
      <c r="A33" s="13"/>
      <c r="D33" s="557"/>
      <c r="E33" s="557"/>
      <c r="F33" s="558"/>
      <c r="G33" s="149"/>
      <c r="H33" s="144"/>
      <c r="I33" s="66"/>
      <c r="J33" s="47"/>
      <c r="K33" s="66"/>
      <c r="N33" s="153"/>
      <c r="Q33" s="153"/>
      <c r="R33" s="153"/>
      <c r="S33" s="141"/>
      <c r="T33" s="141"/>
      <c r="W33" s="153"/>
      <c r="X33" s="153"/>
      <c r="Y33" s="153"/>
      <c r="Z33" s="153"/>
      <c r="AA33" s="141"/>
      <c r="AB33" s="141"/>
      <c r="AC33" s="141"/>
      <c r="AY33" s="153"/>
      <c r="AZ33" s="153"/>
      <c r="BA33" s="153"/>
      <c r="BB33" s="153"/>
      <c r="BC33" s="153"/>
      <c r="BD33" s="153"/>
      <c r="BE33" s="153"/>
      <c r="BF33" s="153"/>
      <c r="BG33" s="153"/>
      <c r="BH33" s="153"/>
      <c r="BI33" s="153"/>
      <c r="BJ33" s="153"/>
      <c r="BK33" s="153"/>
      <c r="BL33" s="153"/>
      <c r="BM33" s="153"/>
      <c r="BN33" s="153"/>
      <c r="BO33" s="153"/>
      <c r="BP33" s="153"/>
      <c r="BQ33" s="153"/>
      <c r="BR33" s="141"/>
      <c r="BS33" s="153"/>
      <c r="BT33" s="153"/>
      <c r="BU33" s="153"/>
      <c r="BV33" s="153"/>
      <c r="BW33" s="153"/>
      <c r="BX33" s="141"/>
      <c r="BY33" s="144"/>
    </row>
    <row r="34" spans="1:77" ht="15.75" x14ac:dyDescent="0.25">
      <c r="D34" s="557"/>
      <c r="E34" s="557"/>
      <c r="H34" s="3"/>
      <c r="I34" s="66"/>
      <c r="J34" s="66"/>
      <c r="K34" s="66"/>
      <c r="L34" s="66"/>
      <c r="M34" s="66"/>
      <c r="N34" s="66"/>
      <c r="O34" s="66"/>
      <c r="BR34" s="6"/>
    </row>
    <row r="35" spans="1:77" ht="17.25" customHeight="1" x14ac:dyDescent="0.35">
      <c r="I35" s="66"/>
      <c r="J35" s="47"/>
      <c r="K35" s="66"/>
      <c r="N35" s="153"/>
      <c r="Q35" s="153"/>
      <c r="R35" s="153"/>
      <c r="S35" s="141"/>
      <c r="T35" s="141"/>
      <c r="W35" s="153"/>
      <c r="X35" s="153"/>
      <c r="Y35" s="153"/>
      <c r="Z35" s="153"/>
      <c r="AA35" s="141"/>
      <c r="AB35" s="141"/>
      <c r="AC35" s="141"/>
      <c r="AY35" s="153"/>
      <c r="AZ35" s="153"/>
      <c r="BA35" s="153"/>
      <c r="BB35" s="153"/>
      <c r="BC35" s="153"/>
      <c r="BD35" s="153"/>
      <c r="BE35" s="153"/>
      <c r="BF35" s="153"/>
      <c r="BG35" s="153"/>
      <c r="BH35" s="153"/>
      <c r="BI35" s="153"/>
      <c r="BJ35" s="153"/>
      <c r="BK35" s="153"/>
      <c r="BL35" s="153"/>
      <c r="BM35" s="153"/>
      <c r="BN35" s="153"/>
      <c r="BO35" s="153"/>
      <c r="BP35" s="153"/>
      <c r="BQ35" s="153"/>
      <c r="BR35" s="141"/>
      <c r="BS35" s="153"/>
      <c r="BT35" s="153"/>
      <c r="BU35" s="153"/>
      <c r="BV35" s="153"/>
      <c r="BW35" s="153"/>
      <c r="BX35" s="141"/>
      <c r="BY35" s="144">
        <v>-68418.687050000095</v>
      </c>
    </row>
    <row r="43" spans="1:77" ht="22.5" x14ac:dyDescent="0.3">
      <c r="H43" s="154"/>
    </row>
  </sheetData>
  <mergeCells count="3">
    <mergeCell ref="B2:H2"/>
    <mergeCell ref="B3:H3"/>
    <mergeCell ref="B4:H4"/>
  </mergeCells>
  <pageMargins left="0.7" right="0.7" top="0.75" bottom="0.75" header="0.3" footer="0.3"/>
  <pageSetup scale="69" orientation="portrait" r:id="rId1"/>
  <headerFooter>
    <oddHeader>&amp;R&amp;"Times New Roman,Bold"Exhibit D-1
Page 2 of 2</oddHead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74092-517E-452D-A90A-41B801F0D4D4}">
  <sheetPr codeName="Sheet38">
    <tabColor rgb="FF00B050"/>
    <pageSetUpPr fitToPage="1"/>
  </sheetPr>
  <dimension ref="B1:I18"/>
  <sheetViews>
    <sheetView zoomScaleNormal="100" workbookViewId="0"/>
  </sheetViews>
  <sheetFormatPr defaultColWidth="8.77734375" defaultRowHeight="15.75" x14ac:dyDescent="0.25"/>
  <cols>
    <col min="1" max="1" width="1.109375" style="3" customWidth="1"/>
    <col min="2" max="4" width="8.77734375" style="3"/>
    <col min="5" max="5" width="9.77734375" style="3" bestFit="1" customWidth="1"/>
    <col min="6" max="7" width="8.77734375" style="3"/>
    <col min="8" max="8" width="9.77734375" style="3" bestFit="1" customWidth="1"/>
    <col min="9" max="9" width="9.5546875" style="3" customWidth="1"/>
    <col min="10" max="10" width="1.109375" style="3" customWidth="1"/>
    <col min="11" max="16384" width="8.77734375" style="3"/>
  </cols>
  <sheetData>
    <row r="1" spans="2:9" x14ac:dyDescent="0.25">
      <c r="B1" s="639" t="s">
        <v>5</v>
      </c>
      <c r="C1" s="639"/>
      <c r="D1" s="639"/>
      <c r="E1" s="639"/>
      <c r="F1" s="639"/>
      <c r="G1" s="639"/>
      <c r="H1" s="639"/>
      <c r="I1" s="639"/>
    </row>
    <row r="2" spans="2:9" x14ac:dyDescent="0.25">
      <c r="B2" s="15"/>
      <c r="C2" s="15"/>
      <c r="D2" s="15"/>
      <c r="E2" s="15"/>
      <c r="F2" s="15"/>
      <c r="G2" s="15"/>
      <c r="H2" s="15"/>
      <c r="I2" s="15"/>
    </row>
    <row r="3" spans="2:9" x14ac:dyDescent="0.25">
      <c r="B3" s="639" t="str">
        <f>'Exhibit F Write-Up'!B3:N3</f>
        <v>Gas Supply Clause: 2025-00400</v>
      </c>
      <c r="C3" s="639"/>
      <c r="D3" s="639"/>
      <c r="E3" s="639"/>
      <c r="F3" s="639"/>
      <c r="G3" s="639"/>
      <c r="H3" s="639"/>
      <c r="I3" s="639"/>
    </row>
    <row r="4" spans="2:9" x14ac:dyDescent="0.25">
      <c r="B4" s="639" t="s">
        <v>627</v>
      </c>
      <c r="C4" s="639"/>
      <c r="D4" s="639"/>
      <c r="E4" s="639"/>
      <c r="F4" s="639"/>
      <c r="G4" s="639"/>
      <c r="H4" s="639"/>
      <c r="I4" s="639"/>
    </row>
    <row r="6" spans="2:9" ht="78.75" customHeight="1" x14ac:dyDescent="0.25">
      <c r="B6" s="684" t="s">
        <v>865</v>
      </c>
      <c r="C6" s="684"/>
      <c r="D6" s="684"/>
      <c r="E6" s="684"/>
      <c r="F6" s="684"/>
      <c r="G6" s="684"/>
      <c r="H6" s="684"/>
      <c r="I6" s="684"/>
    </row>
    <row r="7" spans="2:9" ht="15.6" customHeight="1" x14ac:dyDescent="0.25">
      <c r="B7" s="487"/>
      <c r="C7" s="487"/>
      <c r="D7" s="487"/>
      <c r="E7" s="487"/>
      <c r="F7" s="487"/>
      <c r="G7" s="487"/>
      <c r="H7" s="487"/>
      <c r="I7" s="487"/>
    </row>
    <row r="8" spans="2:9" ht="47.25" customHeight="1" x14ac:dyDescent="0.25">
      <c r="B8" s="684" t="s">
        <v>866</v>
      </c>
      <c r="C8" s="684"/>
      <c r="D8" s="684"/>
      <c r="E8" s="684"/>
      <c r="F8" s="684"/>
      <c r="G8" s="684"/>
      <c r="H8" s="684"/>
      <c r="I8" s="684"/>
    </row>
    <row r="9" spans="2:9" x14ac:dyDescent="0.25">
      <c r="B9"/>
      <c r="C9"/>
      <c r="D9"/>
      <c r="E9"/>
      <c r="F9"/>
      <c r="G9"/>
      <c r="H9"/>
      <c r="I9"/>
    </row>
    <row r="10" spans="2:9" x14ac:dyDescent="0.25">
      <c r="B10"/>
      <c r="C10"/>
      <c r="D10"/>
      <c r="E10"/>
      <c r="F10"/>
      <c r="G10"/>
      <c r="H10"/>
      <c r="I10"/>
    </row>
    <row r="11" spans="2:9" x14ac:dyDescent="0.25">
      <c r="B11"/>
      <c r="C11"/>
      <c r="D11"/>
      <c r="E11"/>
      <c r="F11"/>
      <c r="G11"/>
      <c r="H11"/>
      <c r="I11"/>
    </row>
    <row r="12" spans="2:9" x14ac:dyDescent="0.25">
      <c r="B12"/>
      <c r="C12"/>
      <c r="D12"/>
      <c r="E12"/>
      <c r="F12"/>
      <c r="G12"/>
      <c r="H12"/>
      <c r="I12"/>
    </row>
    <row r="13" spans="2:9" x14ac:dyDescent="0.25">
      <c r="B13"/>
      <c r="C13"/>
      <c r="D13"/>
      <c r="E13"/>
      <c r="F13"/>
      <c r="G13"/>
      <c r="H13"/>
      <c r="I13"/>
    </row>
    <row r="14" spans="2:9" x14ac:dyDescent="0.25">
      <c r="B14"/>
      <c r="C14"/>
      <c r="D14"/>
      <c r="E14"/>
      <c r="F14"/>
      <c r="G14"/>
      <c r="H14"/>
      <c r="I14"/>
    </row>
    <row r="15" spans="2:9" x14ac:dyDescent="0.25">
      <c r="B15"/>
      <c r="C15"/>
      <c r="D15"/>
      <c r="E15"/>
      <c r="F15"/>
      <c r="G15"/>
      <c r="H15"/>
      <c r="I15"/>
    </row>
    <row r="16" spans="2:9" x14ac:dyDescent="0.25">
      <c r="B16"/>
      <c r="C16"/>
      <c r="D16"/>
      <c r="E16"/>
      <c r="F16"/>
      <c r="G16"/>
      <c r="H16"/>
      <c r="I16"/>
    </row>
    <row r="17" spans="2:9" ht="15.75" customHeight="1" x14ac:dyDescent="0.25">
      <c r="B17"/>
      <c r="C17"/>
      <c r="D17"/>
      <c r="E17"/>
      <c r="F17"/>
      <c r="G17"/>
      <c r="H17"/>
      <c r="I17"/>
    </row>
    <row r="18" spans="2:9" x14ac:dyDescent="0.25">
      <c r="B18"/>
      <c r="C18"/>
      <c r="D18"/>
      <c r="E18"/>
      <c r="F18"/>
      <c r="G18"/>
      <c r="H18"/>
      <c r="I18"/>
    </row>
  </sheetData>
  <mergeCells count="5">
    <mergeCell ref="B1:I1"/>
    <mergeCell ref="B3:I3"/>
    <mergeCell ref="B4:I4"/>
    <mergeCell ref="B6:I6"/>
    <mergeCell ref="B8:I8"/>
  </mergeCells>
  <pageMargins left="0.7" right="0.7" top="0.75" bottom="0.75" header="0.3" footer="0.3"/>
  <pageSetup orientation="portrait" r:id="rId1"/>
  <headerFooter>
    <oddHeader>&amp;R&amp;"Times New Roman,Bold"Exhibit E</oddHead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4">
    <tabColor theme="3" tint="0.59999389629810485"/>
    <pageSetUpPr fitToPage="1"/>
  </sheetPr>
  <dimension ref="A1:Y51"/>
  <sheetViews>
    <sheetView zoomScale="80" zoomScaleNormal="80" workbookViewId="0"/>
  </sheetViews>
  <sheetFormatPr defaultColWidth="7.109375" defaultRowHeight="12.75" x14ac:dyDescent="0.2"/>
  <cols>
    <col min="1" max="1" width="7.109375" style="32"/>
    <col min="2" max="2" width="26.33203125" style="32" customWidth="1"/>
    <col min="3" max="3" width="14.88671875" style="32" customWidth="1"/>
    <col min="4" max="4" width="16" style="32" customWidth="1"/>
    <col min="5" max="5" width="14.109375" style="32" customWidth="1"/>
    <col min="6" max="6" width="16.21875" style="32" customWidth="1"/>
    <col min="7" max="7" width="12.44140625" style="32" customWidth="1"/>
    <col min="8" max="8" width="17.6640625" style="32" customWidth="1"/>
    <col min="9" max="9" width="11.33203125" style="32" customWidth="1"/>
    <col min="10" max="10" width="13.109375" style="32" customWidth="1"/>
    <col min="11" max="11" width="12.88671875" style="32" customWidth="1"/>
    <col min="12" max="12" width="14.109375" style="32" customWidth="1"/>
    <col min="13" max="13" width="14.6640625" style="32" customWidth="1"/>
    <col min="14" max="14" width="12.33203125" style="32" customWidth="1"/>
    <col min="15" max="15" width="21.21875" style="32" customWidth="1"/>
    <col min="16" max="16" width="22.33203125" style="32" customWidth="1"/>
    <col min="17" max="17" width="13.33203125" style="32" customWidth="1"/>
    <col min="18" max="18" width="8.5546875" style="32" customWidth="1"/>
    <col min="19" max="19" width="13.77734375" style="32" customWidth="1"/>
    <col min="20" max="20" width="31.6640625" style="32" customWidth="1"/>
    <col min="21" max="21" width="7.109375" style="32" customWidth="1"/>
    <col min="22" max="22" width="14.5546875" style="32" customWidth="1"/>
    <col min="23" max="23" width="9.88671875" style="32" customWidth="1"/>
    <col min="24" max="16384" width="7.109375" style="32"/>
  </cols>
  <sheetData>
    <row r="1" spans="1:12" ht="15.75" x14ac:dyDescent="0.25">
      <c r="B1" s="30"/>
      <c r="C1" s="30"/>
      <c r="D1" s="30"/>
      <c r="E1" s="30"/>
      <c r="F1" s="30"/>
      <c r="G1" s="31"/>
      <c r="H1" s="31"/>
      <c r="I1" s="31"/>
      <c r="J1" s="31"/>
    </row>
    <row r="2" spans="1:12" ht="18.75" x14ac:dyDescent="0.3">
      <c r="B2" s="685" t="s">
        <v>5</v>
      </c>
      <c r="C2" s="685"/>
      <c r="D2" s="685"/>
      <c r="E2" s="685"/>
      <c r="F2" s="3"/>
      <c r="G2" s="3"/>
      <c r="H2" s="3"/>
      <c r="I2" s="3"/>
      <c r="J2" s="3"/>
      <c r="K2" s="3"/>
      <c r="L2" s="3"/>
    </row>
    <row r="3" spans="1:12" ht="15.75" x14ac:dyDescent="0.25">
      <c r="B3" s="3"/>
      <c r="C3" s="3"/>
      <c r="D3" s="3"/>
      <c r="E3" s="3"/>
      <c r="F3" s="3"/>
      <c r="G3" s="3"/>
      <c r="H3" s="3"/>
      <c r="I3" s="3"/>
      <c r="J3" s="3"/>
      <c r="K3" s="3"/>
      <c r="L3" s="3"/>
    </row>
    <row r="4" spans="1:12" ht="18.75" x14ac:dyDescent="0.3">
      <c r="B4" s="623" t="str">
        <f>CONCATENATE("Effective"," ", 'Input Data'!$D$10," ", "with Gas Supply Clause Case No."," ", 'Input Data'!C14)</f>
        <v>Effective February 1, 2026 with Gas Supply Clause Case No. 2025-00400</v>
      </c>
      <c r="C4" s="623"/>
      <c r="D4" s="623"/>
      <c r="E4" s="623"/>
      <c r="F4" s="3"/>
      <c r="G4" s="3"/>
      <c r="H4" s="3"/>
      <c r="I4" s="3"/>
      <c r="J4" s="3"/>
      <c r="K4" s="3"/>
      <c r="L4" s="3"/>
    </row>
    <row r="5" spans="1:12" ht="18.75" x14ac:dyDescent="0.3">
      <c r="B5" s="623" t="s">
        <v>123</v>
      </c>
      <c r="C5" s="623"/>
      <c r="D5" s="623"/>
      <c r="E5" s="623"/>
      <c r="F5" s="3"/>
      <c r="G5" s="3"/>
      <c r="H5" s="3"/>
      <c r="I5" s="3"/>
      <c r="J5" s="3"/>
      <c r="K5" s="3"/>
      <c r="L5" s="3"/>
    </row>
    <row r="6" spans="1:12" ht="15.75" customHeight="1" x14ac:dyDescent="0.3">
      <c r="B6" s="623"/>
      <c r="C6" s="623"/>
      <c r="D6" s="623"/>
      <c r="E6" s="623"/>
      <c r="F6" s="3"/>
      <c r="G6" s="461"/>
      <c r="H6" s="3"/>
      <c r="I6" s="3"/>
      <c r="J6" s="3"/>
      <c r="K6" s="3"/>
      <c r="L6" s="3"/>
    </row>
    <row r="7" spans="1:12" ht="18.75" x14ac:dyDescent="0.3">
      <c r="B7" s="623" t="s">
        <v>124</v>
      </c>
      <c r="C7" s="623"/>
      <c r="D7" s="623"/>
      <c r="E7" s="623"/>
      <c r="F7" s="3"/>
      <c r="G7" s="3"/>
      <c r="H7" s="3"/>
      <c r="I7" s="3"/>
      <c r="J7" s="3"/>
      <c r="K7" s="3"/>
      <c r="L7" s="3"/>
    </row>
    <row r="8" spans="1:12" ht="18.75" x14ac:dyDescent="0.3">
      <c r="B8" s="623" t="s">
        <v>558</v>
      </c>
      <c r="C8" s="623"/>
      <c r="D8" s="623"/>
      <c r="E8" s="623"/>
      <c r="F8" s="3"/>
      <c r="G8" s="3"/>
      <c r="H8" s="3"/>
      <c r="I8" s="3"/>
      <c r="J8" s="3"/>
      <c r="K8" s="3"/>
      <c r="L8" s="3"/>
    </row>
    <row r="9" spans="1:12" ht="15.75" x14ac:dyDescent="0.25">
      <c r="B9" s="3"/>
      <c r="C9" s="3"/>
      <c r="D9" s="3"/>
      <c r="E9" s="3"/>
      <c r="F9" s="3"/>
      <c r="G9" s="3"/>
      <c r="H9" s="3"/>
      <c r="I9" s="3"/>
      <c r="J9" s="3"/>
      <c r="K9" s="3"/>
      <c r="L9" s="3"/>
    </row>
    <row r="10" spans="1:12" ht="15.75" x14ac:dyDescent="0.25">
      <c r="B10" s="3"/>
      <c r="C10" s="3"/>
      <c r="D10" s="3"/>
      <c r="E10" s="3"/>
      <c r="F10" s="3"/>
      <c r="G10" s="3"/>
      <c r="H10" s="3"/>
      <c r="I10" s="3"/>
      <c r="J10" s="3"/>
      <c r="K10" s="3"/>
      <c r="L10" s="3"/>
    </row>
    <row r="11" spans="1:12" ht="15.75" x14ac:dyDescent="0.25">
      <c r="A11" s="73" t="s">
        <v>245</v>
      </c>
      <c r="B11" s="3"/>
      <c r="C11" s="97" t="s">
        <v>118</v>
      </c>
      <c r="D11" s="97" t="s">
        <v>73</v>
      </c>
      <c r="E11" s="97" t="s">
        <v>30</v>
      </c>
      <c r="G11" s="3"/>
      <c r="H11" s="3"/>
      <c r="I11" s="3"/>
      <c r="J11" s="3"/>
      <c r="K11" s="3"/>
      <c r="L11" s="3"/>
    </row>
    <row r="12" spans="1:12" ht="15.75" x14ac:dyDescent="0.25">
      <c r="B12" s="3"/>
      <c r="C12" s="3"/>
      <c r="D12" s="3"/>
      <c r="E12" s="3"/>
      <c r="G12" s="3"/>
      <c r="H12" s="3"/>
      <c r="I12" s="3"/>
      <c r="J12" s="3"/>
      <c r="K12" s="3"/>
      <c r="L12" s="3"/>
    </row>
    <row r="13" spans="1:12" ht="15.75" x14ac:dyDescent="0.25">
      <c r="A13" s="225">
        <v>1</v>
      </c>
      <c r="B13" s="46" t="s">
        <v>125</v>
      </c>
      <c r="C13" s="551">
        <f>'Input Data'!D174</f>
        <v>0</v>
      </c>
      <c r="D13" s="551">
        <f>'Input Data'!D175</f>
        <v>0</v>
      </c>
      <c r="E13" s="551">
        <f>C13+D13</f>
        <v>0</v>
      </c>
      <c r="G13" s="3"/>
      <c r="H13" s="3"/>
      <c r="I13" s="3"/>
      <c r="J13" s="3"/>
      <c r="K13" s="3"/>
      <c r="L13" s="3"/>
    </row>
    <row r="14" spans="1:12" ht="15.75" x14ac:dyDescent="0.25">
      <c r="A14" s="225"/>
      <c r="B14" s="46" t="s">
        <v>257</v>
      </c>
      <c r="D14" s="3"/>
      <c r="E14" s="3"/>
      <c r="F14" s="3"/>
      <c r="G14" s="3"/>
      <c r="H14" s="3"/>
      <c r="I14" s="3"/>
      <c r="J14" s="3"/>
      <c r="K14" s="3"/>
      <c r="L14" s="3"/>
    </row>
    <row r="15" spans="1:12" ht="15.75" x14ac:dyDescent="0.25">
      <c r="A15" s="225"/>
      <c r="B15" s="46" t="s">
        <v>126</v>
      </c>
      <c r="D15" s="3"/>
      <c r="E15" s="3"/>
      <c r="F15" s="3"/>
      <c r="G15" s="3"/>
      <c r="H15" s="3"/>
      <c r="I15" s="3"/>
      <c r="J15" s="3"/>
      <c r="K15" s="3"/>
      <c r="L15" s="3"/>
    </row>
    <row r="16" spans="1:12" ht="15.75" x14ac:dyDescent="0.25">
      <c r="A16" s="225"/>
      <c r="B16" s="3"/>
      <c r="C16" s="46"/>
      <c r="D16" s="3"/>
      <c r="E16" s="3"/>
      <c r="F16" s="3"/>
      <c r="G16" s="3"/>
      <c r="H16" s="3"/>
      <c r="I16" s="3"/>
      <c r="J16" s="3"/>
      <c r="K16" s="3"/>
      <c r="L16" s="3"/>
    </row>
    <row r="17" spans="1:25" ht="15.75" customHeight="1" x14ac:dyDescent="0.3">
      <c r="A17" s="225">
        <v>2</v>
      </c>
      <c r="B17" s="31" t="s">
        <v>119</v>
      </c>
      <c r="C17" s="552">
        <f>'Input Data'!E195</f>
        <v>0</v>
      </c>
      <c r="D17" s="552">
        <f>'Input Data'!E195+'Input Data'!F195</f>
        <v>0</v>
      </c>
      <c r="E17" s="3"/>
      <c r="F17" s="3"/>
      <c r="G17" s="461"/>
      <c r="H17" s="3"/>
      <c r="I17" s="3"/>
      <c r="J17" s="3"/>
      <c r="K17" s="3"/>
      <c r="L17" s="3"/>
    </row>
    <row r="18" spans="1:25" ht="15.75" x14ac:dyDescent="0.25">
      <c r="A18" s="225"/>
      <c r="B18" s="553" t="s">
        <v>120</v>
      </c>
      <c r="E18" s="3"/>
      <c r="F18" s="3"/>
      <c r="G18" s="3"/>
      <c r="H18" s="3"/>
      <c r="I18" s="3"/>
      <c r="J18" s="3"/>
      <c r="K18" s="3"/>
      <c r="L18" s="3"/>
    </row>
    <row r="19" spans="1:25" ht="15.75" x14ac:dyDescent="0.25">
      <c r="A19" s="225"/>
      <c r="B19" s="554">
        <f>'Input Data'!C10</f>
        <v>46054</v>
      </c>
      <c r="C19" s="225"/>
      <c r="D19" s="225"/>
      <c r="E19" s="3"/>
      <c r="F19" s="3"/>
      <c r="G19" s="30"/>
      <c r="H19" s="30"/>
      <c r="I19" s="30"/>
      <c r="J19" s="30"/>
    </row>
    <row r="20" spans="1:25" ht="15.75" x14ac:dyDescent="0.25">
      <c r="A20" s="225"/>
      <c r="B20" s="31"/>
      <c r="C20" s="225"/>
      <c r="D20" s="225"/>
      <c r="E20" s="3"/>
      <c r="F20" s="3"/>
      <c r="G20" s="30"/>
      <c r="H20" s="30"/>
      <c r="I20" s="30"/>
      <c r="J20" s="30"/>
    </row>
    <row r="21" spans="1:25" ht="15.75" x14ac:dyDescent="0.25">
      <c r="A21" s="225">
        <v>3</v>
      </c>
      <c r="B21" s="31" t="s">
        <v>121</v>
      </c>
      <c r="C21" s="555">
        <f>IFERROR(ROUND(C13/C17,4),0)</f>
        <v>0</v>
      </c>
      <c r="D21" s="555">
        <f>IFERROR(ROUND(D13/D17,4),0)</f>
        <v>0</v>
      </c>
      <c r="E21" s="555">
        <f>SUM(C21:D21)</f>
        <v>0</v>
      </c>
      <c r="F21" s="3"/>
      <c r="G21" s="30"/>
      <c r="H21" s="30"/>
      <c r="I21" s="30"/>
      <c r="J21" s="30"/>
    </row>
    <row r="22" spans="1:25" ht="15.75" x14ac:dyDescent="0.25">
      <c r="A22" s="225"/>
      <c r="B22" s="3"/>
      <c r="C22" s="3"/>
      <c r="D22" s="3"/>
      <c r="E22" s="555"/>
      <c r="F22" s="3"/>
      <c r="G22" s="30"/>
      <c r="H22" s="30"/>
      <c r="I22" s="30"/>
      <c r="J22" s="30"/>
    </row>
    <row r="23" spans="1:25" ht="15.75" x14ac:dyDescent="0.25">
      <c r="A23" s="225">
        <v>4</v>
      </c>
      <c r="B23" s="31" t="s">
        <v>122</v>
      </c>
      <c r="C23" s="556">
        <f>C21*0.1</f>
        <v>0</v>
      </c>
      <c r="D23" s="556">
        <f>D21*0.1</f>
        <v>0</v>
      </c>
      <c r="E23" s="556">
        <f>SUM(C23:D23)</f>
        <v>0</v>
      </c>
      <c r="F23" s="3"/>
      <c r="G23" s="30"/>
      <c r="H23" s="30"/>
      <c r="I23" s="30"/>
      <c r="J23" s="30"/>
    </row>
    <row r="24" spans="1:25" ht="15.75" x14ac:dyDescent="0.25">
      <c r="A24" s="225"/>
      <c r="E24" s="3"/>
      <c r="F24" s="3"/>
      <c r="G24" s="30"/>
      <c r="H24" s="30"/>
      <c r="I24" s="30"/>
      <c r="J24" s="30"/>
    </row>
    <row r="25" spans="1:25" ht="15.75" x14ac:dyDescent="0.25">
      <c r="E25" s="3"/>
      <c r="F25" s="3"/>
      <c r="G25" s="30"/>
      <c r="H25" s="30"/>
      <c r="I25" s="30"/>
      <c r="J25" s="30"/>
    </row>
    <row r="26" spans="1:25" ht="15.75" x14ac:dyDescent="0.25">
      <c r="E26" s="3"/>
      <c r="F26" s="3"/>
      <c r="G26" s="30"/>
      <c r="H26" s="30"/>
      <c r="I26" s="30"/>
      <c r="J26" s="30"/>
    </row>
    <row r="27" spans="1:25" ht="15.75" x14ac:dyDescent="0.25">
      <c r="G27" s="30"/>
      <c r="H27" s="30"/>
      <c r="I27" s="30"/>
      <c r="J27" s="30"/>
    </row>
    <row r="28" spans="1:25" ht="15.75" x14ac:dyDescent="0.25">
      <c r="G28" s="30"/>
      <c r="H28" s="30"/>
      <c r="I28" s="30"/>
      <c r="J28" s="30"/>
      <c r="X28" s="191"/>
      <c r="Y28" s="191"/>
    </row>
    <row r="29" spans="1:25" ht="84" customHeight="1" x14ac:dyDescent="0.25">
      <c r="B29"/>
      <c r="C29"/>
      <c r="D29"/>
      <c r="E29"/>
      <c r="F29"/>
      <c r="G29"/>
      <c r="H29"/>
      <c r="J29" s="30"/>
      <c r="X29" s="462"/>
      <c r="Y29" s="191"/>
    </row>
    <row r="30" spans="1:25" ht="15.75" x14ac:dyDescent="0.25">
      <c r="B30"/>
      <c r="C30"/>
      <c r="D30"/>
      <c r="E30"/>
      <c r="F30"/>
      <c r="G30"/>
      <c r="H30"/>
      <c r="I30" s="3"/>
      <c r="J30" s="30"/>
      <c r="V30" s="33"/>
      <c r="X30" s="463"/>
      <c r="Y30" s="192"/>
    </row>
    <row r="31" spans="1:25" ht="15.75" x14ac:dyDescent="0.25">
      <c r="B31"/>
      <c r="C31"/>
      <c r="D31"/>
      <c r="E31"/>
      <c r="F31"/>
      <c r="G31"/>
      <c r="H31"/>
      <c r="I31" s="3"/>
      <c r="J31" s="30"/>
      <c r="K31" s="30"/>
      <c r="V31" s="33"/>
      <c r="X31" s="463"/>
      <c r="Y31" s="192"/>
    </row>
    <row r="32" spans="1:25" ht="15.75" x14ac:dyDescent="0.25">
      <c r="B32"/>
      <c r="C32"/>
      <c r="D32"/>
      <c r="E32"/>
      <c r="F32"/>
      <c r="G32"/>
      <c r="H32"/>
      <c r="I32" s="3"/>
      <c r="J32" s="30"/>
      <c r="K32" s="30"/>
      <c r="V32" s="33"/>
      <c r="X32" s="463"/>
      <c r="Y32" s="192"/>
    </row>
    <row r="33" spans="2:23" ht="15.75" x14ac:dyDescent="0.25">
      <c r="B33"/>
      <c r="C33"/>
      <c r="D33"/>
      <c r="E33"/>
      <c r="F33"/>
      <c r="G33"/>
      <c r="H33"/>
      <c r="I33" s="225"/>
      <c r="J33" s="225"/>
      <c r="K33" s="225"/>
      <c r="L33" s="225"/>
      <c r="M33" s="225"/>
      <c r="N33" s="225"/>
      <c r="T33" s="33"/>
      <c r="V33" s="463"/>
      <c r="W33" s="192"/>
    </row>
    <row r="34" spans="2:23" ht="15.75" x14ac:dyDescent="0.25">
      <c r="B34"/>
      <c r="C34"/>
      <c r="D34"/>
      <c r="E34"/>
      <c r="F34"/>
      <c r="G34"/>
      <c r="H34"/>
      <c r="I34" s="107"/>
      <c r="J34" s="107"/>
      <c r="K34" s="107"/>
      <c r="L34" s="33"/>
      <c r="M34" s="107"/>
      <c r="N34" s="33"/>
      <c r="T34" s="33"/>
      <c r="V34" s="463"/>
      <c r="W34" s="192"/>
    </row>
    <row r="35" spans="2:23" ht="15.75" x14ac:dyDescent="0.25">
      <c r="B35"/>
      <c r="C35"/>
      <c r="D35"/>
      <c r="E35"/>
      <c r="F35"/>
      <c r="G35"/>
      <c r="H35"/>
      <c r="I35" s="107"/>
      <c r="J35" s="107"/>
      <c r="K35" s="107"/>
      <c r="L35" s="33"/>
      <c r="M35" s="107"/>
      <c r="N35" s="33"/>
      <c r="T35" s="33"/>
      <c r="V35" s="463"/>
      <c r="W35" s="192"/>
    </row>
    <row r="36" spans="2:23" ht="15.75" x14ac:dyDescent="0.25">
      <c r="B36"/>
      <c r="C36"/>
      <c r="D36"/>
      <c r="E36"/>
      <c r="F36"/>
      <c r="G36"/>
      <c r="H36"/>
      <c r="I36" s="107"/>
      <c r="J36" s="107"/>
      <c r="K36" s="107"/>
      <c r="L36" s="33"/>
      <c r="M36" s="107"/>
      <c r="N36" s="33"/>
      <c r="T36" s="33"/>
      <c r="V36" s="463"/>
      <c r="W36" s="192"/>
    </row>
    <row r="37" spans="2:23" ht="15.75" x14ac:dyDescent="0.25">
      <c r="B37"/>
      <c r="C37"/>
      <c r="D37"/>
      <c r="E37"/>
      <c r="F37"/>
      <c r="G37"/>
      <c r="H37"/>
      <c r="I37" s="107"/>
      <c r="J37" s="107"/>
      <c r="K37" s="107"/>
      <c r="L37" s="33"/>
      <c r="M37" s="107"/>
      <c r="N37" s="33"/>
      <c r="T37" s="33"/>
      <c r="V37" s="463"/>
      <c r="W37" s="192"/>
    </row>
    <row r="38" spans="2:23" ht="15.75" x14ac:dyDescent="0.25">
      <c r="B38"/>
      <c r="C38"/>
      <c r="D38"/>
      <c r="E38"/>
      <c r="F38"/>
      <c r="G38"/>
      <c r="H38"/>
      <c r="I38" s="107"/>
      <c r="J38" s="107"/>
      <c r="K38" s="107"/>
      <c r="L38" s="33"/>
      <c r="M38" s="107"/>
      <c r="N38" s="33"/>
      <c r="T38" s="33"/>
      <c r="V38" s="463"/>
      <c r="W38" s="192"/>
    </row>
    <row r="39" spans="2:23" ht="15.75" x14ac:dyDescent="0.25">
      <c r="B39"/>
      <c r="C39"/>
      <c r="D39"/>
      <c r="E39"/>
      <c r="F39"/>
      <c r="G39"/>
      <c r="H39"/>
      <c r="I39" s="107"/>
      <c r="J39" s="107"/>
      <c r="K39" s="107"/>
      <c r="L39" s="33"/>
      <c r="M39" s="107"/>
      <c r="N39" s="33"/>
      <c r="T39" s="33"/>
      <c r="V39" s="463"/>
      <c r="W39" s="192"/>
    </row>
    <row r="40" spans="2:23" ht="15.75" x14ac:dyDescent="0.25">
      <c r="B40"/>
      <c r="C40"/>
      <c r="D40"/>
      <c r="E40"/>
      <c r="F40"/>
      <c r="G40"/>
      <c r="H40"/>
      <c r="I40" s="107"/>
      <c r="J40" s="107"/>
      <c r="K40" s="107"/>
      <c r="L40" s="33"/>
      <c r="M40" s="107"/>
      <c r="N40" s="33"/>
      <c r="T40" s="33"/>
      <c r="V40" s="463"/>
      <c r="W40" s="192"/>
    </row>
    <row r="41" spans="2:23" ht="15.75" x14ac:dyDescent="0.25">
      <c r="B41"/>
      <c r="C41"/>
      <c r="D41"/>
      <c r="E41"/>
      <c r="F41"/>
      <c r="G41"/>
      <c r="H41"/>
      <c r="I41" s="107"/>
      <c r="J41" s="107"/>
      <c r="K41" s="107"/>
      <c r="L41" s="33"/>
      <c r="M41" s="107"/>
      <c r="N41" s="33"/>
      <c r="T41" s="33"/>
      <c r="V41" s="463"/>
      <c r="W41" s="192"/>
    </row>
    <row r="42" spans="2:23" ht="15.75" x14ac:dyDescent="0.25">
      <c r="B42"/>
      <c r="C42"/>
      <c r="D42"/>
      <c r="E42"/>
      <c r="F42"/>
      <c r="G42"/>
      <c r="H42"/>
      <c r="I42" s="107"/>
      <c r="J42" s="107"/>
      <c r="K42" s="107"/>
      <c r="L42" s="33"/>
      <c r="M42" s="107"/>
      <c r="N42" s="33"/>
      <c r="T42" s="33"/>
      <c r="V42" s="463"/>
      <c r="W42" s="192"/>
    </row>
    <row r="43" spans="2:23" ht="15.75" x14ac:dyDescent="0.25">
      <c r="B43"/>
      <c r="C43"/>
      <c r="D43"/>
      <c r="E43"/>
      <c r="F43"/>
      <c r="G43"/>
      <c r="H43"/>
      <c r="I43" s="107"/>
      <c r="J43" s="107"/>
      <c r="K43" s="107"/>
      <c r="L43" s="33"/>
      <c r="M43" s="107"/>
      <c r="N43" s="33"/>
    </row>
    <row r="44" spans="2:23" ht="15.75" x14ac:dyDescent="0.25">
      <c r="B44"/>
      <c r="C44"/>
      <c r="D44"/>
      <c r="E44"/>
      <c r="F44"/>
      <c r="G44"/>
      <c r="H44"/>
      <c r="I44" s="107"/>
      <c r="J44" s="107"/>
      <c r="K44" s="107"/>
      <c r="L44" s="33"/>
      <c r="M44" s="107"/>
      <c r="N44" s="33"/>
      <c r="W44" s="193"/>
    </row>
    <row r="45" spans="2:23" ht="15.75" x14ac:dyDescent="0.25">
      <c r="B45"/>
      <c r="C45"/>
      <c r="D45"/>
      <c r="E45"/>
      <c r="F45"/>
      <c r="G45"/>
      <c r="H45"/>
      <c r="I45" s="107"/>
      <c r="J45" s="107"/>
      <c r="K45" s="107"/>
      <c r="L45" s="33"/>
      <c r="M45" s="107"/>
      <c r="N45" s="33"/>
    </row>
    <row r="46" spans="2:23" ht="15.75" x14ac:dyDescent="0.25">
      <c r="B46"/>
      <c r="C46"/>
      <c r="D46"/>
      <c r="E46"/>
      <c r="F46"/>
      <c r="G46"/>
      <c r="H46"/>
      <c r="I46" s="107"/>
      <c r="J46" s="107"/>
    </row>
    <row r="47" spans="2:23" ht="15.75" x14ac:dyDescent="0.25">
      <c r="B47"/>
      <c r="C47"/>
      <c r="D47"/>
      <c r="E47"/>
      <c r="F47"/>
      <c r="G47"/>
      <c r="H47"/>
      <c r="I47" s="107"/>
      <c r="J47" s="107"/>
      <c r="K47" s="107"/>
      <c r="M47" s="107"/>
    </row>
    <row r="48" spans="2:23" ht="15.75" x14ac:dyDescent="0.25">
      <c r="B48"/>
      <c r="C48"/>
      <c r="D48"/>
      <c r="E48"/>
      <c r="F48"/>
      <c r="G48"/>
      <c r="H48"/>
    </row>
    <row r="49" spans="2:8" ht="15.75" x14ac:dyDescent="0.25">
      <c r="B49"/>
      <c r="C49"/>
      <c r="D49"/>
      <c r="E49"/>
      <c r="F49"/>
      <c r="G49"/>
      <c r="H49"/>
    </row>
    <row r="50" spans="2:8" ht="15.75" x14ac:dyDescent="0.25">
      <c r="B50"/>
      <c r="C50"/>
      <c r="D50"/>
      <c r="E50"/>
      <c r="F50"/>
      <c r="G50"/>
      <c r="H50"/>
    </row>
    <row r="51" spans="2:8" ht="15.75" x14ac:dyDescent="0.25">
      <c r="B51"/>
      <c r="C51"/>
      <c r="D51"/>
      <c r="E51"/>
      <c r="F51"/>
      <c r="G51"/>
      <c r="H51"/>
    </row>
  </sheetData>
  <mergeCells count="6">
    <mergeCell ref="B2:E2"/>
    <mergeCell ref="B8:E8"/>
    <mergeCell ref="B7:E7"/>
    <mergeCell ref="B6:E6"/>
    <mergeCell ref="B5:E5"/>
    <mergeCell ref="B4:E4"/>
  </mergeCells>
  <phoneticPr fontId="8" type="noConversion"/>
  <pageMargins left="0.7" right="0.7" top="0.75" bottom="0.75" header="0.3" footer="0.3"/>
  <pageSetup scale="97" orientation="portrait" r:id="rId1"/>
  <headerFooter>
    <oddHeader>&amp;R&amp;"Times New Roman,Bold"Exhibit E-1
Page 1 of 1</oddHeader>
  </headerFooter>
  <customProperties>
    <customPr name="_pios_id" r:id="rId2"/>
  </customPropertie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3" tint="0.59999389629810485"/>
    <pageSetUpPr fitToPage="1"/>
  </sheetPr>
  <dimension ref="A1:N41"/>
  <sheetViews>
    <sheetView zoomScale="80" zoomScaleNormal="80" workbookViewId="0">
      <selection activeCell="M33" sqref="M33"/>
    </sheetView>
  </sheetViews>
  <sheetFormatPr defaultColWidth="8.88671875" defaultRowHeight="15.75" x14ac:dyDescent="0.25"/>
  <cols>
    <col min="1" max="1" width="8.88671875" style="3"/>
    <col min="2" max="2" width="10.6640625" style="3" customWidth="1"/>
    <col min="3" max="3" width="9.109375" style="3" customWidth="1"/>
    <col min="4" max="4" width="17.44140625" style="3" customWidth="1"/>
    <col min="5" max="5" width="13.21875" style="3" customWidth="1"/>
    <col min="6" max="6" width="13.44140625" style="3" bestFit="1" customWidth="1"/>
    <col min="7" max="8" width="11.21875" style="3" customWidth="1"/>
    <col min="9" max="9" width="12.44140625" style="3" customWidth="1"/>
    <col min="10" max="10" width="13.109375" style="3" bestFit="1" customWidth="1"/>
    <col min="11" max="11" width="14.5546875" style="3" customWidth="1"/>
    <col min="12" max="12" width="12.88671875" style="3" bestFit="1" customWidth="1"/>
    <col min="13" max="16384" width="8.88671875" style="3"/>
  </cols>
  <sheetData>
    <row r="1" spans="1:14" ht="18.75" x14ac:dyDescent="0.3">
      <c r="B1" s="635" t="s">
        <v>5</v>
      </c>
      <c r="C1" s="635"/>
      <c r="D1" s="635"/>
      <c r="E1" s="635"/>
      <c r="F1" s="635"/>
      <c r="G1" s="635"/>
      <c r="H1" s="635"/>
      <c r="I1" s="635"/>
      <c r="J1" s="635"/>
      <c r="K1" s="635"/>
    </row>
    <row r="2" spans="1:14" ht="18.75" x14ac:dyDescent="0.3">
      <c r="B2" s="623" t="s">
        <v>311</v>
      </c>
      <c r="C2" s="623"/>
      <c r="D2" s="623"/>
      <c r="E2" s="623"/>
      <c r="F2" s="623"/>
      <c r="G2" s="623"/>
      <c r="H2" s="623"/>
      <c r="I2" s="623"/>
      <c r="J2" s="623"/>
      <c r="K2" s="623"/>
    </row>
    <row r="3" spans="1:14" ht="18.75" x14ac:dyDescent="0.3">
      <c r="B3" s="623" t="str">
        <f>CONCATENATE("For Service Rendered On and After ",'Input Data'!$D$4)</f>
        <v>For Service Rendered On and After February 1, 2026</v>
      </c>
      <c r="C3" s="623"/>
      <c r="D3" s="623"/>
      <c r="E3" s="623"/>
      <c r="F3" s="623"/>
      <c r="G3" s="623"/>
      <c r="H3" s="623"/>
      <c r="I3" s="623"/>
      <c r="J3" s="623"/>
      <c r="K3" s="623"/>
    </row>
    <row r="5" spans="1:14" x14ac:dyDescent="0.25">
      <c r="C5"/>
      <c r="D5"/>
      <c r="E5"/>
      <c r="F5"/>
      <c r="G5"/>
      <c r="H5"/>
      <c r="I5"/>
      <c r="J5"/>
      <c r="K5"/>
      <c r="L5"/>
      <c r="M5"/>
      <c r="N5"/>
    </row>
    <row r="6" spans="1:14" x14ac:dyDescent="0.25">
      <c r="A6" s="15" t="s">
        <v>116</v>
      </c>
      <c r="B6" s="454" t="str">
        <f>VLOOKUP(B16,'Case Database'!$A$2:$F$200,3,FALSE)</f>
        <v>2024-00405</v>
      </c>
    </row>
    <row r="7" spans="1:14" ht="15.75" customHeight="1" x14ac:dyDescent="0.3">
      <c r="G7" s="461"/>
      <c r="L7" s="461" t="s">
        <v>594</v>
      </c>
    </row>
    <row r="8" spans="1:14" x14ac:dyDescent="0.25">
      <c r="F8" s="153"/>
    </row>
    <row r="9" spans="1:14" x14ac:dyDescent="0.25">
      <c r="D9" s="686" t="s">
        <v>286</v>
      </c>
      <c r="E9" s="686"/>
      <c r="F9" s="686"/>
      <c r="G9" s="686" t="s">
        <v>287</v>
      </c>
      <c r="H9" s="686"/>
      <c r="I9" s="686"/>
      <c r="J9" s="13" t="s">
        <v>30</v>
      </c>
      <c r="K9" s="13"/>
    </row>
    <row r="10" spans="1:14" ht="16.5" customHeight="1" x14ac:dyDescent="0.25">
      <c r="A10" s="13" t="s">
        <v>319</v>
      </c>
      <c r="D10" s="13" t="s">
        <v>371</v>
      </c>
      <c r="E10" s="155" t="s">
        <v>114</v>
      </c>
      <c r="F10" s="155" t="s">
        <v>285</v>
      </c>
      <c r="G10" s="13" t="s">
        <v>90</v>
      </c>
      <c r="H10" s="13" t="s">
        <v>276</v>
      </c>
      <c r="I10" s="155" t="s">
        <v>285</v>
      </c>
      <c r="J10" s="13" t="s">
        <v>341</v>
      </c>
      <c r="K10" s="13"/>
    </row>
    <row r="11" spans="1:14" x14ac:dyDescent="0.25">
      <c r="A11" s="65" t="s">
        <v>320</v>
      </c>
      <c r="B11" s="27"/>
      <c r="C11" s="27"/>
      <c r="D11" s="65" t="s">
        <v>372</v>
      </c>
      <c r="E11" s="156" t="s">
        <v>283</v>
      </c>
      <c r="F11" s="156" t="s">
        <v>284</v>
      </c>
      <c r="G11" s="65" t="s">
        <v>276</v>
      </c>
      <c r="H11" s="65" t="s">
        <v>283</v>
      </c>
      <c r="I11" s="156" t="s">
        <v>284</v>
      </c>
      <c r="J11" s="65" t="s">
        <v>277</v>
      </c>
      <c r="K11" s="65" t="s">
        <v>300</v>
      </c>
    </row>
    <row r="12" spans="1:14" x14ac:dyDescent="0.25">
      <c r="A12" s="13"/>
      <c r="D12" s="39" t="s">
        <v>60</v>
      </c>
      <c r="E12" s="39" t="s">
        <v>61</v>
      </c>
      <c r="F12" s="39" t="s">
        <v>488</v>
      </c>
      <c r="G12" s="39" t="s">
        <v>63</v>
      </c>
      <c r="H12" s="39" t="s">
        <v>64</v>
      </c>
      <c r="I12" s="39" t="s">
        <v>485</v>
      </c>
      <c r="J12" s="39" t="s">
        <v>313</v>
      </c>
      <c r="K12" s="39" t="s">
        <v>314</v>
      </c>
    </row>
    <row r="13" spans="1:14" x14ac:dyDescent="0.25">
      <c r="A13" s="13"/>
    </row>
    <row r="14" spans="1:14" x14ac:dyDescent="0.25">
      <c r="A14" s="13">
        <v>1</v>
      </c>
      <c r="D14" s="13"/>
      <c r="E14" s="13"/>
      <c r="F14" s="155"/>
      <c r="G14" s="13"/>
      <c r="H14" s="13"/>
      <c r="I14" s="13"/>
      <c r="J14" s="46" t="s">
        <v>268</v>
      </c>
      <c r="K14" s="186">
        <f>'Input Data'!D203</f>
        <v>1693977</v>
      </c>
      <c r="L14" s="55"/>
    </row>
    <row r="15" spans="1:14" x14ac:dyDescent="0.25">
      <c r="A15" s="13"/>
      <c r="C15" s="46"/>
      <c r="D15" s="13"/>
      <c r="E15" s="13"/>
      <c r="F15" s="155"/>
      <c r="G15" s="13"/>
      <c r="H15" s="13"/>
      <c r="I15" s="13"/>
      <c r="J15" s="13"/>
      <c r="K15" s="157"/>
    </row>
    <row r="16" spans="1:14" x14ac:dyDescent="0.25">
      <c r="A16" s="13">
        <v>2</v>
      </c>
      <c r="B16" s="158">
        <f>'Input Data'!C11</f>
        <v>45689</v>
      </c>
      <c r="C16" s="158" t="s">
        <v>362</v>
      </c>
      <c r="D16" s="47">
        <f>VLOOKUP($B16,'Sales Volumes'!$A$1:$H$500,4,FALSE)</f>
        <v>2687217.3</v>
      </c>
      <c r="E16" s="464">
        <f>'Input Data'!D204</f>
        <v>5.3699999999999998E-2</v>
      </c>
      <c r="F16" s="186">
        <f t="shared" ref="F16:F28" si="0">ROUND(D16*E16,2)</f>
        <v>144303.57</v>
      </c>
      <c r="G16" s="159">
        <f>VLOOKUP($B16,'Sales Volumes'!$A$1:$H$500,5,FALSE)</f>
        <v>7899.4</v>
      </c>
      <c r="H16" s="160">
        <f>'Input Data'!D205</f>
        <v>2.06E-2</v>
      </c>
      <c r="I16" s="157">
        <f>ROUND(G16*H16,2)</f>
        <v>162.72999999999999</v>
      </c>
      <c r="J16" s="186">
        <f>+F16+I16</f>
        <v>144466.30000000002</v>
      </c>
      <c r="K16" s="186">
        <f>+K14-J16</f>
        <v>1549510.7</v>
      </c>
      <c r="L16" s="157"/>
    </row>
    <row r="17" spans="1:11" x14ac:dyDescent="0.25">
      <c r="A17" s="13">
        <v>3</v>
      </c>
      <c r="B17" s="158">
        <f>EDATE(B16,1)</f>
        <v>45717</v>
      </c>
      <c r="C17" s="158"/>
      <c r="D17" s="47">
        <f>VLOOKUP($B17,'Sales Volumes'!$A$1:$H$500,2,FALSE)</f>
        <v>4573647.2</v>
      </c>
      <c r="E17" s="160">
        <f>$E$16</f>
        <v>5.3699999999999998E-2</v>
      </c>
      <c r="F17" s="186">
        <f t="shared" si="0"/>
        <v>245604.85</v>
      </c>
      <c r="G17" s="159">
        <f>VLOOKUP($B17,'Sales Volumes'!$A$1:$H$500,5,FALSE)</f>
        <v>20571.599999999999</v>
      </c>
      <c r="H17" s="160">
        <f>$H$16</f>
        <v>2.06E-2</v>
      </c>
      <c r="I17" s="157">
        <f t="shared" ref="I17:I28" si="1">ROUND(G17*H17,2)</f>
        <v>423.77</v>
      </c>
      <c r="J17" s="186">
        <f>+F17+I17</f>
        <v>246028.62</v>
      </c>
      <c r="K17" s="186">
        <f>+K16-J17</f>
        <v>1303482.08</v>
      </c>
    </row>
    <row r="18" spans="1:11" x14ac:dyDescent="0.25">
      <c r="A18" s="13">
        <v>4</v>
      </c>
      <c r="B18" s="158">
        <f t="shared" ref="B18:B28" si="2">EDATE(B17,1)</f>
        <v>45748</v>
      </c>
      <c r="C18" s="158"/>
      <c r="D18" s="47">
        <f>VLOOKUP($B18,'Sales Volumes'!$A$1:$H$500,2,FALSE)</f>
        <v>2391850.2999999998</v>
      </c>
      <c r="E18" s="160">
        <f t="shared" ref="E18:E28" si="3">$E$16</f>
        <v>5.3699999999999998E-2</v>
      </c>
      <c r="F18" s="186">
        <f t="shared" si="0"/>
        <v>128442.36</v>
      </c>
      <c r="G18" s="159">
        <f>VLOOKUP($B18,'Sales Volumes'!$A$1:$H$500,5,FALSE)</f>
        <v>26007.599999999999</v>
      </c>
      <c r="H18" s="160">
        <f t="shared" ref="H18:H28" si="4">$H$16</f>
        <v>2.06E-2</v>
      </c>
      <c r="I18" s="157">
        <f t="shared" si="1"/>
        <v>535.76</v>
      </c>
      <c r="J18" s="186">
        <f t="shared" ref="J18:J28" si="5">+F18+I18</f>
        <v>128978.12</v>
      </c>
      <c r="K18" s="186">
        <f>+K17-J18</f>
        <v>1174503.96</v>
      </c>
    </row>
    <row r="19" spans="1:11" x14ac:dyDescent="0.25">
      <c r="A19" s="13">
        <v>5</v>
      </c>
      <c r="B19" s="158">
        <f t="shared" si="2"/>
        <v>45778</v>
      </c>
      <c r="C19" s="158"/>
      <c r="D19" s="47">
        <f>VLOOKUP($B19,'Sales Volumes'!$A$1:$H$500,2,FALSE)</f>
        <v>1236599.1000000001</v>
      </c>
      <c r="E19" s="160">
        <f t="shared" si="3"/>
        <v>5.3699999999999998E-2</v>
      </c>
      <c r="F19" s="186">
        <f t="shared" si="0"/>
        <v>66405.37</v>
      </c>
      <c r="G19" s="159">
        <f>VLOOKUP($B19,'Sales Volumes'!$A$1:$H$500,5,FALSE)</f>
        <v>29964.3</v>
      </c>
      <c r="H19" s="160">
        <f t="shared" si="4"/>
        <v>2.06E-2</v>
      </c>
      <c r="I19" s="157">
        <f t="shared" si="1"/>
        <v>617.26</v>
      </c>
      <c r="J19" s="186">
        <f t="shared" si="5"/>
        <v>67022.62999999999</v>
      </c>
      <c r="K19" s="186">
        <f t="shared" ref="K19:K27" si="6">+K18-J19</f>
        <v>1107481.33</v>
      </c>
    </row>
    <row r="20" spans="1:11" x14ac:dyDescent="0.25">
      <c r="A20" s="13">
        <v>6</v>
      </c>
      <c r="B20" s="158">
        <f t="shared" si="2"/>
        <v>45809</v>
      </c>
      <c r="C20" s="158"/>
      <c r="D20" s="47">
        <f>VLOOKUP($B20,'Sales Volumes'!$A$1:$H$500,2,FALSE)</f>
        <v>866541.8</v>
      </c>
      <c r="E20" s="160">
        <f t="shared" si="3"/>
        <v>5.3699999999999998E-2</v>
      </c>
      <c r="F20" s="186">
        <f t="shared" si="0"/>
        <v>46533.29</v>
      </c>
      <c r="G20" s="159">
        <f>VLOOKUP($B20,'Sales Volumes'!$A$1:$H$500,5,FALSE)</f>
        <v>41312</v>
      </c>
      <c r="H20" s="160">
        <f t="shared" si="4"/>
        <v>2.06E-2</v>
      </c>
      <c r="I20" s="157">
        <f t="shared" si="1"/>
        <v>851.03</v>
      </c>
      <c r="J20" s="186">
        <f t="shared" si="5"/>
        <v>47384.32</v>
      </c>
      <c r="K20" s="186">
        <f t="shared" si="6"/>
        <v>1060097.01</v>
      </c>
    </row>
    <row r="21" spans="1:11" x14ac:dyDescent="0.25">
      <c r="A21" s="13">
        <v>7</v>
      </c>
      <c r="B21" s="158">
        <f t="shared" si="2"/>
        <v>45839</v>
      </c>
      <c r="C21" s="158"/>
      <c r="D21" s="47">
        <f>VLOOKUP($B21,'Sales Volumes'!$A$1:$H$500,2,FALSE)</f>
        <v>667010.5</v>
      </c>
      <c r="E21" s="160">
        <f t="shared" si="3"/>
        <v>5.3699999999999998E-2</v>
      </c>
      <c r="F21" s="186">
        <f t="shared" si="0"/>
        <v>35818.46</v>
      </c>
      <c r="G21" s="159">
        <f>VLOOKUP($B21,'Sales Volumes'!$A$1:$H$500,5,FALSE)</f>
        <v>43218.7</v>
      </c>
      <c r="H21" s="160">
        <f t="shared" si="4"/>
        <v>2.06E-2</v>
      </c>
      <c r="I21" s="157">
        <f t="shared" si="1"/>
        <v>890.31</v>
      </c>
      <c r="J21" s="186">
        <f t="shared" si="5"/>
        <v>36708.769999999997</v>
      </c>
      <c r="K21" s="186">
        <f t="shared" si="6"/>
        <v>1023388.24</v>
      </c>
    </row>
    <row r="22" spans="1:11" x14ac:dyDescent="0.25">
      <c r="A22" s="13">
        <v>8</v>
      </c>
      <c r="B22" s="158">
        <f t="shared" si="2"/>
        <v>45870</v>
      </c>
      <c r="C22" s="158"/>
      <c r="D22" s="47">
        <f>VLOOKUP($B22,'Sales Volumes'!$A$1:$H$500,2,FALSE)</f>
        <v>653711.80000000005</v>
      </c>
      <c r="E22" s="160">
        <f t="shared" si="3"/>
        <v>5.3699999999999998E-2</v>
      </c>
      <c r="F22" s="186">
        <f t="shared" si="0"/>
        <v>35104.32</v>
      </c>
      <c r="G22" s="159">
        <f>VLOOKUP($B22,'Sales Volumes'!$A$1:$H$500,5,FALSE)</f>
        <v>39764.800000000003</v>
      </c>
      <c r="H22" s="160">
        <f t="shared" si="4"/>
        <v>2.06E-2</v>
      </c>
      <c r="I22" s="157">
        <f t="shared" si="1"/>
        <v>819.15</v>
      </c>
      <c r="J22" s="186">
        <f t="shared" si="5"/>
        <v>35923.47</v>
      </c>
      <c r="K22" s="186">
        <f t="shared" si="6"/>
        <v>987464.77</v>
      </c>
    </row>
    <row r="23" spans="1:11" x14ac:dyDescent="0.25">
      <c r="A23" s="13">
        <v>9</v>
      </c>
      <c r="B23" s="158">
        <f t="shared" si="2"/>
        <v>45901</v>
      </c>
      <c r="C23" s="158"/>
      <c r="D23" s="47">
        <f>VLOOKUP($B23,'Sales Volumes'!$A$1:$H$500,2,FALSE)</f>
        <v>687884.6</v>
      </c>
      <c r="E23" s="160">
        <f t="shared" si="3"/>
        <v>5.3699999999999998E-2</v>
      </c>
      <c r="F23" s="186">
        <f t="shared" si="0"/>
        <v>36939.4</v>
      </c>
      <c r="G23" s="159">
        <f>VLOOKUP($B23,'Sales Volumes'!$A$1:$H$500,5,FALSE)</f>
        <v>44875.5</v>
      </c>
      <c r="H23" s="160">
        <f t="shared" si="4"/>
        <v>2.06E-2</v>
      </c>
      <c r="I23" s="157">
        <f t="shared" si="1"/>
        <v>924.44</v>
      </c>
      <c r="J23" s="186">
        <f t="shared" si="5"/>
        <v>37863.840000000004</v>
      </c>
      <c r="K23" s="186">
        <f t="shared" si="6"/>
        <v>949600.93</v>
      </c>
    </row>
    <row r="24" spans="1:11" x14ac:dyDescent="0.25">
      <c r="A24" s="13">
        <v>10</v>
      </c>
      <c r="B24" s="158">
        <f t="shared" si="2"/>
        <v>45931</v>
      </c>
      <c r="C24" s="158"/>
      <c r="D24" s="47">
        <f>VLOOKUP($B24,'Sales Volumes'!$A$1:$H$500,2,FALSE)</f>
        <v>795807.3</v>
      </c>
      <c r="E24" s="160">
        <f t="shared" si="3"/>
        <v>5.3699999999999998E-2</v>
      </c>
      <c r="F24" s="186">
        <f t="shared" si="0"/>
        <v>42734.85</v>
      </c>
      <c r="G24" s="159">
        <f>VLOOKUP($B24,'Sales Volumes'!$A$1:$H$500,5,FALSE)</f>
        <v>43681.5</v>
      </c>
      <c r="H24" s="160">
        <f t="shared" si="4"/>
        <v>2.06E-2</v>
      </c>
      <c r="I24" s="157">
        <f t="shared" si="1"/>
        <v>899.84</v>
      </c>
      <c r="J24" s="186">
        <f t="shared" si="5"/>
        <v>43634.689999999995</v>
      </c>
      <c r="K24" s="186">
        <f t="shared" si="6"/>
        <v>905966.24000000011</v>
      </c>
    </row>
    <row r="25" spans="1:11" x14ac:dyDescent="0.25">
      <c r="A25" s="13">
        <v>11</v>
      </c>
      <c r="B25" s="158">
        <f t="shared" si="2"/>
        <v>45962</v>
      </c>
      <c r="C25" s="158"/>
      <c r="D25" s="47">
        <f>VLOOKUP($B25,'Sales Volumes'!$A$1:$H$500,2,FALSE)</f>
        <v>2013138</v>
      </c>
      <c r="E25" s="160">
        <f t="shared" si="3"/>
        <v>5.3699999999999998E-2</v>
      </c>
      <c r="F25" s="186">
        <f t="shared" si="0"/>
        <v>108105.51</v>
      </c>
      <c r="G25" s="159">
        <f>VLOOKUP($B25,'Sales Volumes'!$A$1:$H$500,5,FALSE)</f>
        <v>0</v>
      </c>
      <c r="H25" s="160">
        <f t="shared" si="4"/>
        <v>2.06E-2</v>
      </c>
      <c r="I25" s="157">
        <f t="shared" si="1"/>
        <v>0</v>
      </c>
      <c r="J25" s="186">
        <f t="shared" si="5"/>
        <v>108105.51</v>
      </c>
      <c r="K25" s="186">
        <f t="shared" si="6"/>
        <v>797860.7300000001</v>
      </c>
    </row>
    <row r="26" spans="1:11" x14ac:dyDescent="0.25">
      <c r="A26" s="13">
        <v>12</v>
      </c>
      <c r="B26" s="158">
        <f t="shared" si="2"/>
        <v>45992</v>
      </c>
      <c r="C26" s="158"/>
      <c r="D26" s="47" t="e">
        <f>VLOOKUP($B26,'Sales Volumes'!$A$1:$H$500,2,FALSE)</f>
        <v>#N/A</v>
      </c>
      <c r="E26" s="160">
        <f t="shared" si="3"/>
        <v>5.3699999999999998E-2</v>
      </c>
      <c r="F26" s="186" t="e">
        <f t="shared" si="0"/>
        <v>#N/A</v>
      </c>
      <c r="G26" s="159" t="e">
        <f>VLOOKUP($B26,'Sales Volumes'!$A$1:$H$500,5,FALSE)</f>
        <v>#N/A</v>
      </c>
      <c r="H26" s="160">
        <f t="shared" si="4"/>
        <v>2.06E-2</v>
      </c>
      <c r="I26" s="157" t="e">
        <f t="shared" si="1"/>
        <v>#N/A</v>
      </c>
      <c r="J26" s="186" t="e">
        <f t="shared" si="5"/>
        <v>#N/A</v>
      </c>
      <c r="K26" s="186" t="e">
        <f t="shared" si="6"/>
        <v>#N/A</v>
      </c>
    </row>
    <row r="27" spans="1:11" x14ac:dyDescent="0.25">
      <c r="A27" s="13">
        <v>13</v>
      </c>
      <c r="B27" s="158">
        <f t="shared" si="2"/>
        <v>46023</v>
      </c>
      <c r="C27" s="158"/>
      <c r="D27" s="47" t="e">
        <f>VLOOKUP($B27,'Sales Volumes'!$A$1:$H$500,2,FALSE)</f>
        <v>#N/A</v>
      </c>
      <c r="E27" s="160">
        <f t="shared" si="3"/>
        <v>5.3699999999999998E-2</v>
      </c>
      <c r="F27" s="186" t="e">
        <f t="shared" si="0"/>
        <v>#N/A</v>
      </c>
      <c r="G27" s="159" t="e">
        <f>VLOOKUP($B27,'Sales Volumes'!$A$1:$H$500,5,FALSE)</f>
        <v>#N/A</v>
      </c>
      <c r="H27" s="160">
        <f t="shared" si="4"/>
        <v>2.06E-2</v>
      </c>
      <c r="I27" s="157" t="e">
        <f t="shared" si="1"/>
        <v>#N/A</v>
      </c>
      <c r="J27" s="186" t="e">
        <f t="shared" si="5"/>
        <v>#N/A</v>
      </c>
      <c r="K27" s="123" t="e">
        <f t="shared" si="6"/>
        <v>#N/A</v>
      </c>
    </row>
    <row r="28" spans="1:11" x14ac:dyDescent="0.25">
      <c r="A28" s="13">
        <v>14</v>
      </c>
      <c r="B28" s="158">
        <f t="shared" si="2"/>
        <v>46054</v>
      </c>
      <c r="C28" s="158" t="s">
        <v>362</v>
      </c>
      <c r="D28" s="47" t="e">
        <f>VLOOKUP($B28,'Sales Volumes'!$A$1:$H$500,3,FALSE)</f>
        <v>#N/A</v>
      </c>
      <c r="E28" s="160">
        <f t="shared" si="3"/>
        <v>5.3699999999999998E-2</v>
      </c>
      <c r="F28" s="186" t="e">
        <f t="shared" si="0"/>
        <v>#N/A</v>
      </c>
      <c r="G28" s="159"/>
      <c r="H28" s="160">
        <f t="shared" si="4"/>
        <v>2.06E-2</v>
      </c>
      <c r="I28" s="157">
        <f t="shared" si="1"/>
        <v>0</v>
      </c>
      <c r="J28" s="186" t="e">
        <f t="shared" si="5"/>
        <v>#N/A</v>
      </c>
      <c r="K28" s="123" t="e">
        <f>K27-J28</f>
        <v>#N/A</v>
      </c>
    </row>
    <row r="29" spans="1:11" ht="16.5" thickBot="1" x14ac:dyDescent="0.3">
      <c r="A29" s="13"/>
      <c r="B29" s="161"/>
      <c r="C29" s="161"/>
      <c r="D29" s="162" t="e">
        <f>SUM(D16:D28)</f>
        <v>#N/A</v>
      </c>
      <c r="E29" s="163"/>
      <c r="F29" s="187" t="e">
        <f>SUM(F16:F28)</f>
        <v>#N/A</v>
      </c>
      <c r="G29" s="162" t="e">
        <f>SUM(G16:G28)</f>
        <v>#N/A</v>
      </c>
      <c r="H29" s="164"/>
      <c r="I29" s="187" t="e">
        <f>SUM(I16:I28)</f>
        <v>#N/A</v>
      </c>
      <c r="J29" s="187" t="e">
        <f>SUM(J16:J28)</f>
        <v>#N/A</v>
      </c>
      <c r="K29" s="187"/>
    </row>
    <row r="30" spans="1:11" ht="16.5" thickTop="1" x14ac:dyDescent="0.25">
      <c r="A30" s="13"/>
      <c r="B30" s="161"/>
      <c r="C30" s="161"/>
      <c r="D30" s="161"/>
      <c r="E30" s="161"/>
      <c r="F30" s="161"/>
      <c r="G30" s="161"/>
      <c r="H30" s="161"/>
    </row>
    <row r="31" spans="1:11" x14ac:dyDescent="0.25">
      <c r="A31" s="13">
        <v>15</v>
      </c>
      <c r="B31" s="161"/>
      <c r="C31" s="161"/>
      <c r="D31" s="161"/>
      <c r="E31" s="161"/>
      <c r="F31" s="161"/>
      <c r="G31" s="161"/>
      <c r="H31" s="161"/>
      <c r="I31" s="46" t="s">
        <v>441</v>
      </c>
      <c r="J31" s="123" t="e">
        <f>K28</f>
        <v>#N/A</v>
      </c>
    </row>
    <row r="32" spans="1:11" x14ac:dyDescent="0.25">
      <c r="B32" s="161"/>
      <c r="C32" s="161"/>
      <c r="D32" s="161"/>
      <c r="E32" s="161"/>
      <c r="F32" s="161"/>
      <c r="G32" s="161"/>
      <c r="H32" s="161"/>
      <c r="I32" s="161"/>
      <c r="J32" s="194"/>
      <c r="K32" s="161"/>
    </row>
    <row r="33" spans="2:11" x14ac:dyDescent="0.25">
      <c r="B33" s="161"/>
      <c r="C33" s="161"/>
    </row>
    <row r="34" spans="2:11" x14ac:dyDescent="0.25">
      <c r="B34" s="161"/>
      <c r="C34" s="161"/>
      <c r="I34" s="161"/>
      <c r="J34" s="161"/>
      <c r="K34" s="161"/>
    </row>
    <row r="35" spans="2:11" x14ac:dyDescent="0.25">
      <c r="B35" s="161"/>
      <c r="C35" s="161"/>
      <c r="I35" s="161"/>
      <c r="J35" s="161"/>
      <c r="K35" s="161"/>
    </row>
    <row r="36" spans="2:11" x14ac:dyDescent="0.25">
      <c r="B36" s="161"/>
      <c r="C36" s="161"/>
      <c r="I36" s="161"/>
      <c r="J36" s="161"/>
      <c r="K36" s="161"/>
    </row>
    <row r="37" spans="2:11" x14ac:dyDescent="0.25">
      <c r="B37" s="161"/>
      <c r="C37" s="161"/>
      <c r="D37" s="3" t="s">
        <v>278</v>
      </c>
      <c r="F37" s="161"/>
      <c r="G37" s="161"/>
      <c r="H37" s="161"/>
      <c r="I37" s="161"/>
      <c r="J37" s="161"/>
      <c r="K37" s="161"/>
    </row>
    <row r="38" spans="2:11" x14ac:dyDescent="0.25">
      <c r="D38" s="161" t="s">
        <v>279</v>
      </c>
      <c r="E38" s="161"/>
      <c r="F38" s="161"/>
      <c r="G38" s="161"/>
      <c r="H38" s="161"/>
    </row>
    <row r="39" spans="2:11" x14ac:dyDescent="0.25">
      <c r="D39" s="161" t="s">
        <v>280</v>
      </c>
      <c r="E39" s="161"/>
      <c r="F39" s="161"/>
      <c r="G39" s="161"/>
      <c r="H39" s="161"/>
    </row>
    <row r="40" spans="2:11" x14ac:dyDescent="0.25">
      <c r="D40" s="161" t="s">
        <v>281</v>
      </c>
      <c r="E40" s="161"/>
      <c r="F40" s="161"/>
      <c r="G40" s="161"/>
      <c r="H40" s="161"/>
    </row>
    <row r="41" spans="2:11" x14ac:dyDescent="0.25">
      <c r="D41" s="161" t="s">
        <v>282</v>
      </c>
      <c r="E41" s="161"/>
      <c r="F41" s="161"/>
      <c r="G41" s="161"/>
      <c r="H41" s="161"/>
    </row>
  </sheetData>
  <mergeCells count="5">
    <mergeCell ref="B1:K1"/>
    <mergeCell ref="B2:K2"/>
    <mergeCell ref="D9:F9"/>
    <mergeCell ref="G9:I9"/>
    <mergeCell ref="B3:K3"/>
  </mergeCells>
  <printOptions horizontalCentered="1"/>
  <pageMargins left="0.63" right="0.63" top="1.49" bottom="0.75" header="0.3" footer="0.3"/>
  <pageSetup scale="76" orientation="landscape" r:id="rId1"/>
  <headerFooter>
    <oddFooter>&amp;L_x000D_&amp;1#&amp;"Calibri"&amp;14&amp;K000000 Business Use&amp;R&amp;"Times New Roman,Bold"Exhibit E-1
Page 2 of 2</oddFooter>
  </headerFooter>
  <customProperties>
    <customPr name="_pios_id" r:id="rId2"/>
  </customProperties>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B1E5A-6613-463C-BC67-492A96D18776}">
  <sheetPr codeName="Sheet39">
    <tabColor rgb="FF00B050"/>
    <pageSetUpPr fitToPage="1"/>
  </sheetPr>
  <dimension ref="B1:N17"/>
  <sheetViews>
    <sheetView zoomScaleNormal="100" workbookViewId="0"/>
  </sheetViews>
  <sheetFormatPr defaultColWidth="8.77734375" defaultRowHeight="15.75" x14ac:dyDescent="0.25"/>
  <cols>
    <col min="1" max="1" width="1.109375" style="3" customWidth="1"/>
    <col min="2" max="2" width="16.77734375" style="3" customWidth="1"/>
    <col min="3" max="3" width="1.6640625" style="3" customWidth="1"/>
    <col min="4" max="4" width="12.21875" style="3" customWidth="1"/>
    <col min="5" max="5" width="5.5546875" style="3" customWidth="1"/>
    <col min="6" max="6" width="1.6640625" style="3" customWidth="1"/>
    <col min="7" max="7" width="12.88671875" style="3" customWidth="1"/>
    <col min="8" max="8" width="5.5546875" style="3" customWidth="1"/>
    <col min="9" max="9" width="1.6640625" style="3" customWidth="1"/>
    <col min="10" max="10" width="13.21875" style="3" customWidth="1"/>
    <col min="11" max="11" width="5.5546875" style="3" customWidth="1"/>
    <col min="12" max="12" width="1.6640625" style="3" customWidth="1"/>
    <col min="13" max="13" width="13.88671875" style="3" customWidth="1"/>
    <col min="14" max="14" width="9.6640625" style="3" customWidth="1"/>
    <col min="15" max="15" width="1.109375" style="3" customWidth="1"/>
    <col min="16" max="16384" width="8.77734375" style="3"/>
  </cols>
  <sheetData>
    <row r="1" spans="2:14" x14ac:dyDescent="0.25">
      <c r="B1" s="639" t="s">
        <v>5</v>
      </c>
      <c r="C1" s="639"/>
      <c r="D1" s="639"/>
      <c r="E1" s="639"/>
      <c r="F1" s="639"/>
      <c r="G1" s="639"/>
      <c r="H1" s="639"/>
      <c r="I1" s="639"/>
      <c r="J1" s="639"/>
      <c r="K1" s="639"/>
      <c r="L1" s="639"/>
      <c r="M1" s="639"/>
      <c r="N1" s="639"/>
    </row>
    <row r="2" spans="2:14" x14ac:dyDescent="0.25">
      <c r="B2" s="15"/>
      <c r="C2" s="15"/>
      <c r="D2" s="15"/>
      <c r="E2" s="15"/>
      <c r="F2" s="15"/>
      <c r="G2" s="15"/>
      <c r="H2" s="15"/>
      <c r="I2" s="15"/>
      <c r="J2" s="15"/>
      <c r="K2" s="15"/>
      <c r="L2" s="15"/>
      <c r="M2" s="15"/>
      <c r="N2" s="15"/>
    </row>
    <row r="3" spans="2:14" x14ac:dyDescent="0.25">
      <c r="B3" s="639" t="str">
        <f>"Gas Supply Clause: " &amp;'Input Data'!C12</f>
        <v>Gas Supply Clause: 2025-00400</v>
      </c>
      <c r="C3" s="639"/>
      <c r="D3" s="639"/>
      <c r="E3" s="639"/>
      <c r="F3" s="639"/>
      <c r="G3" s="639"/>
      <c r="H3" s="639"/>
      <c r="I3" s="639"/>
      <c r="J3" s="639"/>
      <c r="K3" s="639"/>
      <c r="L3" s="639"/>
      <c r="M3" s="639"/>
      <c r="N3" s="639"/>
    </row>
    <row r="4" spans="2:14" x14ac:dyDescent="0.25">
      <c r="B4" s="639" t="s">
        <v>621</v>
      </c>
      <c r="C4" s="639"/>
      <c r="D4" s="639"/>
      <c r="E4" s="639"/>
      <c r="F4" s="639"/>
      <c r="G4" s="639"/>
      <c r="H4" s="639"/>
      <c r="I4" s="639"/>
      <c r="J4" s="639"/>
      <c r="K4" s="639"/>
      <c r="L4" s="639"/>
      <c r="M4" s="639"/>
      <c r="N4" s="639"/>
    </row>
    <row r="5" spans="2:14" x14ac:dyDescent="0.25">
      <c r="B5" s="639" t="s">
        <v>622</v>
      </c>
      <c r="C5" s="639"/>
      <c r="D5" s="639"/>
      <c r="E5" s="639"/>
      <c r="F5" s="639"/>
      <c r="G5" s="639"/>
      <c r="H5" s="639"/>
      <c r="I5" s="639"/>
      <c r="J5" s="639"/>
      <c r="K5" s="639"/>
      <c r="L5" s="639"/>
      <c r="M5" s="639"/>
      <c r="N5" s="639"/>
    </row>
    <row r="7" spans="2:14" s="488" customFormat="1" ht="83.25" customHeight="1" x14ac:dyDescent="0.25">
      <c r="B7" s="684" t="s">
        <v>687</v>
      </c>
      <c r="C7" s="684"/>
      <c r="D7" s="684"/>
      <c r="E7" s="684"/>
      <c r="F7" s="684"/>
      <c r="G7" s="684"/>
      <c r="H7" s="684"/>
      <c r="I7" s="684"/>
      <c r="J7" s="684"/>
      <c r="K7" s="684"/>
      <c r="L7" s="684"/>
      <c r="M7" s="684"/>
      <c r="N7" s="684"/>
    </row>
    <row r="9" spans="2:14" ht="31.5" customHeight="1" x14ac:dyDescent="0.25">
      <c r="B9" s="637" t="str">
        <f>"As shown in the following table, the charge (or credit) which will be effective for any customers transferring from an LG&amp;E sales rate to one of its transportation rates effective " &amp;'Input Data'!B216</f>
        <v>As shown in the following table, the charge (or credit) which will be effective for any customers transferring from an LG&amp;E sales rate to one of its transportation rates effective November 1, 2024 and November 1, 2025 is:</v>
      </c>
      <c r="C9" s="637"/>
      <c r="D9" s="637"/>
      <c r="E9" s="637"/>
      <c r="F9" s="637"/>
      <c r="G9" s="637"/>
      <c r="H9" s="637"/>
      <c r="I9" s="637"/>
      <c r="J9" s="637"/>
      <c r="K9" s="637"/>
      <c r="L9" s="637"/>
      <c r="M9" s="637"/>
      <c r="N9" s="637"/>
    </row>
    <row r="10" spans="2:14" ht="15.6" customHeight="1" x14ac:dyDescent="0.25">
      <c r="B10" s="487"/>
      <c r="C10" s="487"/>
      <c r="D10" s="487"/>
      <c r="E10" s="487"/>
      <c r="F10" s="487"/>
      <c r="G10" s="487"/>
      <c r="H10" s="487"/>
      <c r="I10" s="487"/>
      <c r="J10" s="487"/>
      <c r="K10" s="487"/>
      <c r="L10" s="487"/>
      <c r="M10" s="487"/>
      <c r="N10" s="487"/>
    </row>
    <row r="11" spans="2:14" ht="15.6" customHeight="1" x14ac:dyDescent="0.25">
      <c r="B11" s="487"/>
      <c r="C11" s="487"/>
      <c r="D11" s="487"/>
      <c r="E11" s="487"/>
      <c r="F11" s="487"/>
      <c r="G11" s="487"/>
      <c r="H11" s="487"/>
      <c r="I11" s="487"/>
      <c r="J11" s="487"/>
      <c r="K11" s="487"/>
      <c r="L11" s="487"/>
      <c r="M11" s="487"/>
      <c r="N11" s="487"/>
    </row>
    <row r="12" spans="2:14" ht="15.6" customHeight="1" x14ac:dyDescent="0.25">
      <c r="B12" s="487"/>
      <c r="C12" s="487"/>
      <c r="D12" s="487"/>
      <c r="E12" s="487"/>
      <c r="F12" s="487"/>
      <c r="G12" s="487"/>
      <c r="H12" s="487"/>
      <c r="I12" s="487"/>
      <c r="J12" s="487"/>
      <c r="K12" s="487"/>
      <c r="L12" s="487"/>
      <c r="M12" s="487"/>
      <c r="N12" s="487"/>
    </row>
    <row r="13" spans="2:14" ht="36" customHeight="1" x14ac:dyDescent="0.25">
      <c r="B13" s="539" t="s">
        <v>329</v>
      </c>
      <c r="C13" s="548"/>
      <c r="D13" s="687" t="s">
        <v>623</v>
      </c>
      <c r="E13" s="687"/>
      <c r="F13" s="428"/>
      <c r="G13" s="687" t="s">
        <v>625</v>
      </c>
      <c r="H13" s="687"/>
      <c r="I13" s="428"/>
      <c r="J13" s="687" t="s">
        <v>626</v>
      </c>
      <c r="K13" s="687"/>
      <c r="L13" s="428"/>
      <c r="M13" s="688" t="s">
        <v>30</v>
      </c>
      <c r="N13" s="688"/>
    </row>
    <row r="15" spans="2:14" x14ac:dyDescent="0.25">
      <c r="B15" s="549">
        <f>'Ex F-1 1 of 1'!B15</f>
        <v>45597</v>
      </c>
      <c r="D15" s="94">
        <f>'Ex F-1 1 of 1'!C15</f>
        <v>0</v>
      </c>
      <c r="E15" s="550" t="s">
        <v>624</v>
      </c>
      <c r="F15" s="550"/>
      <c r="G15" s="456">
        <f>'Ex F-1 1 of 1'!D15</f>
        <v>-6.7000000000000002E-3</v>
      </c>
      <c r="H15" s="455" t="s">
        <v>624</v>
      </c>
      <c r="I15" s="455"/>
      <c r="J15" s="456">
        <f>'Ex F-1 1 of 1'!E15</f>
        <v>0</v>
      </c>
      <c r="K15" s="455" t="s">
        <v>624</v>
      </c>
      <c r="L15" s="455"/>
      <c r="M15" s="456">
        <f>'Ex F-1 1 of 1'!F15</f>
        <v>-6.7000000000000002E-3</v>
      </c>
      <c r="N15" s="455" t="s">
        <v>624</v>
      </c>
    </row>
    <row r="16" spans="2:14" x14ac:dyDescent="0.25">
      <c r="B16" s="549"/>
    </row>
    <row r="17" spans="2:14" x14ac:dyDescent="0.25">
      <c r="B17" s="549">
        <f>'Ex F-1 1 of 1'!B17</f>
        <v>45962</v>
      </c>
      <c r="D17" s="94">
        <f>'Ex F-1 1 of 1'!C17</f>
        <v>0.44949999999999996</v>
      </c>
      <c r="E17" s="550" t="s">
        <v>624</v>
      </c>
      <c r="F17" s="550"/>
      <c r="G17" s="456">
        <f>'Ex F-1 1 of 1'!D17</f>
        <v>-6.7000000000000002E-3</v>
      </c>
      <c r="H17" s="455" t="s">
        <v>624</v>
      </c>
      <c r="I17" s="455"/>
      <c r="J17" s="456">
        <f>'Ex F-1 1 of 1'!E17</f>
        <v>0</v>
      </c>
      <c r="K17" s="455" t="s">
        <v>624</v>
      </c>
      <c r="L17" s="455"/>
      <c r="M17" s="456">
        <f>'Ex F-1 1 of 1'!F17</f>
        <v>0.44279999999999997</v>
      </c>
      <c r="N17" s="455" t="s">
        <v>624</v>
      </c>
    </row>
  </sheetData>
  <mergeCells count="10">
    <mergeCell ref="D13:E13"/>
    <mergeCell ref="G13:H13"/>
    <mergeCell ref="J13:K13"/>
    <mergeCell ref="M13:N13"/>
    <mergeCell ref="B7:N7"/>
    <mergeCell ref="B3:N3"/>
    <mergeCell ref="B4:N4"/>
    <mergeCell ref="B5:N5"/>
    <mergeCell ref="B1:N1"/>
    <mergeCell ref="B9:N9"/>
  </mergeCells>
  <pageMargins left="0.7" right="0.7" top="0.75" bottom="0.75" header="0.3" footer="0.3"/>
  <pageSetup scale="74" orientation="portrait" r:id="rId1"/>
  <headerFooter>
    <oddHeader>&amp;R&amp;"Times New Roman,Bold"Exhibit F</oddHeader>
  </headerFooter>
  <customProperties>
    <customPr name="_pios_id" r:id="rId2"/>
  </customPropertie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3" tint="0.59999389629810485"/>
    <pageSetUpPr fitToPage="1"/>
  </sheetPr>
  <dimension ref="A1:P21"/>
  <sheetViews>
    <sheetView zoomScale="80" zoomScaleNormal="80" workbookViewId="0"/>
  </sheetViews>
  <sheetFormatPr defaultColWidth="8.88671875" defaultRowHeight="15.75" x14ac:dyDescent="0.25"/>
  <cols>
    <col min="1" max="1" width="8.88671875" style="3"/>
    <col min="2" max="2" width="26.109375" style="3" customWidth="1"/>
    <col min="3" max="3" width="14.44140625" style="3" customWidth="1"/>
    <col min="4" max="4" width="12.21875" style="3" customWidth="1"/>
    <col min="5" max="5" width="13.44140625" style="3" customWidth="1"/>
    <col min="6" max="6" width="12.5546875" style="3" customWidth="1"/>
    <col min="7" max="11" width="8.88671875" style="3"/>
    <col min="12" max="12" width="10.33203125" style="3" customWidth="1"/>
    <col min="13" max="16384" width="8.88671875" style="3"/>
  </cols>
  <sheetData>
    <row r="1" spans="1:16" ht="18.75" x14ac:dyDescent="0.3">
      <c r="B1" s="689" t="s">
        <v>5</v>
      </c>
      <c r="C1" s="689"/>
      <c r="D1" s="689"/>
      <c r="E1" s="689"/>
      <c r="F1" s="689"/>
    </row>
    <row r="2" spans="1:16" ht="18.75" x14ac:dyDescent="0.3">
      <c r="B2" s="86"/>
      <c r="C2" s="86"/>
      <c r="D2" s="86"/>
      <c r="E2" s="86"/>
      <c r="F2" s="86"/>
    </row>
    <row r="3" spans="1:16" ht="18.75" x14ac:dyDescent="0.3">
      <c r="B3" s="623" t="str">
        <f>CONCATENATE("Gas Supply Clause ", 'Input Data'!C12)</f>
        <v>Gas Supply Clause 2025-00400</v>
      </c>
      <c r="C3" s="623"/>
      <c r="D3" s="623"/>
      <c r="E3" s="623"/>
      <c r="F3" s="623"/>
    </row>
    <row r="4" spans="1:16" ht="18.75" x14ac:dyDescent="0.3">
      <c r="B4" s="623" t="s">
        <v>327</v>
      </c>
      <c r="C4" s="623"/>
      <c r="D4" s="623"/>
      <c r="E4" s="623"/>
      <c r="F4" s="623"/>
    </row>
    <row r="5" spans="1:16" ht="18.75" x14ac:dyDescent="0.3">
      <c r="B5" s="623" t="s">
        <v>328</v>
      </c>
      <c r="C5" s="623"/>
      <c r="D5" s="623"/>
      <c r="E5" s="623"/>
      <c r="F5" s="623"/>
    </row>
    <row r="6" spans="1:16" ht="18.75" x14ac:dyDescent="0.3">
      <c r="B6" s="623" t="str">
        <f>CONCATENATE("For Service Rendered On and After ",'Input Data'!$D$4)</f>
        <v>For Service Rendered On and After February 1, 2026</v>
      </c>
      <c r="C6" s="623"/>
      <c r="D6" s="623"/>
      <c r="E6" s="623"/>
      <c r="F6" s="623"/>
    </row>
    <row r="7" spans="1:16" x14ac:dyDescent="0.25">
      <c r="B7" s="13"/>
      <c r="C7" s="13"/>
      <c r="D7" s="13"/>
      <c r="E7" s="13"/>
      <c r="F7" s="13"/>
    </row>
    <row r="8" spans="1:16" x14ac:dyDescent="0.25">
      <c r="B8" s="13"/>
      <c r="C8" s="13"/>
      <c r="D8" s="13"/>
      <c r="E8" s="13"/>
      <c r="F8" s="13"/>
    </row>
    <row r="9" spans="1:16" x14ac:dyDescent="0.25">
      <c r="B9" s="13"/>
      <c r="C9" s="13"/>
      <c r="D9" s="13"/>
      <c r="E9" s="13"/>
      <c r="F9" s="13"/>
    </row>
    <row r="11" spans="1:16" ht="31.5" x14ac:dyDescent="0.25">
      <c r="A11" s="13"/>
      <c r="C11" s="90" t="s">
        <v>469</v>
      </c>
      <c r="D11" s="90" t="s">
        <v>469</v>
      </c>
      <c r="E11" s="90" t="s">
        <v>469</v>
      </c>
      <c r="I11"/>
      <c r="J11"/>
      <c r="K11"/>
      <c r="L11"/>
      <c r="M11"/>
      <c r="N11"/>
      <c r="O11"/>
      <c r="P11"/>
    </row>
    <row r="12" spans="1:16" x14ac:dyDescent="0.25">
      <c r="A12" s="65" t="s">
        <v>245</v>
      </c>
      <c r="B12" s="65" t="s">
        <v>329</v>
      </c>
      <c r="C12" s="65" t="s">
        <v>467</v>
      </c>
      <c r="D12" s="65" t="s">
        <v>468</v>
      </c>
      <c r="E12" s="65" t="s">
        <v>330</v>
      </c>
      <c r="F12" s="65" t="s">
        <v>331</v>
      </c>
      <c r="H12"/>
      <c r="I12"/>
      <c r="J12"/>
      <c r="K12"/>
      <c r="L12"/>
      <c r="M12"/>
      <c r="N12"/>
      <c r="O12"/>
      <c r="P12"/>
    </row>
    <row r="13" spans="1:16" x14ac:dyDescent="0.25">
      <c r="A13" s="13"/>
      <c r="B13" s="13" t="s">
        <v>60</v>
      </c>
      <c r="C13" s="13" t="s">
        <v>61</v>
      </c>
      <c r="D13" s="13" t="s">
        <v>62</v>
      </c>
      <c r="E13" s="13" t="s">
        <v>63</v>
      </c>
      <c r="F13" s="13" t="s">
        <v>489</v>
      </c>
      <c r="H13"/>
      <c r="I13"/>
      <c r="J13"/>
      <c r="K13"/>
      <c r="L13"/>
      <c r="M13"/>
      <c r="N13"/>
      <c r="O13"/>
      <c r="P13"/>
    </row>
    <row r="14" spans="1:16" x14ac:dyDescent="0.25">
      <c r="A14" s="13"/>
      <c r="I14"/>
      <c r="J14"/>
      <c r="K14"/>
      <c r="L14"/>
      <c r="M14"/>
      <c r="N14"/>
      <c r="O14"/>
      <c r="P14"/>
    </row>
    <row r="15" spans="1:16" x14ac:dyDescent="0.25">
      <c r="A15" s="13">
        <v>1</v>
      </c>
      <c r="B15" s="546">
        <f>'Input Data'!B212</f>
        <v>45597</v>
      </c>
      <c r="C15" s="547">
        <f>'Input Data'!C212</f>
        <v>0</v>
      </c>
      <c r="D15" s="547">
        <f>'Input Data'!D212</f>
        <v>-6.7000000000000002E-3</v>
      </c>
      <c r="E15" s="547">
        <f>'Input Data'!E212</f>
        <v>0</v>
      </c>
      <c r="F15" s="547">
        <f>SUM(C15:E15)</f>
        <v>-6.7000000000000002E-3</v>
      </c>
      <c r="I15"/>
      <c r="J15"/>
      <c r="K15"/>
      <c r="L15"/>
      <c r="M15"/>
      <c r="N15"/>
      <c r="O15"/>
      <c r="P15"/>
    </row>
    <row r="16" spans="1:16" x14ac:dyDescent="0.25">
      <c r="A16" s="13"/>
      <c r="B16" s="13"/>
      <c r="C16" s="547"/>
      <c r="D16" s="547"/>
      <c r="E16" s="547"/>
      <c r="F16" s="547"/>
      <c r="I16"/>
      <c r="J16"/>
      <c r="K16"/>
      <c r="L16"/>
      <c r="M16"/>
      <c r="N16"/>
      <c r="O16"/>
      <c r="P16"/>
    </row>
    <row r="17" spans="1:16" x14ac:dyDescent="0.25">
      <c r="A17" s="13">
        <v>2</v>
      </c>
      <c r="B17" s="546">
        <f>'Input Data'!B213</f>
        <v>45962</v>
      </c>
      <c r="C17" s="547">
        <f>'Input Data'!C213</f>
        <v>0.44949999999999996</v>
      </c>
      <c r="D17" s="547">
        <f>'Input Data'!D213</f>
        <v>-6.7000000000000002E-3</v>
      </c>
      <c r="E17" s="547">
        <f>'Input Data'!E213</f>
        <v>0</v>
      </c>
      <c r="F17" s="547">
        <f>SUM(C17:E17)</f>
        <v>0.44279999999999997</v>
      </c>
      <c r="I17"/>
      <c r="J17"/>
      <c r="K17"/>
      <c r="L17"/>
      <c r="M17"/>
      <c r="N17"/>
      <c r="O17"/>
      <c r="P17"/>
    </row>
    <row r="18" spans="1:16" x14ac:dyDescent="0.25">
      <c r="A18" s="13"/>
      <c r="C18" s="81"/>
      <c r="D18" s="81"/>
      <c r="E18" s="81"/>
      <c r="F18" s="81"/>
      <c r="I18"/>
      <c r="J18"/>
      <c r="K18"/>
      <c r="L18"/>
      <c r="M18"/>
      <c r="N18"/>
      <c r="O18"/>
      <c r="P18"/>
    </row>
    <row r="19" spans="1:16" x14ac:dyDescent="0.25">
      <c r="A19" s="13"/>
      <c r="I19"/>
      <c r="J19"/>
      <c r="K19"/>
      <c r="L19"/>
      <c r="M19"/>
      <c r="N19"/>
      <c r="O19"/>
      <c r="P19"/>
    </row>
    <row r="20" spans="1:16" x14ac:dyDescent="0.25">
      <c r="A20" s="13"/>
      <c r="I20"/>
      <c r="J20"/>
      <c r="K20"/>
      <c r="L20"/>
      <c r="M20"/>
      <c r="N20"/>
      <c r="O20"/>
      <c r="P20"/>
    </row>
    <row r="21" spans="1:16" x14ac:dyDescent="0.25">
      <c r="A21" s="13"/>
      <c r="B21" s="220"/>
      <c r="I21"/>
      <c r="J21"/>
      <c r="K21"/>
      <c r="L21"/>
      <c r="M21"/>
      <c r="N21"/>
      <c r="O21"/>
      <c r="P21"/>
    </row>
  </sheetData>
  <mergeCells count="5">
    <mergeCell ref="B3:F3"/>
    <mergeCell ref="B4:F4"/>
    <mergeCell ref="B5:F5"/>
    <mergeCell ref="B1:F1"/>
    <mergeCell ref="B6:F6"/>
  </mergeCells>
  <pageMargins left="0.7" right="0.7" top="0.75" bottom="0.75" header="0.3" footer="0.3"/>
  <pageSetup scale="87" orientation="portrait" r:id="rId1"/>
  <headerFooter>
    <oddHeader>&amp;R&amp;"Times New Roman,Bold"Exhibit F-1
Page 1 of 1</oddHeader>
  </headerFooter>
  <customProperties>
    <customPr name="_pios_id" r:id="rId2"/>
  </customPropertie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ransitionEvaluation="1" codeName="Sheet16">
    <tabColor theme="3" tint="0.59999389629810485"/>
  </sheetPr>
  <dimension ref="A1:S176"/>
  <sheetViews>
    <sheetView zoomScale="80" zoomScaleNormal="80" zoomScaleSheetLayoutView="80" workbookViewId="0"/>
  </sheetViews>
  <sheetFormatPr defaultColWidth="9.77734375" defaultRowHeight="15.75" x14ac:dyDescent="0.25"/>
  <cols>
    <col min="1" max="1" width="6.77734375" style="3" customWidth="1"/>
    <col min="2" max="2" width="9.77734375" style="3"/>
    <col min="3" max="3" width="4.33203125" style="3" customWidth="1"/>
    <col min="4" max="4" width="25.6640625" style="3" customWidth="1"/>
    <col min="5" max="5" width="10.88671875" style="3" customWidth="1"/>
    <col min="6" max="6" width="3.77734375" style="3" customWidth="1"/>
    <col min="7" max="7" width="14.21875" style="3" customWidth="1"/>
    <col min="8" max="8" width="3.5546875" style="3" customWidth="1"/>
    <col min="9" max="9" width="12.21875" style="3" customWidth="1"/>
    <col min="10" max="10" width="3.5546875" style="3" customWidth="1"/>
    <col min="11" max="11" width="12.21875" style="3" customWidth="1"/>
    <col min="12" max="12" width="3.44140625" style="3" customWidth="1"/>
    <col min="13" max="13" width="14.77734375" style="3" customWidth="1"/>
    <col min="14" max="14" width="3.33203125" style="3" customWidth="1"/>
    <col min="15" max="15" width="11.77734375" style="3" customWidth="1"/>
    <col min="16" max="16" width="4" style="3" customWidth="1"/>
    <col min="17" max="17" width="13.33203125" style="3" customWidth="1"/>
    <col min="18" max="18" width="4" style="3" customWidth="1"/>
    <col min="19" max="19" width="9.77734375" style="3"/>
    <col min="20" max="20" width="3.77734375" style="3" customWidth="1"/>
    <col min="21" max="16384" width="9.77734375" style="3"/>
  </cols>
  <sheetData>
    <row r="1" spans="1:19" x14ac:dyDescent="0.25">
      <c r="A1" s="165" t="s">
        <v>5</v>
      </c>
      <c r="B1" s="166"/>
      <c r="C1" s="166"/>
      <c r="D1" s="166"/>
      <c r="E1" s="166"/>
      <c r="F1" s="166"/>
      <c r="G1" s="166"/>
      <c r="H1" s="166"/>
      <c r="I1" s="166"/>
      <c r="J1" s="166"/>
      <c r="K1" s="166"/>
      <c r="L1" s="166"/>
      <c r="M1" s="166"/>
      <c r="N1" s="166"/>
      <c r="O1" s="166"/>
      <c r="P1" s="166"/>
      <c r="Q1" s="166"/>
      <c r="R1" s="166"/>
      <c r="S1" s="166"/>
    </row>
    <row r="2" spans="1:19" x14ac:dyDescent="0.25">
      <c r="A2" s="43"/>
      <c r="B2" s="166"/>
      <c r="C2" s="166"/>
      <c r="D2" s="166"/>
      <c r="E2" s="166"/>
      <c r="F2" s="166"/>
      <c r="G2" s="166"/>
      <c r="H2" s="166"/>
      <c r="I2" s="166"/>
      <c r="J2" s="166"/>
      <c r="K2" s="166"/>
      <c r="L2" s="166"/>
      <c r="M2" s="166"/>
      <c r="N2" s="166"/>
      <c r="O2" s="166"/>
      <c r="P2" s="166"/>
      <c r="Q2" s="166"/>
      <c r="R2" s="166"/>
      <c r="S2" s="166"/>
    </row>
    <row r="3" spans="1:19" x14ac:dyDescent="0.25">
      <c r="A3" s="43" t="s">
        <v>720</v>
      </c>
      <c r="B3" s="43"/>
      <c r="C3" s="43"/>
      <c r="D3" s="43"/>
      <c r="E3" s="43"/>
      <c r="F3" s="43"/>
      <c r="G3" s="43"/>
      <c r="H3" s="43"/>
      <c r="I3" s="43"/>
      <c r="J3" s="43"/>
      <c r="K3" s="43"/>
      <c r="L3" s="43"/>
      <c r="M3" s="43"/>
      <c r="N3" s="43"/>
      <c r="O3" s="43"/>
      <c r="P3" s="43"/>
      <c r="Q3" s="43"/>
      <c r="R3" s="43"/>
      <c r="S3" s="43"/>
    </row>
    <row r="4" spans="1:19" x14ac:dyDescent="0.25">
      <c r="A4" s="43" t="s">
        <v>201</v>
      </c>
      <c r="B4" s="43"/>
      <c r="C4" s="43"/>
      <c r="D4" s="43"/>
      <c r="E4" s="43"/>
      <c r="F4" s="43"/>
      <c r="G4" s="43"/>
      <c r="H4" s="43"/>
      <c r="I4" s="43"/>
      <c r="J4" s="43"/>
      <c r="K4" s="43"/>
      <c r="L4" s="43"/>
      <c r="M4" s="43"/>
      <c r="N4" s="43"/>
      <c r="O4" s="43"/>
      <c r="P4" s="43"/>
      <c r="Q4" s="43"/>
      <c r="R4" s="43"/>
      <c r="S4" s="43"/>
    </row>
    <row r="5" spans="1:19" x14ac:dyDescent="0.25">
      <c r="A5" s="639" t="str">
        <f>CONCATENATE('Input Data'!D4," through ",'Input Data'!D5)</f>
        <v>February 1, 2026 through April 30, 2026</v>
      </c>
      <c r="B5" s="639"/>
      <c r="C5" s="639"/>
      <c r="D5" s="639"/>
      <c r="E5" s="639"/>
      <c r="F5" s="639"/>
      <c r="G5" s="639"/>
      <c r="H5" s="639"/>
      <c r="I5" s="639"/>
      <c r="J5" s="639"/>
      <c r="K5" s="639"/>
      <c r="L5" s="639"/>
      <c r="M5" s="639"/>
      <c r="N5" s="639"/>
      <c r="O5" s="639"/>
      <c r="P5" s="639"/>
      <c r="Q5" s="639"/>
      <c r="R5" s="639"/>
      <c r="S5" s="639"/>
    </row>
    <row r="6" spans="1:19" x14ac:dyDescent="0.25">
      <c r="A6" s="15"/>
    </row>
    <row r="7" spans="1:19" x14ac:dyDescent="0.25">
      <c r="A7" s="15"/>
    </row>
    <row r="8" spans="1:19" x14ac:dyDescent="0.25">
      <c r="A8" s="2"/>
      <c r="B8" s="2"/>
      <c r="C8" s="2"/>
      <c r="D8" s="2"/>
      <c r="E8" s="168"/>
      <c r="F8" s="2"/>
      <c r="G8" s="2"/>
      <c r="H8" s="2"/>
      <c r="I8" s="362" t="s">
        <v>128</v>
      </c>
      <c r="J8" s="362"/>
      <c r="K8" s="362"/>
      <c r="L8" s="362"/>
      <c r="M8" s="362"/>
      <c r="N8" s="362"/>
      <c r="O8" s="362"/>
      <c r="P8" s="362"/>
      <c r="Q8" s="362"/>
      <c r="R8" s="362"/>
      <c r="S8" s="2"/>
    </row>
    <row r="9" spans="1:19" x14ac:dyDescent="0.25">
      <c r="A9" s="2"/>
      <c r="B9" s="2"/>
      <c r="C9" s="2"/>
      <c r="D9" s="2"/>
      <c r="E9" s="2"/>
      <c r="F9" s="2"/>
      <c r="G9" s="238" t="s">
        <v>449</v>
      </c>
      <c r="H9" s="2"/>
      <c r="I9" s="2"/>
      <c r="J9" s="2"/>
      <c r="K9" s="2"/>
      <c r="L9" s="2"/>
      <c r="M9" s="2"/>
      <c r="N9" s="2"/>
      <c r="O9" s="2"/>
      <c r="P9" s="2"/>
      <c r="Q9" s="238" t="s">
        <v>449</v>
      </c>
      <c r="R9" s="2"/>
      <c r="S9" s="2"/>
    </row>
    <row r="10" spans="1:19" x14ac:dyDescent="0.25">
      <c r="A10" s="2"/>
      <c r="B10" s="2"/>
      <c r="C10" s="2"/>
      <c r="D10" s="2"/>
      <c r="E10" s="238" t="s">
        <v>226</v>
      </c>
      <c r="F10" s="2"/>
      <c r="G10" s="465" t="s">
        <v>129</v>
      </c>
      <c r="H10" s="238"/>
      <c r="I10" s="238" t="s">
        <v>157</v>
      </c>
      <c r="J10" s="238"/>
      <c r="K10" s="114" t="s">
        <v>129</v>
      </c>
      <c r="L10" s="2"/>
      <c r="M10" s="238" t="s">
        <v>130</v>
      </c>
      <c r="N10" s="2"/>
      <c r="O10" s="238" t="s">
        <v>131</v>
      </c>
      <c r="P10" s="238"/>
      <c r="Q10" s="238" t="s">
        <v>564</v>
      </c>
      <c r="R10" s="238"/>
      <c r="S10" s="2"/>
    </row>
    <row r="11" spans="1:19" x14ac:dyDescent="0.25">
      <c r="A11" s="2"/>
      <c r="B11" s="2"/>
      <c r="C11" s="2"/>
      <c r="D11" s="2"/>
      <c r="E11" s="238" t="s">
        <v>132</v>
      </c>
      <c r="F11" s="2"/>
      <c r="G11" s="238" t="s">
        <v>132</v>
      </c>
      <c r="H11" s="238"/>
      <c r="I11" s="238" t="s">
        <v>132</v>
      </c>
      <c r="J11" s="238"/>
      <c r="K11" s="238" t="s">
        <v>133</v>
      </c>
      <c r="L11" s="2"/>
      <c r="M11" s="238" t="s">
        <v>134</v>
      </c>
      <c r="N11" s="2"/>
      <c r="O11" s="238" t="s">
        <v>135</v>
      </c>
      <c r="P11" s="238"/>
      <c r="Q11" s="238" t="s">
        <v>563</v>
      </c>
      <c r="R11" s="238"/>
      <c r="S11" s="2"/>
    </row>
    <row r="12" spans="1:19" x14ac:dyDescent="0.25">
      <c r="A12" s="2"/>
      <c r="B12" s="2"/>
      <c r="C12" s="2"/>
      <c r="D12" s="2"/>
      <c r="E12" s="113" t="s">
        <v>601</v>
      </c>
      <c r="F12" s="2"/>
      <c r="G12" s="115" t="s">
        <v>136</v>
      </c>
      <c r="H12" s="238"/>
      <c r="I12" s="115" t="s">
        <v>139</v>
      </c>
      <c r="J12" s="238"/>
      <c r="K12" s="113" t="s">
        <v>137</v>
      </c>
      <c r="L12" s="2"/>
      <c r="M12" s="113" t="s">
        <v>138</v>
      </c>
      <c r="N12" s="2"/>
      <c r="O12" s="115" t="s">
        <v>139</v>
      </c>
      <c r="P12" s="238"/>
      <c r="Q12" s="115" t="s">
        <v>139</v>
      </c>
      <c r="R12" s="238"/>
      <c r="S12" s="113" t="s">
        <v>140</v>
      </c>
    </row>
    <row r="13" spans="1:19" x14ac:dyDescent="0.25">
      <c r="A13" s="2"/>
      <c r="B13" s="2"/>
      <c r="C13" s="2"/>
      <c r="D13" s="2"/>
      <c r="E13" s="2"/>
      <c r="F13" s="2"/>
      <c r="G13" s="2"/>
      <c r="H13" s="2"/>
      <c r="I13" s="2"/>
      <c r="J13" s="2"/>
      <c r="K13" s="2"/>
      <c r="L13" s="2"/>
      <c r="M13" s="2"/>
      <c r="N13" s="2"/>
      <c r="O13" s="2"/>
      <c r="P13" s="2"/>
      <c r="Q13" s="2"/>
      <c r="R13" s="2"/>
      <c r="S13" s="2"/>
    </row>
    <row r="14" spans="1:19" x14ac:dyDescent="0.25">
      <c r="A14" s="114" t="s">
        <v>737</v>
      </c>
      <c r="B14" s="2"/>
      <c r="C14" s="2"/>
      <c r="D14" s="2"/>
      <c r="E14" s="2"/>
      <c r="F14" s="2"/>
      <c r="G14" s="2"/>
      <c r="H14" s="2"/>
      <c r="I14" s="2"/>
      <c r="J14" s="2"/>
      <c r="K14" s="167"/>
      <c r="L14" s="2"/>
      <c r="M14" s="2"/>
      <c r="N14" s="2"/>
      <c r="O14" s="2"/>
      <c r="P14" s="2"/>
      <c r="Q14" s="2"/>
      <c r="R14" s="2"/>
      <c r="S14" s="2"/>
    </row>
    <row r="15" spans="1:19" x14ac:dyDescent="0.25">
      <c r="A15" s="2"/>
      <c r="B15" s="114" t="s">
        <v>225</v>
      </c>
      <c r="C15" s="2"/>
      <c r="D15" s="2"/>
      <c r="E15" s="168">
        <v>0.65</v>
      </c>
      <c r="F15" s="2"/>
      <c r="G15" s="168">
        <v>2.97</v>
      </c>
      <c r="H15" s="2"/>
      <c r="I15" s="2"/>
      <c r="J15" s="2"/>
      <c r="K15" s="167"/>
      <c r="L15" s="2"/>
      <c r="M15" s="2"/>
      <c r="N15" s="2"/>
      <c r="O15" s="167"/>
      <c r="P15" s="167"/>
      <c r="Q15" s="167"/>
      <c r="R15" s="167"/>
      <c r="S15" s="2"/>
    </row>
    <row r="16" spans="1:19" x14ac:dyDescent="0.25">
      <c r="A16" s="2"/>
      <c r="B16" s="114" t="s">
        <v>141</v>
      </c>
      <c r="C16" s="2"/>
      <c r="D16" s="2"/>
      <c r="E16" s="168"/>
      <c r="F16" s="2"/>
      <c r="G16" s="2"/>
      <c r="H16" s="2"/>
      <c r="I16" s="167"/>
      <c r="J16" s="2"/>
      <c r="K16" s="167">
        <v>0.51809000000000005</v>
      </c>
      <c r="L16" s="2"/>
      <c r="M16" s="167">
        <f>'Summary Sheet'!K59</f>
        <v>0.46766999999999997</v>
      </c>
      <c r="N16" s="2"/>
      <c r="O16" s="167">
        <v>2.0289999999999999E-2</v>
      </c>
      <c r="P16" s="167"/>
      <c r="Q16" s="167">
        <v>0</v>
      </c>
      <c r="R16" s="167"/>
      <c r="S16" s="167">
        <f>SUM(K16:R16)</f>
        <v>1.0060499999999999</v>
      </c>
    </row>
    <row r="17" spans="1:19" x14ac:dyDescent="0.25">
      <c r="A17" s="2"/>
      <c r="B17" s="2"/>
      <c r="C17" s="2"/>
      <c r="D17" s="2"/>
      <c r="E17" s="168"/>
      <c r="F17" s="2"/>
      <c r="G17" s="2"/>
      <c r="H17" s="2"/>
      <c r="I17" s="2"/>
      <c r="J17" s="2"/>
      <c r="K17" s="167"/>
      <c r="L17" s="2"/>
      <c r="M17" s="167"/>
      <c r="N17" s="2"/>
      <c r="O17" s="169"/>
      <c r="P17" s="169"/>
      <c r="Q17" s="169"/>
      <c r="R17" s="169"/>
      <c r="S17" s="167"/>
    </row>
    <row r="18" spans="1:19" x14ac:dyDescent="0.25">
      <c r="A18" s="2"/>
      <c r="B18" s="2"/>
      <c r="C18" s="2"/>
      <c r="D18" s="2"/>
      <c r="E18" s="168"/>
      <c r="F18" s="2"/>
      <c r="G18" s="2"/>
      <c r="H18" s="2"/>
      <c r="I18" s="2"/>
      <c r="J18" s="2"/>
      <c r="K18" s="167"/>
      <c r="L18" s="2"/>
      <c r="M18" s="167"/>
      <c r="N18" s="2"/>
      <c r="O18" s="169"/>
      <c r="P18" s="169"/>
      <c r="Q18" s="169"/>
      <c r="R18" s="169"/>
      <c r="S18" s="167"/>
    </row>
    <row r="19" spans="1:19" x14ac:dyDescent="0.25">
      <c r="A19" s="114" t="s">
        <v>142</v>
      </c>
      <c r="B19" s="2"/>
      <c r="C19" s="2"/>
      <c r="D19" s="2" t="s">
        <v>143</v>
      </c>
      <c r="E19" s="168"/>
      <c r="F19" s="2"/>
      <c r="G19" s="2"/>
      <c r="H19" s="2"/>
      <c r="I19" s="2"/>
      <c r="J19" s="2"/>
      <c r="K19" s="167"/>
      <c r="L19" s="2"/>
      <c r="M19" s="167"/>
      <c r="N19" s="2"/>
      <c r="O19" s="169"/>
      <c r="P19" s="169"/>
      <c r="Q19" s="169"/>
      <c r="R19" s="169"/>
      <c r="S19" s="167"/>
    </row>
    <row r="20" spans="1:19" x14ac:dyDescent="0.25">
      <c r="A20" s="2"/>
      <c r="B20" s="114" t="s">
        <v>225</v>
      </c>
      <c r="C20" s="2"/>
      <c r="D20" s="2"/>
      <c r="E20" s="168">
        <v>2.2999999999999998</v>
      </c>
      <c r="F20" s="2"/>
      <c r="G20" s="168">
        <v>14.84</v>
      </c>
      <c r="H20" s="2"/>
      <c r="I20" s="2"/>
      <c r="J20" s="2"/>
      <c r="K20" s="167"/>
      <c r="L20" s="2"/>
      <c r="M20" s="167"/>
      <c r="N20" s="2"/>
      <c r="O20" s="169"/>
      <c r="P20" s="169"/>
      <c r="Q20" s="169"/>
      <c r="R20" s="169"/>
      <c r="S20" s="167"/>
    </row>
    <row r="21" spans="1:19" x14ac:dyDescent="0.25">
      <c r="A21" s="114" t="s">
        <v>144</v>
      </c>
      <c r="B21" s="2"/>
      <c r="C21" s="2"/>
      <c r="D21" s="2"/>
      <c r="E21" s="168"/>
      <c r="F21" s="2"/>
      <c r="G21" s="2"/>
      <c r="H21" s="2"/>
      <c r="I21" s="2"/>
      <c r="J21" s="2"/>
      <c r="K21" s="167"/>
      <c r="L21" s="2"/>
      <c r="M21" s="167"/>
      <c r="N21" s="2"/>
      <c r="O21" s="169"/>
      <c r="P21" s="169"/>
      <c r="Q21" s="169"/>
      <c r="R21" s="169"/>
      <c r="S21" s="167"/>
    </row>
    <row r="22" spans="1:19" x14ac:dyDescent="0.25">
      <c r="A22" s="2"/>
      <c r="B22" s="114" t="s">
        <v>145</v>
      </c>
      <c r="C22" s="2"/>
      <c r="D22" s="2"/>
      <c r="E22" s="168"/>
      <c r="F22" s="2"/>
      <c r="G22" s="2"/>
      <c r="H22" s="2"/>
      <c r="I22" s="167"/>
      <c r="J22" s="2"/>
      <c r="K22" s="167">
        <v>0.38950000000000001</v>
      </c>
      <c r="L22" s="2"/>
      <c r="M22" s="167">
        <f>$M$16</f>
        <v>0.46766999999999997</v>
      </c>
      <c r="N22" s="2"/>
      <c r="O22" s="167">
        <v>1.2999999999999999E-4</v>
      </c>
      <c r="P22" s="167"/>
      <c r="Q22" s="167">
        <v>0</v>
      </c>
      <c r="R22" s="167"/>
      <c r="S22" s="167">
        <f>SUM(K22:R22)</f>
        <v>0.85729999999999995</v>
      </c>
    </row>
    <row r="23" spans="1:19" x14ac:dyDescent="0.25">
      <c r="A23" s="2"/>
      <c r="B23" s="114" t="s">
        <v>146</v>
      </c>
      <c r="C23" s="2"/>
      <c r="D23" s="2"/>
      <c r="E23" s="168"/>
      <c r="F23" s="2"/>
      <c r="G23" s="2"/>
      <c r="H23" s="2"/>
      <c r="I23" s="167"/>
      <c r="J23" s="2"/>
      <c r="K23" s="167">
        <f>K22-0.05</f>
        <v>0.33950000000000002</v>
      </c>
      <c r="L23" s="2"/>
      <c r="M23" s="167">
        <f>$M$16</f>
        <v>0.46766999999999997</v>
      </c>
      <c r="N23" s="2"/>
      <c r="O23" s="167">
        <f>+O22</f>
        <v>1.2999999999999999E-4</v>
      </c>
      <c r="P23" s="167"/>
      <c r="Q23" s="167">
        <f>+Q22</f>
        <v>0</v>
      </c>
      <c r="R23" s="167"/>
      <c r="S23" s="167">
        <f>SUM(K23:R23)</f>
        <v>0.80729999999999991</v>
      </c>
    </row>
    <row r="24" spans="1:19" x14ac:dyDescent="0.25">
      <c r="A24" s="114" t="s">
        <v>147</v>
      </c>
      <c r="B24" s="2"/>
      <c r="C24" s="2"/>
      <c r="D24" s="2"/>
      <c r="E24" s="168"/>
      <c r="F24" s="2"/>
      <c r="G24" s="2"/>
      <c r="H24" s="2"/>
      <c r="I24" s="2"/>
      <c r="J24" s="2"/>
      <c r="K24" s="167"/>
      <c r="L24" s="2"/>
      <c r="M24" s="167"/>
      <c r="N24" s="2"/>
      <c r="O24" s="167"/>
      <c r="P24" s="167"/>
      <c r="Q24" s="167"/>
      <c r="R24" s="167"/>
      <c r="S24" s="167"/>
    </row>
    <row r="25" spans="1:19" x14ac:dyDescent="0.25">
      <c r="A25" s="2"/>
      <c r="B25" s="114" t="s">
        <v>141</v>
      </c>
      <c r="C25" s="2"/>
      <c r="D25" s="2"/>
      <c r="E25" s="168"/>
      <c r="F25" s="2"/>
      <c r="G25" s="2"/>
      <c r="H25" s="2"/>
      <c r="I25" s="167"/>
      <c r="J25" s="2"/>
      <c r="K25" s="167">
        <f>K22</f>
        <v>0.38950000000000001</v>
      </c>
      <c r="L25" s="2"/>
      <c r="M25" s="167">
        <f>$M$16</f>
        <v>0.46766999999999997</v>
      </c>
      <c r="N25" s="2"/>
      <c r="O25" s="167">
        <f>+O22</f>
        <v>1.2999999999999999E-4</v>
      </c>
      <c r="P25" s="167"/>
      <c r="Q25" s="167">
        <f>+Q22</f>
        <v>0</v>
      </c>
      <c r="R25" s="167"/>
      <c r="S25" s="167">
        <f>SUM(K25:R25)</f>
        <v>0.85729999999999995</v>
      </c>
    </row>
    <row r="26" spans="1:19" x14ac:dyDescent="0.25">
      <c r="A26" s="2"/>
      <c r="B26" s="2"/>
      <c r="C26" s="2"/>
      <c r="D26" s="2"/>
      <c r="E26" s="168"/>
      <c r="F26" s="2"/>
      <c r="G26" s="2"/>
      <c r="H26" s="2"/>
      <c r="I26" s="2"/>
      <c r="J26" s="2"/>
      <c r="K26" s="167"/>
      <c r="L26" s="2"/>
      <c r="M26" s="167"/>
      <c r="N26" s="2"/>
      <c r="O26" s="169"/>
      <c r="P26" s="169"/>
      <c r="Q26" s="169"/>
      <c r="R26" s="169"/>
      <c r="S26" s="167"/>
    </row>
    <row r="27" spans="1:19" x14ac:dyDescent="0.25">
      <c r="A27" s="2"/>
      <c r="B27" s="2"/>
      <c r="C27" s="2"/>
      <c r="D27" s="2"/>
      <c r="E27" s="168"/>
      <c r="F27" s="2"/>
      <c r="G27" s="2"/>
      <c r="H27" s="2"/>
      <c r="I27" s="2"/>
      <c r="J27" s="2"/>
      <c r="K27" s="167"/>
      <c r="L27" s="2"/>
      <c r="M27" s="167"/>
      <c r="N27" s="2"/>
      <c r="O27" s="169"/>
      <c r="P27" s="169"/>
      <c r="Q27" s="169"/>
      <c r="R27" s="169"/>
      <c r="S27" s="167"/>
    </row>
    <row r="28" spans="1:19" x14ac:dyDescent="0.25">
      <c r="A28" s="114" t="s">
        <v>142</v>
      </c>
      <c r="B28" s="2"/>
      <c r="C28" s="2"/>
      <c r="D28" s="2" t="s">
        <v>148</v>
      </c>
      <c r="E28" s="168"/>
      <c r="F28" s="2"/>
      <c r="G28" s="2"/>
      <c r="H28" s="2"/>
      <c r="I28" s="2"/>
      <c r="J28" s="2"/>
      <c r="K28" s="167"/>
      <c r="L28" s="2"/>
      <c r="M28" s="167"/>
      <c r="N28" s="2"/>
      <c r="O28" s="169"/>
      <c r="P28" s="169"/>
      <c r="Q28" s="169"/>
      <c r="R28" s="169"/>
      <c r="S28" s="167"/>
    </row>
    <row r="29" spans="1:19" x14ac:dyDescent="0.25">
      <c r="A29" s="2"/>
      <c r="B29" s="114" t="s">
        <v>225</v>
      </c>
      <c r="C29" s="2"/>
      <c r="D29" s="2"/>
      <c r="E29" s="168">
        <v>11</v>
      </c>
      <c r="F29" s="2"/>
      <c r="G29" s="168">
        <f>G20</f>
        <v>14.84</v>
      </c>
      <c r="H29" s="2"/>
      <c r="I29" s="2"/>
      <c r="J29" s="2"/>
      <c r="K29" s="167"/>
      <c r="L29" s="2"/>
      <c r="M29" s="167"/>
      <c r="N29" s="2"/>
      <c r="O29" s="169"/>
      <c r="P29" s="169"/>
      <c r="Q29" s="169"/>
      <c r="R29" s="169"/>
      <c r="S29" s="167"/>
    </row>
    <row r="30" spans="1:19" x14ac:dyDescent="0.25">
      <c r="A30" s="114" t="s">
        <v>144</v>
      </c>
      <c r="B30" s="2"/>
      <c r="C30" s="2"/>
      <c r="D30" s="2"/>
      <c r="E30" s="168"/>
      <c r="F30" s="2"/>
      <c r="G30" s="2"/>
      <c r="H30" s="2"/>
      <c r="I30" s="2"/>
      <c r="J30" s="2"/>
      <c r="K30" s="167"/>
      <c r="L30" s="2"/>
      <c r="M30" s="167"/>
      <c r="N30" s="2"/>
      <c r="O30" s="169"/>
      <c r="P30" s="169"/>
      <c r="Q30" s="169"/>
      <c r="R30" s="169"/>
      <c r="S30" s="167"/>
    </row>
    <row r="31" spans="1:19" x14ac:dyDescent="0.25">
      <c r="A31" s="2"/>
      <c r="B31" s="114" t="s">
        <v>145</v>
      </c>
      <c r="C31" s="2"/>
      <c r="D31" s="2"/>
      <c r="E31" s="168"/>
      <c r="F31" s="2"/>
      <c r="G31" s="2"/>
      <c r="H31" s="2"/>
      <c r="I31" s="167"/>
      <c r="J31" s="2"/>
      <c r="K31" s="167">
        <f>+K22</f>
        <v>0.38950000000000001</v>
      </c>
      <c r="L31" s="2"/>
      <c r="M31" s="167">
        <f>$M$16</f>
        <v>0.46766999999999997</v>
      </c>
      <c r="N31" s="2"/>
      <c r="O31" s="167">
        <f>+O22</f>
        <v>1.2999999999999999E-4</v>
      </c>
      <c r="P31" s="167"/>
      <c r="Q31" s="167">
        <f>+Q22</f>
        <v>0</v>
      </c>
      <c r="R31" s="167"/>
      <c r="S31" s="167">
        <f>SUM(K31:R31)</f>
        <v>0.85729999999999995</v>
      </c>
    </row>
    <row r="32" spans="1:19" x14ac:dyDescent="0.25">
      <c r="A32" s="2"/>
      <c r="B32" s="114" t="s">
        <v>146</v>
      </c>
      <c r="C32" s="2"/>
      <c r="D32" s="2"/>
      <c r="E32" s="168"/>
      <c r="F32" s="2"/>
      <c r="G32" s="2"/>
      <c r="H32" s="2"/>
      <c r="I32" s="167"/>
      <c r="J32" s="2"/>
      <c r="K32" s="167">
        <f>+K23</f>
        <v>0.33950000000000002</v>
      </c>
      <c r="L32" s="2"/>
      <c r="M32" s="167">
        <f>$M$16</f>
        <v>0.46766999999999997</v>
      </c>
      <c r="N32" s="2"/>
      <c r="O32" s="167">
        <f>+O22</f>
        <v>1.2999999999999999E-4</v>
      </c>
      <c r="P32" s="167"/>
      <c r="Q32" s="167">
        <f>+Q22</f>
        <v>0</v>
      </c>
      <c r="R32" s="167"/>
      <c r="S32" s="167">
        <f>SUM(K32:R32)</f>
        <v>0.80729999999999991</v>
      </c>
    </row>
    <row r="33" spans="1:19" x14ac:dyDescent="0.25">
      <c r="A33" s="114" t="s">
        <v>147</v>
      </c>
      <c r="B33" s="2"/>
      <c r="C33" s="2"/>
      <c r="D33" s="2"/>
      <c r="E33" s="168"/>
      <c r="F33" s="2"/>
      <c r="G33" s="2"/>
      <c r="H33" s="2"/>
      <c r="I33" s="2"/>
      <c r="J33" s="2"/>
      <c r="K33" s="167"/>
      <c r="L33" s="2"/>
      <c r="M33" s="167"/>
      <c r="N33" s="2"/>
      <c r="O33" s="167"/>
      <c r="P33" s="167"/>
      <c r="Q33" s="167"/>
      <c r="R33" s="167"/>
      <c r="S33" s="167"/>
    </row>
    <row r="34" spans="1:19" x14ac:dyDescent="0.25">
      <c r="A34" s="2"/>
      <c r="B34" s="114" t="s">
        <v>141</v>
      </c>
      <c r="C34" s="2"/>
      <c r="D34" s="2"/>
      <c r="E34" s="168"/>
      <c r="F34" s="2"/>
      <c r="G34" s="2"/>
      <c r="H34" s="2"/>
      <c r="I34" s="167"/>
      <c r="J34" s="2"/>
      <c r="K34" s="167">
        <f>+K25</f>
        <v>0.38950000000000001</v>
      </c>
      <c r="L34" s="2"/>
      <c r="M34" s="167">
        <f>$M$16</f>
        <v>0.46766999999999997</v>
      </c>
      <c r="N34" s="2"/>
      <c r="O34" s="167">
        <f>+O22</f>
        <v>1.2999999999999999E-4</v>
      </c>
      <c r="P34" s="167"/>
      <c r="Q34" s="167">
        <f>+Q22</f>
        <v>0</v>
      </c>
      <c r="R34" s="167"/>
      <c r="S34" s="167">
        <f>SUM(K34:R34)</f>
        <v>0.85729999999999995</v>
      </c>
    </row>
    <row r="35" spans="1:19" x14ac:dyDescent="0.25">
      <c r="A35" s="2"/>
      <c r="B35" s="2"/>
      <c r="C35" s="2"/>
      <c r="D35" s="2"/>
      <c r="E35" s="168"/>
      <c r="F35" s="2"/>
      <c r="G35" s="2"/>
      <c r="H35" s="2"/>
      <c r="I35" s="2"/>
      <c r="J35" s="2"/>
      <c r="K35" s="167"/>
      <c r="L35" s="2"/>
      <c r="M35" s="167"/>
      <c r="N35" s="2"/>
      <c r="O35" s="167"/>
      <c r="P35" s="167"/>
      <c r="Q35" s="167"/>
      <c r="R35" s="167"/>
      <c r="S35" s="167"/>
    </row>
    <row r="36" spans="1:19" x14ac:dyDescent="0.25">
      <c r="A36" s="2"/>
      <c r="B36" s="2"/>
      <c r="C36" s="2"/>
      <c r="D36" s="2"/>
      <c r="E36" s="168"/>
      <c r="F36" s="2"/>
      <c r="G36" s="2"/>
      <c r="H36" s="2"/>
      <c r="I36" s="2"/>
      <c r="J36" s="2"/>
      <c r="K36" s="167"/>
      <c r="L36" s="2"/>
      <c r="M36" s="167"/>
      <c r="N36" s="2"/>
      <c r="O36" s="169"/>
      <c r="P36" s="169"/>
      <c r="Q36" s="169"/>
      <c r="R36" s="169"/>
      <c r="S36" s="167"/>
    </row>
    <row r="37" spans="1:19" x14ac:dyDescent="0.25">
      <c r="A37" s="114" t="s">
        <v>149</v>
      </c>
      <c r="B37" s="2"/>
      <c r="C37" s="2"/>
      <c r="D37" s="2" t="s">
        <v>150</v>
      </c>
      <c r="E37" s="168"/>
      <c r="F37" s="2"/>
      <c r="G37" s="2"/>
      <c r="H37" s="2"/>
      <c r="I37" s="2"/>
      <c r="J37" s="2"/>
      <c r="K37" s="167"/>
      <c r="L37" s="2"/>
      <c r="M37" s="167"/>
      <c r="N37" s="2"/>
      <c r="O37" s="169"/>
      <c r="P37" s="169"/>
      <c r="Q37" s="169"/>
      <c r="R37" s="169"/>
      <c r="S37" s="167"/>
    </row>
    <row r="38" spans="1:19" x14ac:dyDescent="0.25">
      <c r="A38" s="2"/>
      <c r="B38" s="114" t="s">
        <v>225</v>
      </c>
      <c r="C38" s="2"/>
      <c r="D38" s="2"/>
      <c r="E38" s="168">
        <v>5.42</v>
      </c>
      <c r="F38" s="2"/>
      <c r="G38" s="168">
        <v>203.04</v>
      </c>
      <c r="H38" s="2"/>
      <c r="I38" s="2"/>
      <c r="J38" s="2"/>
      <c r="K38" s="167"/>
      <c r="L38" s="2"/>
      <c r="M38" s="167"/>
      <c r="N38" s="2"/>
      <c r="O38" s="169"/>
      <c r="P38" s="169"/>
      <c r="Q38" s="169"/>
      <c r="R38" s="169"/>
      <c r="S38" s="167"/>
    </row>
    <row r="39" spans="1:19" x14ac:dyDescent="0.25">
      <c r="A39" s="114" t="s">
        <v>144</v>
      </c>
      <c r="B39" s="2"/>
      <c r="C39" s="2"/>
      <c r="D39" s="2"/>
      <c r="E39" s="168"/>
      <c r="F39" s="2"/>
      <c r="G39" s="2"/>
      <c r="H39" s="2"/>
      <c r="I39" s="2"/>
      <c r="J39" s="2"/>
      <c r="K39" s="167"/>
      <c r="L39" s="2"/>
      <c r="M39" s="167"/>
      <c r="N39" s="2"/>
      <c r="O39" s="169"/>
      <c r="P39" s="169"/>
      <c r="Q39" s="169"/>
      <c r="R39" s="169"/>
      <c r="S39" s="167"/>
    </row>
    <row r="40" spans="1:19" x14ac:dyDescent="0.25">
      <c r="A40" s="2"/>
      <c r="B40" s="114" t="s">
        <v>145</v>
      </c>
      <c r="C40" s="2"/>
      <c r="D40" s="2"/>
      <c r="E40" s="168"/>
      <c r="F40" s="2"/>
      <c r="G40" s="2"/>
      <c r="H40" s="2"/>
      <c r="I40" s="167"/>
      <c r="J40" s="2"/>
      <c r="K40" s="167">
        <v>0.27023000000000003</v>
      </c>
      <c r="L40" s="2"/>
      <c r="M40" s="167">
        <f>$M$16</f>
        <v>0.46766999999999997</v>
      </c>
      <c r="N40" s="2"/>
      <c r="O40" s="167">
        <f>O34</f>
        <v>1.2999999999999999E-4</v>
      </c>
      <c r="P40" s="167"/>
      <c r="Q40" s="167">
        <v>0</v>
      </c>
      <c r="R40" s="167"/>
      <c r="S40" s="167">
        <f>SUM(K40:R40)</f>
        <v>0.73802999999999996</v>
      </c>
    </row>
    <row r="41" spans="1:19" x14ac:dyDescent="0.25">
      <c r="A41" s="2"/>
      <c r="B41" s="114" t="s">
        <v>146</v>
      </c>
      <c r="C41" s="2"/>
      <c r="D41" s="2"/>
      <c r="E41" s="168"/>
      <c r="F41" s="2"/>
      <c r="G41" s="2"/>
      <c r="H41" s="2"/>
      <c r="I41" s="167"/>
      <c r="J41" s="2"/>
      <c r="K41" s="167">
        <f>+K40-0.05</f>
        <v>0.22023000000000004</v>
      </c>
      <c r="L41" s="2"/>
      <c r="M41" s="167">
        <f>$M$16</f>
        <v>0.46766999999999997</v>
      </c>
      <c r="N41" s="2"/>
      <c r="O41" s="167">
        <f>O40</f>
        <v>1.2999999999999999E-4</v>
      </c>
      <c r="P41" s="167"/>
      <c r="Q41" s="167">
        <f>Q40</f>
        <v>0</v>
      </c>
      <c r="R41" s="167"/>
      <c r="S41" s="167">
        <f>SUM(K41:R41)</f>
        <v>0.68802999999999992</v>
      </c>
    </row>
    <row r="42" spans="1:19" x14ac:dyDescent="0.25">
      <c r="A42" s="114" t="s">
        <v>147</v>
      </c>
      <c r="B42" s="2"/>
      <c r="C42" s="2"/>
      <c r="D42" s="2"/>
      <c r="E42" s="168"/>
      <c r="F42" s="2"/>
      <c r="G42" s="2"/>
      <c r="H42" s="2"/>
      <c r="I42" s="2"/>
      <c r="J42" s="2"/>
      <c r="K42" s="167"/>
      <c r="L42" s="2"/>
      <c r="M42" s="167"/>
      <c r="N42" s="2"/>
      <c r="O42" s="167"/>
      <c r="P42" s="167"/>
      <c r="Q42" s="167"/>
      <c r="R42" s="167"/>
      <c r="S42" s="167"/>
    </row>
    <row r="43" spans="1:19" x14ac:dyDescent="0.25">
      <c r="A43" s="2"/>
      <c r="B43" s="114" t="s">
        <v>141</v>
      </c>
      <c r="C43" s="2"/>
      <c r="D43" s="2"/>
      <c r="E43" s="168"/>
      <c r="F43" s="2"/>
      <c r="G43" s="2"/>
      <c r="H43" s="2"/>
      <c r="I43" s="167"/>
      <c r="J43" s="2"/>
      <c r="K43" s="167">
        <f>+K40</f>
        <v>0.27023000000000003</v>
      </c>
      <c r="L43" s="2"/>
      <c r="M43" s="167">
        <f>$M$16</f>
        <v>0.46766999999999997</v>
      </c>
      <c r="N43" s="2"/>
      <c r="O43" s="167">
        <f>O40</f>
        <v>1.2999999999999999E-4</v>
      </c>
      <c r="P43" s="167"/>
      <c r="Q43" s="167">
        <f>Q40</f>
        <v>0</v>
      </c>
      <c r="R43" s="167"/>
      <c r="S43" s="167">
        <f>SUM(K43:R43)</f>
        <v>0.73802999999999996</v>
      </c>
    </row>
    <row r="44" spans="1:19" x14ac:dyDescent="0.25">
      <c r="A44" s="2"/>
      <c r="B44" s="2"/>
      <c r="C44" s="2"/>
      <c r="D44" s="2"/>
      <c r="E44" s="168"/>
      <c r="F44" s="2"/>
      <c r="G44" s="2"/>
      <c r="H44" s="2"/>
      <c r="I44" s="2"/>
      <c r="J44" s="2"/>
      <c r="K44" s="167"/>
      <c r="L44" s="2"/>
      <c r="M44" s="167"/>
      <c r="N44" s="2"/>
      <c r="O44" s="169"/>
      <c r="P44" s="169"/>
      <c r="Q44" s="169"/>
      <c r="R44" s="169"/>
      <c r="S44" s="167"/>
    </row>
    <row r="45" spans="1:19" x14ac:dyDescent="0.25">
      <c r="A45" s="2"/>
      <c r="B45" s="2"/>
      <c r="C45" s="2"/>
      <c r="D45" s="2"/>
      <c r="E45" s="168"/>
      <c r="F45" s="2"/>
      <c r="G45" s="2"/>
      <c r="H45" s="2"/>
      <c r="I45" s="2"/>
      <c r="J45" s="2"/>
      <c r="K45" s="167"/>
      <c r="L45" s="2"/>
      <c r="M45" s="167"/>
      <c r="N45" s="2"/>
      <c r="O45" s="169"/>
      <c r="P45" s="169"/>
      <c r="Q45" s="169"/>
      <c r="R45" s="169"/>
      <c r="S45" s="167"/>
    </row>
    <row r="46" spans="1:19" x14ac:dyDescent="0.25">
      <c r="A46" s="114" t="s">
        <v>149</v>
      </c>
      <c r="B46" s="2"/>
      <c r="C46" s="2"/>
      <c r="D46" s="2" t="s">
        <v>151</v>
      </c>
      <c r="E46" s="168"/>
      <c r="F46" s="2"/>
      <c r="G46" s="2"/>
      <c r="H46" s="2"/>
      <c r="I46" s="2"/>
      <c r="J46" s="2"/>
      <c r="K46" s="167"/>
      <c r="L46" s="2"/>
      <c r="M46" s="167"/>
      <c r="N46" s="2"/>
      <c r="O46" s="169"/>
      <c r="P46" s="169"/>
      <c r="Q46" s="169"/>
      <c r="R46" s="169"/>
      <c r="S46" s="167"/>
    </row>
    <row r="47" spans="1:19" x14ac:dyDescent="0.25">
      <c r="A47" s="2"/>
      <c r="B47" s="114" t="s">
        <v>225</v>
      </c>
      <c r="C47" s="2"/>
      <c r="D47" s="2"/>
      <c r="E47" s="168">
        <v>24.64</v>
      </c>
      <c r="F47" s="2"/>
      <c r="G47" s="168">
        <f>G38</f>
        <v>203.04</v>
      </c>
      <c r="H47" s="2"/>
      <c r="I47" s="2"/>
      <c r="J47" s="2"/>
      <c r="K47" s="167"/>
      <c r="L47" s="2"/>
      <c r="M47" s="167"/>
      <c r="N47" s="2"/>
      <c r="O47" s="169"/>
      <c r="P47" s="169"/>
      <c r="Q47" s="169"/>
      <c r="R47" s="169"/>
      <c r="S47" s="167"/>
    </row>
    <row r="48" spans="1:19" x14ac:dyDescent="0.25">
      <c r="A48" s="114" t="s">
        <v>144</v>
      </c>
      <c r="B48" s="2"/>
      <c r="C48" s="2"/>
      <c r="D48" s="2"/>
      <c r="E48" s="168"/>
      <c r="F48" s="2"/>
      <c r="G48" s="2"/>
      <c r="H48" s="2"/>
      <c r="I48" s="2"/>
      <c r="J48" s="2"/>
      <c r="K48" s="167"/>
      <c r="L48" s="2"/>
      <c r="M48" s="167"/>
      <c r="N48" s="2"/>
      <c r="O48" s="169"/>
      <c r="P48" s="169"/>
      <c r="Q48" s="169"/>
      <c r="R48" s="169"/>
      <c r="S48" s="167"/>
    </row>
    <row r="49" spans="1:19" x14ac:dyDescent="0.25">
      <c r="A49" s="2"/>
      <c r="B49" s="114" t="s">
        <v>145</v>
      </c>
      <c r="C49" s="2"/>
      <c r="D49" s="2"/>
      <c r="E49" s="168"/>
      <c r="F49" s="2"/>
      <c r="G49" s="2"/>
      <c r="H49" s="2"/>
      <c r="I49" s="167"/>
      <c r="J49" s="2"/>
      <c r="K49" s="167">
        <f>+K40</f>
        <v>0.27023000000000003</v>
      </c>
      <c r="L49" s="2"/>
      <c r="M49" s="167">
        <f>$M$16</f>
        <v>0.46766999999999997</v>
      </c>
      <c r="N49" s="2"/>
      <c r="O49" s="167">
        <f>O40</f>
        <v>1.2999999999999999E-4</v>
      </c>
      <c r="P49" s="167"/>
      <c r="Q49" s="167">
        <f>Q40</f>
        <v>0</v>
      </c>
      <c r="R49" s="167"/>
      <c r="S49" s="167">
        <f>SUM(K49:R49)</f>
        <v>0.73802999999999996</v>
      </c>
    </row>
    <row r="50" spans="1:19" x14ac:dyDescent="0.25">
      <c r="A50" s="2"/>
      <c r="B50" s="114" t="s">
        <v>146</v>
      </c>
      <c r="C50" s="2"/>
      <c r="D50" s="2"/>
      <c r="E50" s="168"/>
      <c r="F50" s="2"/>
      <c r="G50" s="2"/>
      <c r="H50" s="2"/>
      <c r="I50" s="167"/>
      <c r="J50" s="2"/>
      <c r="K50" s="167">
        <f>+K41</f>
        <v>0.22023000000000004</v>
      </c>
      <c r="L50" s="2"/>
      <c r="M50" s="167">
        <f>$M$16</f>
        <v>0.46766999999999997</v>
      </c>
      <c r="N50" s="2"/>
      <c r="O50" s="167">
        <f>O41</f>
        <v>1.2999999999999999E-4</v>
      </c>
      <c r="P50" s="167"/>
      <c r="Q50" s="167">
        <f>Q40</f>
        <v>0</v>
      </c>
      <c r="R50" s="167"/>
      <c r="S50" s="167">
        <f>SUM(K50:R50)</f>
        <v>0.68802999999999992</v>
      </c>
    </row>
    <row r="51" spans="1:19" x14ac:dyDescent="0.25">
      <c r="A51" s="114" t="s">
        <v>147</v>
      </c>
      <c r="B51" s="2"/>
      <c r="C51" s="2"/>
      <c r="D51" s="2"/>
      <c r="E51" s="168"/>
      <c r="F51" s="2"/>
      <c r="G51" s="2"/>
      <c r="H51" s="2"/>
      <c r="I51" s="2"/>
      <c r="J51" s="2"/>
      <c r="K51" s="167"/>
      <c r="L51" s="2"/>
      <c r="M51" s="167"/>
      <c r="N51" s="2"/>
      <c r="O51" s="167"/>
      <c r="P51" s="167"/>
      <c r="Q51" s="167"/>
      <c r="R51" s="167"/>
      <c r="S51" s="167"/>
    </row>
    <row r="52" spans="1:19" x14ac:dyDescent="0.25">
      <c r="A52" s="2"/>
      <c r="B52" s="114" t="s">
        <v>141</v>
      </c>
      <c r="C52" s="2"/>
      <c r="D52" s="2"/>
      <c r="E52" s="168"/>
      <c r="F52" s="2"/>
      <c r="G52" s="2"/>
      <c r="H52" s="2"/>
      <c r="I52" s="167"/>
      <c r="J52" s="2"/>
      <c r="K52" s="167">
        <f>+K43</f>
        <v>0.27023000000000003</v>
      </c>
      <c r="L52" s="2"/>
      <c r="M52" s="167">
        <f>$M$16</f>
        <v>0.46766999999999997</v>
      </c>
      <c r="N52" s="2"/>
      <c r="O52" s="167">
        <f>O43</f>
        <v>1.2999999999999999E-4</v>
      </c>
      <c r="P52" s="167"/>
      <c r="Q52" s="167">
        <f>Q40</f>
        <v>0</v>
      </c>
      <c r="R52" s="167"/>
      <c r="S52" s="167">
        <f>SUM(K52:R52)</f>
        <v>0.73802999999999996</v>
      </c>
    </row>
    <row r="53" spans="1:19" x14ac:dyDescent="0.25">
      <c r="A53" s="2"/>
      <c r="B53" s="2"/>
      <c r="C53" s="2"/>
      <c r="D53" s="2"/>
      <c r="E53" s="168"/>
      <c r="F53" s="2"/>
      <c r="G53" s="2"/>
      <c r="H53" s="2"/>
      <c r="I53" s="2"/>
      <c r="J53" s="2"/>
      <c r="K53" s="167"/>
      <c r="L53" s="2"/>
      <c r="M53" s="167"/>
      <c r="N53" s="2"/>
      <c r="O53" s="169"/>
      <c r="P53" s="169"/>
      <c r="Q53" s="169"/>
      <c r="R53" s="169"/>
      <c r="S53" s="167"/>
    </row>
    <row r="54" spans="1:19" x14ac:dyDescent="0.25">
      <c r="A54" s="165" t="s">
        <v>5</v>
      </c>
      <c r="B54" s="166"/>
      <c r="C54" s="166"/>
      <c r="D54" s="166"/>
      <c r="E54" s="166"/>
      <c r="F54" s="166"/>
      <c r="G54" s="166"/>
      <c r="H54" s="166"/>
      <c r="I54" s="166"/>
      <c r="J54" s="166"/>
      <c r="K54" s="166"/>
      <c r="L54" s="166"/>
      <c r="M54" s="166"/>
      <c r="N54" s="166"/>
      <c r="O54" s="166"/>
      <c r="P54" s="166"/>
      <c r="Q54" s="166"/>
      <c r="R54" s="166"/>
      <c r="S54" s="166"/>
    </row>
    <row r="55" spans="1:19" x14ac:dyDescent="0.25">
      <c r="A55" s="43"/>
      <c r="B55" s="166"/>
      <c r="C55" s="166"/>
      <c r="D55" s="166"/>
      <c r="E55" s="166"/>
      <c r="F55" s="166"/>
      <c r="G55" s="166"/>
      <c r="H55" s="166"/>
      <c r="I55" s="166"/>
      <c r="J55" s="166"/>
      <c r="K55" s="166"/>
      <c r="L55" s="166"/>
      <c r="M55" s="166"/>
      <c r="N55" s="166"/>
      <c r="O55" s="166"/>
      <c r="P55" s="166"/>
      <c r="Q55" s="166"/>
      <c r="R55" s="166"/>
      <c r="S55" s="166"/>
    </row>
    <row r="56" spans="1:19" x14ac:dyDescent="0.25">
      <c r="A56" s="43" t="s">
        <v>720</v>
      </c>
      <c r="B56" s="43"/>
      <c r="C56" s="43"/>
      <c r="D56" s="43"/>
      <c r="E56" s="43"/>
      <c r="F56" s="43"/>
      <c r="G56" s="43"/>
      <c r="H56" s="43"/>
      <c r="I56" s="43"/>
      <c r="J56" s="43"/>
      <c r="K56" s="43"/>
      <c r="L56" s="43"/>
      <c r="M56" s="43"/>
      <c r="N56" s="43"/>
      <c r="O56" s="43"/>
      <c r="P56" s="43"/>
      <c r="Q56" s="43"/>
      <c r="R56" s="43"/>
      <c r="S56" s="43"/>
    </row>
    <row r="57" spans="1:19" x14ac:dyDescent="0.25">
      <c r="A57" s="43" t="s">
        <v>201</v>
      </c>
      <c r="B57" s="43"/>
      <c r="C57" s="43"/>
      <c r="D57" s="43"/>
      <c r="E57" s="43"/>
      <c r="F57" s="43"/>
      <c r="G57" s="43"/>
      <c r="H57" s="43"/>
      <c r="I57" s="43"/>
      <c r="J57" s="43"/>
      <c r="K57" s="43"/>
      <c r="L57" s="43"/>
      <c r="M57" s="43"/>
      <c r="N57" s="43"/>
      <c r="O57" s="43"/>
      <c r="P57" s="43"/>
      <c r="Q57" s="43"/>
      <c r="R57" s="43"/>
      <c r="S57" s="43"/>
    </row>
    <row r="58" spans="1:19" x14ac:dyDescent="0.25">
      <c r="A58" s="639" t="str">
        <f>A5</f>
        <v>February 1, 2026 through April 30, 2026</v>
      </c>
      <c r="B58" s="639"/>
      <c r="C58" s="639"/>
      <c r="D58" s="639"/>
      <c r="E58" s="639"/>
      <c r="F58" s="639"/>
      <c r="G58" s="639"/>
      <c r="H58" s="639"/>
      <c r="I58" s="639"/>
      <c r="J58" s="639"/>
      <c r="K58" s="639"/>
      <c r="L58" s="639"/>
      <c r="M58" s="639"/>
      <c r="N58" s="639"/>
      <c r="O58" s="639"/>
      <c r="P58" s="639"/>
      <c r="Q58" s="639"/>
      <c r="R58" s="639"/>
      <c r="S58" s="639"/>
    </row>
    <row r="59" spans="1:19" x14ac:dyDescent="0.25">
      <c r="A59" s="15"/>
    </row>
    <row r="60" spans="1:19" x14ac:dyDescent="0.25">
      <c r="A60" s="2"/>
      <c r="B60" s="2"/>
      <c r="C60" s="2"/>
      <c r="D60" s="2"/>
      <c r="E60"/>
      <c r="F60" s="2"/>
      <c r="G60" s="2"/>
      <c r="H60" s="2"/>
      <c r="I60" s="362" t="s">
        <v>498</v>
      </c>
      <c r="J60" s="362"/>
      <c r="K60" s="362"/>
      <c r="L60" s="362"/>
      <c r="M60" s="362"/>
      <c r="N60" s="362"/>
      <c r="O60" s="362"/>
      <c r="P60" s="362"/>
      <c r="Q60" s="362"/>
      <c r="R60" s="362"/>
      <c r="S60"/>
    </row>
    <row r="61" spans="1:19" x14ac:dyDescent="0.25">
      <c r="A61" s="2"/>
      <c r="B61" s="2"/>
      <c r="C61" s="2"/>
      <c r="D61" s="2"/>
      <c r="E61" s="168"/>
      <c r="F61" s="2"/>
      <c r="G61" s="238" t="s">
        <v>449</v>
      </c>
      <c r="H61" s="2"/>
      <c r="I61" s="2"/>
      <c r="J61" s="2"/>
      <c r="K61" s="2"/>
      <c r="L61" s="2"/>
      <c r="M61" s="167"/>
      <c r="N61" s="2"/>
      <c r="O61" s="2"/>
      <c r="P61" s="2"/>
      <c r="Q61" s="238" t="s">
        <v>449</v>
      </c>
      <c r="R61" s="2"/>
      <c r="S61" s="2"/>
    </row>
    <row r="62" spans="1:19" x14ac:dyDescent="0.25">
      <c r="A62" s="2"/>
      <c r="B62" s="2"/>
      <c r="C62" s="2"/>
      <c r="D62" s="2"/>
      <c r="E62" s="238" t="s">
        <v>226</v>
      </c>
      <c r="F62" s="2"/>
      <c r="G62" s="465" t="s">
        <v>129</v>
      </c>
      <c r="H62" s="2"/>
      <c r="I62" s="238" t="s">
        <v>157</v>
      </c>
      <c r="J62" s="2"/>
      <c r="K62" s="114" t="s">
        <v>129</v>
      </c>
      <c r="L62" s="2"/>
      <c r="M62" s="238" t="s">
        <v>130</v>
      </c>
      <c r="N62" s="2"/>
      <c r="O62" s="238" t="s">
        <v>131</v>
      </c>
      <c r="P62" s="238"/>
      <c r="Q62" s="238" t="s">
        <v>564</v>
      </c>
      <c r="R62" s="238"/>
      <c r="S62" s="2"/>
    </row>
    <row r="63" spans="1:19" x14ac:dyDescent="0.25">
      <c r="A63" s="2"/>
      <c r="B63" s="2"/>
      <c r="C63" s="2"/>
      <c r="D63" s="2"/>
      <c r="E63" s="238" t="s">
        <v>132</v>
      </c>
      <c r="F63" s="2"/>
      <c r="G63" s="238" t="s">
        <v>132</v>
      </c>
      <c r="H63" s="2"/>
      <c r="I63" s="238" t="s">
        <v>132</v>
      </c>
      <c r="J63" s="2"/>
      <c r="K63" s="238" t="s">
        <v>133</v>
      </c>
      <c r="L63" s="2"/>
      <c r="M63" s="238" t="s">
        <v>134</v>
      </c>
      <c r="N63" s="2"/>
      <c r="O63" s="238" t="s">
        <v>135</v>
      </c>
      <c r="P63" s="238"/>
      <c r="Q63" s="238" t="s">
        <v>563</v>
      </c>
      <c r="R63" s="238"/>
      <c r="S63" s="2"/>
    </row>
    <row r="64" spans="1:19" x14ac:dyDescent="0.25">
      <c r="A64" s="2"/>
      <c r="B64" s="2"/>
      <c r="C64" s="2"/>
      <c r="D64" s="2"/>
      <c r="E64" s="112" t="s">
        <v>136</v>
      </c>
      <c r="F64" s="2"/>
      <c r="G64" s="115" t="s">
        <v>136</v>
      </c>
      <c r="H64" s="2"/>
      <c r="I64" s="115" t="s">
        <v>139</v>
      </c>
      <c r="J64" s="2"/>
      <c r="K64" s="113" t="s">
        <v>137</v>
      </c>
      <c r="L64" s="2"/>
      <c r="M64" s="113" t="s">
        <v>138</v>
      </c>
      <c r="N64" s="2"/>
      <c r="O64" s="115" t="s">
        <v>139</v>
      </c>
      <c r="P64" s="238"/>
      <c r="Q64" s="115" t="s">
        <v>139</v>
      </c>
      <c r="R64" s="238"/>
      <c r="S64" s="113" t="s">
        <v>140</v>
      </c>
    </row>
    <row r="65" spans="1:19" x14ac:dyDescent="0.25">
      <c r="A65" s="2" t="s">
        <v>750</v>
      </c>
      <c r="B65" s="114"/>
      <c r="C65" s="2"/>
      <c r="D65" s="2"/>
      <c r="E65" s="2"/>
      <c r="F65" s="2"/>
      <c r="G65" s="2"/>
      <c r="H65" s="2"/>
      <c r="I65" s="2"/>
      <c r="J65" s="2"/>
      <c r="K65" s="2"/>
      <c r="L65" s="2"/>
      <c r="M65" s="167"/>
      <c r="N65" s="2"/>
      <c r="S65" s="2"/>
    </row>
    <row r="66" spans="1:19" x14ac:dyDescent="0.25">
      <c r="A66" s="2"/>
      <c r="B66" s="114" t="s">
        <v>225</v>
      </c>
      <c r="C66" s="2"/>
      <c r="D66" s="2"/>
      <c r="E66" s="168">
        <v>630</v>
      </c>
      <c r="F66" s="2"/>
      <c r="G66" s="168">
        <v>203.04</v>
      </c>
      <c r="H66" s="2"/>
      <c r="I66"/>
      <c r="J66"/>
      <c r="K66" s="2"/>
      <c r="L66" s="2"/>
      <c r="M66" s="167"/>
      <c r="N66" s="2"/>
      <c r="O66" s="169"/>
      <c r="P66" s="169"/>
      <c r="Q66" s="169"/>
      <c r="R66" s="169"/>
      <c r="S66" s="2"/>
    </row>
    <row r="67" spans="1:19" x14ac:dyDescent="0.25">
      <c r="A67" s="2"/>
      <c r="B67" s="114" t="s">
        <v>497</v>
      </c>
      <c r="C67" s="2"/>
      <c r="D67" s="2"/>
      <c r="E67" s="168"/>
      <c r="F67" s="2"/>
      <c r="G67" s="168"/>
      <c r="H67" s="2"/>
      <c r="I67"/>
      <c r="J67"/>
      <c r="K67" s="167">
        <v>1.9228000000000001</v>
      </c>
      <c r="L67" s="2"/>
      <c r="M67" s="174">
        <f>M16*10</f>
        <v>4.6766999999999994</v>
      </c>
      <c r="N67" s="2"/>
      <c r="O67" s="167">
        <f>O49*10</f>
        <v>1.2999999999999999E-3</v>
      </c>
      <c r="P67" s="170"/>
      <c r="Q67" s="167">
        <f>Q49*10</f>
        <v>0</v>
      </c>
      <c r="R67" s="170"/>
      <c r="S67" s="167">
        <f>SUM(K67:R67)</f>
        <v>6.6007999999999987</v>
      </c>
    </row>
    <row r="68" spans="1:19" x14ac:dyDescent="0.25">
      <c r="A68" s="2"/>
      <c r="B68" s="2"/>
      <c r="C68" s="2"/>
      <c r="D68" s="2"/>
      <c r="E68" s="168"/>
      <c r="F68" s="2"/>
      <c r="G68" s="2"/>
      <c r="H68" s="2"/>
      <c r="I68" s="2"/>
      <c r="J68" s="2"/>
      <c r="K68" s="2"/>
      <c r="L68" s="2"/>
      <c r="M68" s="167"/>
      <c r="N68" s="2"/>
      <c r="O68" s="169"/>
      <c r="P68" s="169"/>
      <c r="Q68" s="169"/>
      <c r="R68" s="169"/>
      <c r="S68" s="2"/>
    </row>
    <row r="69" spans="1:19" x14ac:dyDescent="0.25">
      <c r="A69" s="2"/>
      <c r="B69" s="2"/>
      <c r="C69" s="2"/>
      <c r="D69" s="2"/>
      <c r="E69" s="168"/>
      <c r="F69" s="2"/>
      <c r="G69" s="2"/>
      <c r="H69" s="2"/>
      <c r="I69" s="2"/>
      <c r="J69" s="2"/>
      <c r="K69" s="2"/>
      <c r="L69" s="2"/>
      <c r="M69" s="167"/>
      <c r="N69" s="2"/>
      <c r="O69" s="169"/>
      <c r="P69" s="169"/>
      <c r="Q69" s="169"/>
      <c r="R69" s="169"/>
      <c r="S69" s="2"/>
    </row>
    <row r="70" spans="1:19" x14ac:dyDescent="0.25">
      <c r="A70" s="2" t="s">
        <v>571</v>
      </c>
      <c r="B70" s="114"/>
      <c r="C70" s="2"/>
      <c r="D70" s="2"/>
      <c r="E70" s="2"/>
      <c r="F70" s="2"/>
      <c r="G70" s="2"/>
      <c r="H70" s="2"/>
      <c r="I70" s="2"/>
      <c r="J70" s="2"/>
      <c r="K70" s="2"/>
      <c r="L70" s="2"/>
      <c r="M70" s="167"/>
      <c r="N70" s="2"/>
      <c r="S70" s="2"/>
    </row>
    <row r="71" spans="1:19" x14ac:dyDescent="0.25">
      <c r="A71" s="2"/>
      <c r="B71" s="114"/>
      <c r="C71" s="2"/>
      <c r="D71" s="2"/>
      <c r="E71" s="2"/>
      <c r="F71" s="2"/>
      <c r="G71" s="2"/>
      <c r="H71" s="2"/>
      <c r="I71" s="2"/>
      <c r="J71" s="2"/>
      <c r="K71" s="2"/>
      <c r="L71" s="2"/>
      <c r="M71" s="167"/>
      <c r="N71" s="2"/>
      <c r="S71" s="2"/>
    </row>
    <row r="72" spans="1:19" x14ac:dyDescent="0.25">
      <c r="A72" s="2"/>
      <c r="B72" s="114" t="s">
        <v>225</v>
      </c>
      <c r="C72" s="2"/>
      <c r="D72" s="2"/>
      <c r="E72" s="168">
        <v>335</v>
      </c>
      <c r="F72" s="2"/>
      <c r="G72" s="168">
        <f>G20</f>
        <v>14.84</v>
      </c>
      <c r="H72" s="2"/>
      <c r="J72" s="2"/>
      <c r="K72" s="2"/>
      <c r="L72" s="2"/>
      <c r="M72" s="167"/>
      <c r="N72" s="2"/>
      <c r="O72" s="169"/>
      <c r="P72" s="169"/>
      <c r="Q72" s="169"/>
      <c r="R72" s="169"/>
      <c r="S72" s="2"/>
    </row>
    <row r="73" spans="1:19" x14ac:dyDescent="0.25">
      <c r="A73" s="2"/>
      <c r="B73" s="114" t="s">
        <v>570</v>
      </c>
      <c r="C73" s="2"/>
      <c r="D73" s="2"/>
      <c r="E73" s="168"/>
      <c r="F73" s="2"/>
      <c r="G73" s="168"/>
      <c r="H73" s="2"/>
      <c r="I73" s="168">
        <v>7.17</v>
      </c>
      <c r="J73" s="2"/>
      <c r="K73" s="2"/>
      <c r="L73" s="2"/>
      <c r="M73" s="167"/>
      <c r="N73" s="2"/>
      <c r="O73" s="169"/>
      <c r="P73" s="169"/>
      <c r="Q73" s="169"/>
      <c r="R73" s="169"/>
      <c r="S73" s="2"/>
    </row>
    <row r="74" spans="1:19" x14ac:dyDescent="0.25">
      <c r="A74" s="2"/>
      <c r="B74" s="114" t="s">
        <v>497</v>
      </c>
      <c r="C74" s="2"/>
      <c r="D74" s="2"/>
      <c r="E74" s="168"/>
      <c r="F74" s="2"/>
      <c r="G74" s="168"/>
      <c r="H74" s="2"/>
      <c r="J74" s="2"/>
      <c r="K74" s="167">
        <v>0.41060000000000002</v>
      </c>
      <c r="L74" s="2"/>
      <c r="M74" s="174">
        <f>M67</f>
        <v>4.6766999999999994</v>
      </c>
      <c r="N74" s="2"/>
      <c r="O74" s="167">
        <f>O67</f>
        <v>1.2999999999999999E-3</v>
      </c>
      <c r="P74" s="170"/>
      <c r="Q74" s="167">
        <f>Q22*10</f>
        <v>0</v>
      </c>
      <c r="R74" s="170"/>
      <c r="S74" s="167">
        <f>SUM(K74:R74)</f>
        <v>5.0885999999999987</v>
      </c>
    </row>
    <row r="75" spans="1:19" x14ac:dyDescent="0.25">
      <c r="A75" s="2"/>
      <c r="B75" s="2"/>
      <c r="C75" s="2"/>
      <c r="D75" s="2"/>
      <c r="E75" s="168"/>
      <c r="F75" s="2"/>
      <c r="G75" s="2"/>
      <c r="H75" s="2"/>
      <c r="I75" s="2"/>
      <c r="J75" s="2"/>
      <c r="K75" s="2"/>
      <c r="L75" s="2"/>
      <c r="M75" s="167"/>
      <c r="N75" s="2"/>
      <c r="O75" s="169"/>
      <c r="P75" s="169"/>
      <c r="Q75" s="169"/>
      <c r="R75" s="169"/>
      <c r="S75" s="2"/>
    </row>
    <row r="76" spans="1:19" x14ac:dyDescent="0.25">
      <c r="A76" s="2"/>
      <c r="B76" s="2"/>
      <c r="C76" s="2"/>
      <c r="D76" s="2"/>
      <c r="E76" s="168"/>
      <c r="F76" s="2"/>
      <c r="G76" s="2"/>
      <c r="H76" s="2"/>
      <c r="I76" s="2"/>
      <c r="J76" s="2"/>
      <c r="K76" s="2"/>
      <c r="L76" s="2"/>
      <c r="M76" s="167"/>
      <c r="N76" s="2"/>
      <c r="O76" s="169"/>
      <c r="P76" s="169"/>
      <c r="Q76" s="169"/>
      <c r="R76" s="169"/>
      <c r="S76" s="2"/>
    </row>
    <row r="77" spans="1:19" x14ac:dyDescent="0.25">
      <c r="A77" s="2" t="s">
        <v>572</v>
      </c>
      <c r="B77" s="114"/>
      <c r="C77" s="2"/>
      <c r="D77" s="2"/>
      <c r="E77" s="2"/>
      <c r="F77" s="2"/>
      <c r="G77" s="2"/>
      <c r="H77" s="2"/>
      <c r="I77" s="2"/>
      <c r="J77" s="2"/>
      <c r="K77" s="2"/>
      <c r="L77" s="2"/>
      <c r="M77" s="167"/>
      <c r="N77" s="2"/>
      <c r="S77" s="2"/>
    </row>
    <row r="78" spans="1:19" x14ac:dyDescent="0.25">
      <c r="A78" s="2"/>
      <c r="B78" s="114"/>
      <c r="C78" s="2"/>
      <c r="D78" s="2"/>
      <c r="E78" s="2"/>
      <c r="F78" s="2"/>
      <c r="G78" s="2"/>
      <c r="H78" s="2"/>
      <c r="I78" s="2"/>
      <c r="J78" s="2"/>
      <c r="K78" s="2"/>
      <c r="L78" s="2"/>
      <c r="M78" s="167"/>
      <c r="N78" s="2"/>
      <c r="S78" s="2"/>
    </row>
    <row r="79" spans="1:19" x14ac:dyDescent="0.25">
      <c r="A79" s="2"/>
      <c r="B79" s="114" t="s">
        <v>225</v>
      </c>
      <c r="C79" s="2"/>
      <c r="D79" s="2"/>
      <c r="E79" s="168">
        <v>750</v>
      </c>
      <c r="F79" s="2"/>
      <c r="G79" s="168">
        <f>G20</f>
        <v>14.84</v>
      </c>
      <c r="H79" s="2"/>
      <c r="I79" s="2"/>
      <c r="J79" s="2"/>
      <c r="K79" s="2"/>
      <c r="L79" s="2"/>
      <c r="M79" s="167"/>
      <c r="N79" s="2"/>
      <c r="O79" s="169"/>
      <c r="P79" s="169"/>
      <c r="Q79" s="169"/>
      <c r="R79" s="169"/>
      <c r="S79" s="2"/>
    </row>
    <row r="80" spans="1:19" x14ac:dyDescent="0.25">
      <c r="A80" s="2"/>
      <c r="B80" s="114" t="s">
        <v>570</v>
      </c>
      <c r="C80" s="2"/>
      <c r="D80" s="2"/>
      <c r="E80" s="168"/>
      <c r="F80" s="2"/>
      <c r="G80" s="168"/>
      <c r="H80" s="2"/>
      <c r="I80" s="168">
        <v>10.89</v>
      </c>
      <c r="J80" s="2"/>
      <c r="K80" s="2"/>
      <c r="L80" s="2"/>
      <c r="M80" s="167"/>
      <c r="N80" s="2"/>
      <c r="O80" s="169"/>
      <c r="P80" s="169"/>
      <c r="Q80" s="169"/>
      <c r="R80" s="169"/>
      <c r="S80" s="2"/>
    </row>
    <row r="81" spans="1:19" x14ac:dyDescent="0.25">
      <c r="A81" s="2"/>
      <c r="B81" s="114" t="s">
        <v>497</v>
      </c>
      <c r="C81" s="2"/>
      <c r="D81" s="2"/>
      <c r="E81" s="168"/>
      <c r="F81" s="2"/>
      <c r="G81" s="168"/>
      <c r="H81" s="2"/>
      <c r="J81" s="2"/>
      <c r="K81" s="167">
        <v>0.31</v>
      </c>
      <c r="L81" s="2"/>
      <c r="M81" s="174">
        <f>M67</f>
        <v>4.6766999999999994</v>
      </c>
      <c r="N81" s="2"/>
      <c r="O81" s="167">
        <f>O67</f>
        <v>1.2999999999999999E-3</v>
      </c>
      <c r="P81" s="170"/>
      <c r="Q81" s="167">
        <f>Q74</f>
        <v>0</v>
      </c>
      <c r="R81" s="170"/>
      <c r="S81" s="167">
        <f>SUM(K81:R81)</f>
        <v>4.9879999999999987</v>
      </c>
    </row>
    <row r="82" spans="1:19" x14ac:dyDescent="0.25">
      <c r="A82" s="2"/>
      <c r="B82" s="2"/>
      <c r="C82" s="2"/>
      <c r="D82" s="2"/>
      <c r="E82" s="168"/>
      <c r="F82" s="2"/>
      <c r="G82" s="2"/>
      <c r="H82" s="2"/>
      <c r="I82" s="2"/>
      <c r="J82" s="2"/>
      <c r="K82" s="2"/>
      <c r="L82" s="2"/>
      <c r="M82" s="167"/>
      <c r="N82" s="2"/>
      <c r="O82" s="169"/>
      <c r="P82" s="169"/>
      <c r="Q82" s="169"/>
      <c r="R82" s="169"/>
      <c r="S82" s="2"/>
    </row>
    <row r="83" spans="1:19" x14ac:dyDescent="0.25">
      <c r="A83" s="2"/>
      <c r="B83" s="2"/>
      <c r="C83" s="2"/>
      <c r="D83" s="2"/>
      <c r="E83" s="168"/>
      <c r="F83" s="2"/>
      <c r="G83" s="2"/>
      <c r="H83" s="2"/>
      <c r="I83" s="2"/>
      <c r="J83" s="2"/>
      <c r="K83" s="2"/>
      <c r="L83" s="2"/>
      <c r="M83" s="167"/>
      <c r="N83" s="2"/>
      <c r="O83" s="169"/>
      <c r="P83" s="169"/>
      <c r="Q83" s="169"/>
      <c r="R83" s="169"/>
      <c r="S83" s="2"/>
    </row>
    <row r="84" spans="1:19" x14ac:dyDescent="0.25">
      <c r="A84" s="2"/>
      <c r="B84" s="2"/>
      <c r="C84" s="2"/>
      <c r="D84" s="2"/>
      <c r="E84" s="168"/>
      <c r="F84" s="2"/>
      <c r="G84" s="2"/>
      <c r="H84" s="2"/>
      <c r="I84" s="362" t="s">
        <v>128</v>
      </c>
      <c r="J84" s="362"/>
      <c r="K84" s="362"/>
      <c r="L84" s="362"/>
      <c r="M84" s="362"/>
      <c r="N84" s="362"/>
      <c r="O84" s="362"/>
      <c r="P84" s="362"/>
      <c r="Q84" s="362"/>
      <c r="R84" s="362"/>
      <c r="S84" s="2"/>
    </row>
    <row r="85" spans="1:19" x14ac:dyDescent="0.25">
      <c r="A85" s="2"/>
      <c r="B85" s="2"/>
      <c r="C85" s="2"/>
      <c r="D85" s="2"/>
      <c r="E85" s="168"/>
      <c r="F85" s="2"/>
      <c r="G85" s="238" t="s">
        <v>449</v>
      </c>
      <c r="H85" s="2"/>
      <c r="I85" s="2"/>
      <c r="J85" s="2"/>
      <c r="K85" s="2"/>
      <c r="L85" s="2"/>
      <c r="M85" s="167"/>
      <c r="N85" s="2"/>
      <c r="O85" s="2"/>
      <c r="P85" s="2"/>
      <c r="Q85" s="238" t="s">
        <v>449</v>
      </c>
      <c r="R85" s="2"/>
      <c r="S85" s="2"/>
    </row>
    <row r="86" spans="1:19" x14ac:dyDescent="0.25">
      <c r="A86" s="2"/>
      <c r="B86" s="2"/>
      <c r="C86" s="2"/>
      <c r="D86" s="2"/>
      <c r="E86" s="238" t="s">
        <v>226</v>
      </c>
      <c r="F86" s="2"/>
      <c r="G86" s="465" t="s">
        <v>129</v>
      </c>
      <c r="H86" s="2"/>
      <c r="I86" s="238" t="s">
        <v>157</v>
      </c>
      <c r="J86" s="2"/>
      <c r="K86" s="114" t="s">
        <v>129</v>
      </c>
      <c r="L86" s="2"/>
      <c r="M86" s="238" t="s">
        <v>130</v>
      </c>
      <c r="N86" s="2"/>
      <c r="O86" s="238" t="s">
        <v>131</v>
      </c>
      <c r="P86" s="238"/>
      <c r="Q86" s="238" t="s">
        <v>564</v>
      </c>
      <c r="R86" s="238"/>
      <c r="S86" s="2"/>
    </row>
    <row r="87" spans="1:19" x14ac:dyDescent="0.25">
      <c r="A87" s="2"/>
      <c r="B87" s="2"/>
      <c r="C87" s="2"/>
      <c r="D87" s="2"/>
      <c r="E87" s="238" t="s">
        <v>132</v>
      </c>
      <c r="F87" s="2"/>
      <c r="G87" s="238" t="s">
        <v>132</v>
      </c>
      <c r="H87" s="2"/>
      <c r="I87" s="238" t="s">
        <v>132</v>
      </c>
      <c r="J87" s="2"/>
      <c r="K87" s="238" t="s">
        <v>133</v>
      </c>
      <c r="L87" s="2"/>
      <c r="M87" s="238" t="s">
        <v>134</v>
      </c>
      <c r="N87" s="2"/>
      <c r="O87" s="238" t="s">
        <v>135</v>
      </c>
      <c r="P87" s="238"/>
      <c r="Q87" s="238" t="s">
        <v>563</v>
      </c>
      <c r="R87" s="238"/>
      <c r="S87" s="2"/>
    </row>
    <row r="88" spans="1:19" x14ac:dyDescent="0.25">
      <c r="A88" s="2"/>
      <c r="B88" s="2"/>
      <c r="C88" s="2"/>
      <c r="D88" s="2"/>
      <c r="E88" s="112" t="s">
        <v>136</v>
      </c>
      <c r="F88" s="2"/>
      <c r="G88" s="115" t="s">
        <v>136</v>
      </c>
      <c r="H88" s="2"/>
      <c r="I88" s="115" t="s">
        <v>139</v>
      </c>
      <c r="J88" s="2"/>
      <c r="K88" s="113" t="s">
        <v>137</v>
      </c>
      <c r="L88" s="2"/>
      <c r="M88" s="113" t="s">
        <v>138</v>
      </c>
      <c r="N88" s="2"/>
      <c r="O88" s="115" t="s">
        <v>139</v>
      </c>
      <c r="P88" s="238"/>
      <c r="Q88" s="115" t="s">
        <v>139</v>
      </c>
      <c r="R88" s="238"/>
      <c r="S88" s="113" t="s">
        <v>140</v>
      </c>
    </row>
    <row r="89" spans="1:19" x14ac:dyDescent="0.25">
      <c r="A89" s="2" t="s">
        <v>223</v>
      </c>
      <c r="B89" s="2"/>
      <c r="C89" s="2"/>
      <c r="D89" s="2"/>
      <c r="E89" s="168"/>
      <c r="F89" s="2"/>
      <c r="G89" s="2"/>
      <c r="H89" s="2"/>
      <c r="I89" s="2"/>
      <c r="J89" s="2"/>
      <c r="K89" s="2"/>
      <c r="L89" s="2"/>
      <c r="M89" s="167"/>
      <c r="N89" s="2"/>
      <c r="O89" s="169"/>
      <c r="P89" s="169"/>
      <c r="Q89" s="169"/>
      <c r="R89" s="169"/>
      <c r="S89" s="2"/>
    </row>
    <row r="90" spans="1:19" x14ac:dyDescent="0.25">
      <c r="A90" s="2"/>
      <c r="B90" s="2"/>
      <c r="C90" s="2"/>
      <c r="D90" s="2" t="s">
        <v>224</v>
      </c>
      <c r="E90" s="168"/>
      <c r="F90" s="2"/>
      <c r="G90" s="2"/>
      <c r="H90" s="2"/>
      <c r="I90" s="2"/>
      <c r="J90" s="2"/>
      <c r="K90" s="2"/>
      <c r="L90" s="2"/>
      <c r="M90" s="167"/>
      <c r="N90" s="2"/>
      <c r="O90" s="169"/>
      <c r="P90" s="169"/>
      <c r="Q90" s="169"/>
      <c r="R90" s="169"/>
      <c r="S90" s="2"/>
    </row>
    <row r="91" spans="1:19" x14ac:dyDescent="0.25">
      <c r="A91" s="2"/>
      <c r="B91" s="114" t="s">
        <v>225</v>
      </c>
      <c r="C91" s="2"/>
      <c r="D91" s="2"/>
      <c r="E91" s="168">
        <v>165</v>
      </c>
      <c r="F91" s="2"/>
      <c r="G91" s="168">
        <f>G38</f>
        <v>203.04</v>
      </c>
      <c r="H91" s="2"/>
      <c r="I91" s="2"/>
      <c r="J91" s="2"/>
      <c r="K91" s="2"/>
      <c r="L91" s="2"/>
      <c r="M91" s="167"/>
      <c r="N91" s="2"/>
      <c r="O91" s="169"/>
      <c r="P91" s="169"/>
      <c r="Q91" s="169"/>
      <c r="R91" s="169"/>
      <c r="S91" s="2"/>
    </row>
    <row r="92" spans="1:19" x14ac:dyDescent="0.25">
      <c r="A92" s="2"/>
      <c r="B92" s="114" t="s">
        <v>570</v>
      </c>
      <c r="C92" s="2"/>
      <c r="D92" s="2"/>
      <c r="E92" s="168"/>
      <c r="F92" s="2"/>
      <c r="G92" s="168"/>
      <c r="H92" s="2"/>
      <c r="I92" s="167">
        <v>1.089</v>
      </c>
      <c r="J92" s="2"/>
      <c r="K92" s="2"/>
      <c r="L92" s="2"/>
      <c r="M92" s="167"/>
      <c r="N92" s="2"/>
      <c r="O92" s="169"/>
      <c r="P92" s="169"/>
      <c r="Q92" s="169"/>
      <c r="R92" s="169"/>
      <c r="S92" s="2"/>
    </row>
    <row r="93" spans="1:19" x14ac:dyDescent="0.25">
      <c r="A93" s="2"/>
      <c r="B93" s="114" t="s">
        <v>4</v>
      </c>
      <c r="C93" s="2"/>
      <c r="D93" s="2"/>
      <c r="E93" s="168"/>
      <c r="F93" s="2"/>
      <c r="G93" s="168"/>
      <c r="H93" s="2"/>
      <c r="J93" s="2"/>
      <c r="K93" s="167">
        <v>3.1E-2</v>
      </c>
      <c r="L93" s="2"/>
      <c r="M93" s="167">
        <f>$M$16</f>
        <v>0.46766999999999997</v>
      </c>
      <c r="N93" s="2"/>
      <c r="O93" s="167"/>
      <c r="P93" s="170"/>
      <c r="Q93" s="167">
        <f>Q40</f>
        <v>0</v>
      </c>
      <c r="R93" s="170"/>
      <c r="S93" s="167">
        <f>SUM(K93:R93)</f>
        <v>0.49866999999999995</v>
      </c>
    </row>
    <row r="94" spans="1:19" x14ac:dyDescent="0.25">
      <c r="A94" s="2"/>
      <c r="B94" s="114"/>
      <c r="C94" s="2"/>
      <c r="D94" s="2"/>
      <c r="E94" s="168"/>
      <c r="F94" s="2"/>
      <c r="G94" s="2"/>
      <c r="H94" s="2"/>
      <c r="I94" s="2"/>
      <c r="J94" s="2"/>
      <c r="K94" s="167"/>
      <c r="L94" s="2"/>
      <c r="M94" s="167"/>
      <c r="N94" s="2"/>
      <c r="O94" s="170"/>
      <c r="P94" s="170"/>
      <c r="Q94" s="170"/>
      <c r="R94" s="170"/>
      <c r="S94" s="167"/>
    </row>
    <row r="95" spans="1:19" x14ac:dyDescent="0.25">
      <c r="A95" s="2"/>
      <c r="B95" s="114"/>
      <c r="C95" s="2"/>
      <c r="D95" s="2"/>
      <c r="E95" s="168"/>
      <c r="F95" s="2"/>
      <c r="G95" s="2"/>
      <c r="H95" s="2"/>
      <c r="I95" s="2"/>
      <c r="J95" s="2"/>
      <c r="K95" s="167"/>
      <c r="L95" s="2"/>
      <c r="M95" s="167"/>
      <c r="N95" s="2"/>
      <c r="O95" s="170"/>
      <c r="P95" s="170"/>
      <c r="Q95" s="170"/>
      <c r="R95" s="170"/>
      <c r="S95" s="167"/>
    </row>
    <row r="96" spans="1:19" x14ac:dyDescent="0.25">
      <c r="A96" s="2" t="s">
        <v>223</v>
      </c>
      <c r="B96" s="2"/>
      <c r="C96" s="2"/>
      <c r="D96" s="2"/>
      <c r="E96" s="168"/>
      <c r="F96" s="2"/>
      <c r="G96" s="2"/>
      <c r="H96" s="2"/>
      <c r="I96" s="2"/>
      <c r="J96" s="2"/>
      <c r="K96" s="2"/>
      <c r="L96" s="2"/>
      <c r="M96" s="167"/>
      <c r="N96" s="2"/>
      <c r="O96" s="169"/>
      <c r="P96" s="169"/>
      <c r="Q96" s="169"/>
      <c r="R96" s="169"/>
      <c r="S96" s="2"/>
    </row>
    <row r="97" spans="1:19" x14ac:dyDescent="0.25">
      <c r="A97" s="2"/>
      <c r="B97" s="2"/>
      <c r="C97" s="2"/>
      <c r="D97" s="2" t="s">
        <v>151</v>
      </c>
      <c r="E97" s="168"/>
      <c r="F97" s="2"/>
      <c r="G97" s="2"/>
      <c r="H97" s="2"/>
      <c r="I97" s="2"/>
      <c r="J97" s="2"/>
      <c r="K97" s="2"/>
      <c r="L97" s="2"/>
      <c r="M97" s="167"/>
      <c r="N97" s="2"/>
      <c r="O97" s="169"/>
      <c r="P97" s="169"/>
      <c r="Q97" s="169"/>
      <c r="R97" s="169"/>
      <c r="S97" s="2"/>
    </row>
    <row r="98" spans="1:19" x14ac:dyDescent="0.25">
      <c r="A98" s="2"/>
      <c r="B98" s="114" t="s">
        <v>225</v>
      </c>
      <c r="C98" s="2"/>
      <c r="D98" s="2"/>
      <c r="E98" s="168">
        <v>750</v>
      </c>
      <c r="F98" s="2"/>
      <c r="G98" s="168">
        <f>G91</f>
        <v>203.04</v>
      </c>
      <c r="H98" s="2"/>
      <c r="I98" s="2"/>
      <c r="J98" s="2"/>
      <c r="K98" s="2"/>
      <c r="L98" s="2"/>
      <c r="M98" s="167"/>
      <c r="N98" s="2"/>
      <c r="O98" s="169"/>
      <c r="P98" s="169"/>
      <c r="Q98" s="169"/>
      <c r="R98" s="169"/>
      <c r="S98" s="2"/>
    </row>
    <row r="99" spans="1:19" x14ac:dyDescent="0.25">
      <c r="A99" s="2"/>
      <c r="B99" s="114" t="s">
        <v>570</v>
      </c>
      <c r="C99" s="2"/>
      <c r="D99" s="2"/>
      <c r="E99" s="168"/>
      <c r="F99" s="2"/>
      <c r="G99" s="168"/>
      <c r="H99" s="2"/>
      <c r="I99" s="167">
        <f>I92</f>
        <v>1.089</v>
      </c>
      <c r="J99" s="2"/>
      <c r="K99" s="2"/>
      <c r="L99" s="2"/>
      <c r="M99" s="167"/>
      <c r="N99" s="2"/>
      <c r="O99" s="169"/>
      <c r="P99" s="169"/>
      <c r="Q99" s="169"/>
      <c r="R99" s="169"/>
      <c r="S99" s="2"/>
    </row>
    <row r="100" spans="1:19" x14ac:dyDescent="0.25">
      <c r="A100" s="2"/>
      <c r="B100" s="114" t="s">
        <v>4</v>
      </c>
      <c r="C100" s="2"/>
      <c r="D100" s="2"/>
      <c r="E100" s="168"/>
      <c r="F100" s="2"/>
      <c r="G100" s="2"/>
      <c r="H100" s="2"/>
      <c r="J100" s="2"/>
      <c r="K100" s="167">
        <f>+K93</f>
        <v>3.1E-2</v>
      </c>
      <c r="L100" s="2"/>
      <c r="M100" s="167">
        <f>$M$16</f>
        <v>0.46766999999999997</v>
      </c>
      <c r="N100" s="2"/>
      <c r="O100" s="167"/>
      <c r="P100" s="170"/>
      <c r="Q100" s="167">
        <f>Q93</f>
        <v>0</v>
      </c>
      <c r="R100" s="170"/>
      <c r="S100" s="167">
        <f>SUM(K100:R100)</f>
        <v>0.49866999999999995</v>
      </c>
    </row>
    <row r="101" spans="1:19" x14ac:dyDescent="0.25">
      <c r="A101" s="2"/>
      <c r="B101" s="2"/>
      <c r="C101" s="2"/>
      <c r="D101" s="2"/>
      <c r="E101" s="2"/>
      <c r="F101" s="2"/>
      <c r="G101" s="2"/>
      <c r="H101" s="2"/>
      <c r="I101" s="2"/>
      <c r="J101" s="2"/>
      <c r="K101" s="2"/>
      <c r="L101" s="2"/>
      <c r="M101" s="167"/>
      <c r="N101" s="2"/>
      <c r="O101" s="169"/>
      <c r="P101" s="169"/>
      <c r="Q101" s="169"/>
      <c r="R101" s="169"/>
      <c r="S101" s="2"/>
    </row>
    <row r="102" spans="1:19" x14ac:dyDescent="0.25">
      <c r="A102" s="2"/>
      <c r="B102" s="2"/>
      <c r="C102" s="2"/>
      <c r="D102" s="2"/>
      <c r="E102" s="2"/>
      <c r="F102" s="2"/>
      <c r="G102" s="2"/>
      <c r="H102" s="2"/>
      <c r="I102" s="2"/>
      <c r="J102" s="2"/>
      <c r="K102" s="2"/>
      <c r="L102" s="2"/>
      <c r="M102" s="2"/>
      <c r="N102" s="2"/>
      <c r="O102" s="169"/>
      <c r="P102" s="169"/>
      <c r="Q102" s="169"/>
      <c r="R102" s="169"/>
      <c r="S102" s="2"/>
    </row>
    <row r="103" spans="1:19" x14ac:dyDescent="0.25">
      <c r="A103" s="165" t="s">
        <v>5</v>
      </c>
      <c r="B103" s="166"/>
      <c r="C103" s="166"/>
      <c r="D103" s="166"/>
      <c r="E103" s="166"/>
      <c r="F103" s="166"/>
      <c r="G103" s="166"/>
      <c r="H103" s="166"/>
      <c r="I103" s="166"/>
      <c r="J103" s="166"/>
      <c r="K103" s="166"/>
      <c r="L103" s="166"/>
      <c r="M103" s="166"/>
      <c r="N103" s="166"/>
      <c r="O103" s="166"/>
      <c r="P103" s="166"/>
      <c r="Q103" s="166"/>
      <c r="R103" s="166"/>
      <c r="S103" s="166"/>
    </row>
    <row r="104" spans="1:19" x14ac:dyDescent="0.25">
      <c r="A104" s="109" t="s">
        <v>496</v>
      </c>
      <c r="B104" s="110"/>
      <c r="C104" s="110"/>
      <c r="D104" s="110"/>
      <c r="E104" s="110"/>
      <c r="F104" s="110"/>
      <c r="G104" s="110"/>
      <c r="H104" s="110"/>
      <c r="I104" s="110"/>
      <c r="J104" s="110"/>
      <c r="K104" s="110"/>
      <c r="L104" s="110"/>
      <c r="M104" s="110"/>
      <c r="N104" s="110"/>
      <c r="O104" s="171"/>
      <c r="P104" s="171"/>
      <c r="Q104" s="171"/>
      <c r="R104" s="171"/>
      <c r="S104" s="110"/>
    </row>
    <row r="105" spans="1:19" x14ac:dyDescent="0.25">
      <c r="A105" s="172"/>
      <c r="B105" s="2"/>
      <c r="C105" s="2"/>
      <c r="D105" s="2"/>
      <c r="E105" s="2"/>
      <c r="F105" s="2"/>
      <c r="G105" s="2"/>
      <c r="H105" s="2"/>
      <c r="I105" s="2"/>
      <c r="J105" s="2"/>
      <c r="K105" s="2"/>
      <c r="L105" s="2"/>
      <c r="M105" s="2"/>
      <c r="N105" s="2"/>
      <c r="O105" s="169"/>
      <c r="P105" s="169"/>
      <c r="Q105" s="169"/>
      <c r="R105" s="169"/>
      <c r="S105" s="2"/>
    </row>
    <row r="106" spans="1:19" x14ac:dyDescent="0.25">
      <c r="A106" s="43" t="s">
        <v>720</v>
      </c>
      <c r="B106" s="110"/>
      <c r="C106" s="110"/>
      <c r="D106" s="110"/>
      <c r="E106" s="110"/>
      <c r="F106" s="110"/>
      <c r="G106" s="110"/>
      <c r="H106" s="110"/>
      <c r="I106" s="110"/>
      <c r="J106" s="110"/>
      <c r="K106" s="110"/>
      <c r="L106" s="110"/>
      <c r="M106" s="110"/>
      <c r="N106" s="110"/>
      <c r="O106" s="171"/>
      <c r="P106" s="171"/>
      <c r="Q106" s="171"/>
      <c r="R106" s="171"/>
      <c r="S106" s="110"/>
    </row>
    <row r="107" spans="1:19" x14ac:dyDescent="0.25">
      <c r="A107" s="43" t="str">
        <f>A4</f>
        <v>RENDERED FROM</v>
      </c>
      <c r="B107" s="110"/>
      <c r="C107" s="110"/>
      <c r="D107" s="110"/>
      <c r="E107" s="110"/>
      <c r="F107" s="110"/>
      <c r="G107" s="110"/>
      <c r="H107" s="110"/>
      <c r="I107" s="110"/>
      <c r="J107" s="110"/>
      <c r="K107" s="110"/>
      <c r="L107" s="110"/>
      <c r="M107" s="110"/>
      <c r="N107" s="110"/>
      <c r="O107" s="171"/>
      <c r="P107" s="171"/>
      <c r="Q107" s="171"/>
      <c r="R107" s="171"/>
      <c r="S107" s="110"/>
    </row>
    <row r="108" spans="1:19" x14ac:dyDescent="0.25">
      <c r="A108" s="43" t="str">
        <f>A5</f>
        <v>February 1, 2026 through April 30, 2026</v>
      </c>
      <c r="B108" s="110"/>
      <c r="C108" s="110"/>
      <c r="D108" s="110"/>
      <c r="E108" s="110"/>
      <c r="F108" s="110"/>
      <c r="G108" s="110"/>
      <c r="H108" s="110"/>
      <c r="I108" s="110"/>
      <c r="J108" s="110"/>
      <c r="K108" s="110"/>
      <c r="L108" s="110"/>
      <c r="M108" s="110"/>
      <c r="N108" s="110"/>
      <c r="O108" s="171"/>
      <c r="P108" s="171"/>
      <c r="Q108" s="171"/>
      <c r="R108" s="171"/>
      <c r="S108" s="110"/>
    </row>
    <row r="109" spans="1:19" x14ac:dyDescent="0.25">
      <c r="A109" s="2"/>
      <c r="B109" s="2"/>
      <c r="C109" s="2"/>
      <c r="D109" s="2"/>
      <c r="E109" s="2"/>
      <c r="F109" s="2"/>
      <c r="G109" s="2"/>
      <c r="H109" s="2"/>
      <c r="I109" s="2"/>
      <c r="J109" s="2"/>
      <c r="K109" s="2"/>
      <c r="L109" s="2"/>
      <c r="M109" s="2"/>
      <c r="N109" s="2"/>
      <c r="O109" s="169"/>
      <c r="P109" s="169"/>
      <c r="Q109" s="169"/>
      <c r="R109" s="169"/>
      <c r="S109" s="2"/>
    </row>
    <row r="110" spans="1:19" x14ac:dyDescent="0.25">
      <c r="A110" s="2"/>
      <c r="B110" s="2"/>
      <c r="C110" s="2"/>
      <c r="D110" s="2"/>
      <c r="E110" s="2"/>
      <c r="F110" s="2"/>
      <c r="G110" s="2"/>
      <c r="H110" s="2"/>
      <c r="I110" s="2"/>
      <c r="J110" s="2"/>
      <c r="K110" s="2"/>
      <c r="L110" s="2"/>
      <c r="M110" s="2"/>
      <c r="N110" s="2"/>
      <c r="O110" s="169"/>
      <c r="P110" s="169"/>
      <c r="Q110" s="169"/>
      <c r="R110" s="169"/>
      <c r="S110" s="2"/>
    </row>
    <row r="111" spans="1:19" x14ac:dyDescent="0.25">
      <c r="A111" s="2"/>
      <c r="B111" s="2"/>
      <c r="C111" s="2"/>
      <c r="D111" s="2"/>
      <c r="E111" s="2"/>
      <c r="F111" s="2"/>
      <c r="G111" s="2"/>
      <c r="H111" s="2"/>
      <c r="I111" s="2"/>
      <c r="J111" s="2"/>
      <c r="L111" s="2"/>
      <c r="M111" s="113" t="s">
        <v>153</v>
      </c>
      <c r="N111" s="2"/>
      <c r="O111" s="169"/>
      <c r="P111" s="169"/>
      <c r="Q111" s="169"/>
      <c r="R111" s="169"/>
      <c r="S111" s="2"/>
    </row>
    <row r="112" spans="1:19" x14ac:dyDescent="0.25">
      <c r="A112" s="2"/>
      <c r="B112" s="2"/>
      <c r="C112" s="2"/>
      <c r="D112" s="2"/>
      <c r="E112" s="2"/>
      <c r="F112" s="2"/>
      <c r="H112" s="2"/>
      <c r="I112" s="2"/>
      <c r="J112" s="2"/>
      <c r="K112" s="2"/>
      <c r="L112" s="2"/>
      <c r="M112" s="2"/>
      <c r="N112" s="2"/>
      <c r="O112" s="169"/>
      <c r="P112" s="169"/>
      <c r="Q112" s="169"/>
      <c r="R112" s="169"/>
      <c r="S112" s="2"/>
    </row>
    <row r="113" spans="1:19" x14ac:dyDescent="0.25">
      <c r="A113" s="2"/>
      <c r="B113" s="2"/>
      <c r="C113" s="2"/>
      <c r="D113" s="2"/>
      <c r="E113" s="2"/>
      <c r="F113" s="2"/>
      <c r="H113" s="2"/>
      <c r="I113" s="2"/>
      <c r="J113" s="2"/>
      <c r="K113"/>
      <c r="L113" s="2"/>
      <c r="M113" s="2"/>
      <c r="N113" s="2"/>
      <c r="O113"/>
      <c r="P113"/>
      <c r="Q113"/>
      <c r="R113"/>
      <c r="S113" s="2"/>
    </row>
    <row r="114" spans="1:19" x14ac:dyDescent="0.25">
      <c r="A114" s="2"/>
      <c r="B114" s="2"/>
      <c r="C114" s="2"/>
      <c r="D114" s="2"/>
      <c r="E114" s="2"/>
      <c r="F114" s="2"/>
      <c r="H114"/>
      <c r="I114"/>
      <c r="J114"/>
      <c r="K114"/>
      <c r="L114" s="2"/>
      <c r="M114" s="238" t="s">
        <v>154</v>
      </c>
      <c r="N114" s="2"/>
      <c r="O114"/>
      <c r="P114"/>
      <c r="Q114"/>
      <c r="R114"/>
      <c r="S114"/>
    </row>
    <row r="115" spans="1:19" x14ac:dyDescent="0.25">
      <c r="A115" s="2"/>
      <c r="B115" s="2"/>
      <c r="C115" s="2"/>
      <c r="D115" s="2"/>
      <c r="F115" s="2"/>
      <c r="H115"/>
      <c r="I115"/>
      <c r="J115"/>
      <c r="K115" s="238" t="s">
        <v>155</v>
      </c>
      <c r="L115" s="2"/>
      <c r="M115" s="238" t="s">
        <v>156</v>
      </c>
      <c r="N115" s="2"/>
      <c r="O115"/>
      <c r="P115"/>
      <c r="Q115"/>
      <c r="R115"/>
      <c r="S115"/>
    </row>
    <row r="116" spans="1:19" x14ac:dyDescent="0.25">
      <c r="A116" s="2"/>
      <c r="B116" s="2"/>
      <c r="C116" s="2"/>
      <c r="D116" s="2"/>
      <c r="F116" s="2"/>
      <c r="H116"/>
      <c r="I116"/>
      <c r="J116"/>
      <c r="K116" s="238" t="s">
        <v>132</v>
      </c>
      <c r="L116" s="2"/>
      <c r="M116" s="238" t="s">
        <v>157</v>
      </c>
      <c r="N116" s="2"/>
      <c r="O116"/>
      <c r="P116"/>
      <c r="Q116"/>
      <c r="R116"/>
      <c r="S116"/>
    </row>
    <row r="117" spans="1:19" x14ac:dyDescent="0.25">
      <c r="D117" s="2"/>
      <c r="E117" s="2" t="s">
        <v>500</v>
      </c>
      <c r="F117" s="2"/>
      <c r="G117" s="2"/>
      <c r="H117"/>
      <c r="I117"/>
      <c r="J117"/>
      <c r="K117" s="173" t="s">
        <v>136</v>
      </c>
      <c r="L117" s="2"/>
      <c r="M117" s="173" t="s">
        <v>139</v>
      </c>
      <c r="N117" s="2"/>
      <c r="O117"/>
      <c r="P117"/>
      <c r="Q117"/>
      <c r="R117"/>
      <c r="S117"/>
    </row>
    <row r="118" spans="1:19" x14ac:dyDescent="0.25">
      <c r="D118" s="2"/>
      <c r="E118" s="2"/>
      <c r="F118" s="2"/>
      <c r="G118" s="2"/>
      <c r="H118"/>
      <c r="I118"/>
      <c r="J118"/>
      <c r="K118" s="2"/>
      <c r="L118" s="2"/>
      <c r="M118" s="2"/>
      <c r="N118" s="2"/>
      <c r="O118"/>
      <c r="P118"/>
      <c r="Q118"/>
      <c r="R118"/>
      <c r="S118"/>
    </row>
    <row r="119" spans="1:19" x14ac:dyDescent="0.25">
      <c r="D119" s="2"/>
      <c r="E119" s="2"/>
      <c r="F119" s="2"/>
      <c r="G119" s="2"/>
      <c r="H119"/>
      <c r="I119"/>
      <c r="J119"/>
      <c r="K119" s="2"/>
      <c r="L119" s="2"/>
      <c r="M119" s="2"/>
      <c r="N119" s="2"/>
      <c r="O119"/>
      <c r="P119"/>
      <c r="Q119"/>
      <c r="R119"/>
      <c r="S119"/>
    </row>
    <row r="120" spans="1:19" x14ac:dyDescent="0.25">
      <c r="D120" s="2"/>
      <c r="E120" s="2"/>
      <c r="F120" s="258" t="s">
        <v>499</v>
      </c>
      <c r="G120" s="2"/>
      <c r="H120"/>
      <c r="I120"/>
      <c r="J120"/>
      <c r="K120" s="2"/>
      <c r="L120" s="2"/>
      <c r="M120" s="174"/>
      <c r="N120" s="2"/>
      <c r="O120"/>
      <c r="P120"/>
      <c r="Q120"/>
      <c r="R120"/>
      <c r="S120"/>
    </row>
    <row r="121" spans="1:19" x14ac:dyDescent="0.25">
      <c r="D121" s="2"/>
      <c r="E121" s="2"/>
      <c r="F121" s="2"/>
      <c r="G121" s="2"/>
      <c r="H121"/>
      <c r="I121"/>
      <c r="J121"/>
      <c r="K121" s="168"/>
      <c r="L121" s="2"/>
      <c r="M121" s="174"/>
      <c r="N121" s="2"/>
      <c r="O121"/>
      <c r="P121"/>
      <c r="Q121"/>
      <c r="R121"/>
      <c r="S121"/>
    </row>
    <row r="122" spans="1:19" x14ac:dyDescent="0.25">
      <c r="D122" s="2"/>
      <c r="E122" s="114" t="s">
        <v>142</v>
      </c>
      <c r="F122" s="2"/>
      <c r="G122" s="2"/>
      <c r="H122"/>
      <c r="I122"/>
      <c r="J122"/>
      <c r="K122" s="168">
        <v>550</v>
      </c>
      <c r="L122" s="2"/>
      <c r="M122" s="174"/>
      <c r="N122" s="2"/>
      <c r="O122"/>
      <c r="P122"/>
      <c r="Q122"/>
      <c r="R122"/>
      <c r="S122"/>
    </row>
    <row r="123" spans="1:19" x14ac:dyDescent="0.25">
      <c r="D123" s="2"/>
      <c r="E123" s="114" t="s">
        <v>144</v>
      </c>
      <c r="F123" s="2"/>
      <c r="G123" s="2"/>
      <c r="H123"/>
      <c r="I123"/>
      <c r="J123"/>
      <c r="K123" s="168"/>
      <c r="L123" s="2"/>
      <c r="M123" s="174"/>
      <c r="N123" s="2"/>
      <c r="O123"/>
      <c r="P123"/>
      <c r="Q123"/>
      <c r="R123"/>
      <c r="S123"/>
    </row>
    <row r="124" spans="1:19" x14ac:dyDescent="0.25">
      <c r="D124" s="2"/>
      <c r="E124" s="2"/>
      <c r="F124" s="114" t="s">
        <v>158</v>
      </c>
      <c r="G124" s="2"/>
      <c r="H124"/>
      <c r="I124"/>
      <c r="J124"/>
      <c r="K124" s="168"/>
      <c r="L124" s="2"/>
      <c r="M124" s="174">
        <f>'Ex A 2 of 2'!F43</f>
        <v>0.80259999999999998</v>
      </c>
      <c r="N124" s="2"/>
      <c r="O124"/>
      <c r="P124"/>
      <c r="Q124"/>
      <c r="R124"/>
      <c r="S124"/>
    </row>
    <row r="125" spans="1:19" x14ac:dyDescent="0.25">
      <c r="D125" s="2"/>
      <c r="E125" s="2"/>
      <c r="F125" s="114" t="s">
        <v>159</v>
      </c>
      <c r="G125" s="2"/>
      <c r="H125"/>
      <c r="I125"/>
      <c r="J125"/>
      <c r="K125" s="168"/>
      <c r="L125" s="2"/>
      <c r="M125" s="174">
        <f>($M$124)</f>
        <v>0.80259999999999998</v>
      </c>
      <c r="N125" s="2"/>
      <c r="O125"/>
      <c r="P125"/>
      <c r="Q125"/>
      <c r="R125"/>
      <c r="S125"/>
    </row>
    <row r="126" spans="1:19" x14ac:dyDescent="0.25">
      <c r="D126" s="2"/>
      <c r="E126" s="114" t="s">
        <v>147</v>
      </c>
      <c r="F126" s="2"/>
      <c r="G126" s="2"/>
      <c r="H126"/>
      <c r="I126"/>
      <c r="J126"/>
      <c r="K126" s="168"/>
      <c r="L126" s="2"/>
      <c r="M126" s="174"/>
      <c r="N126" s="2"/>
      <c r="O126"/>
      <c r="P126"/>
      <c r="Q126"/>
      <c r="R126"/>
      <c r="S126"/>
    </row>
    <row r="127" spans="1:19" x14ac:dyDescent="0.25">
      <c r="D127" s="2"/>
      <c r="E127" s="2"/>
      <c r="F127" s="114" t="s">
        <v>160</v>
      </c>
      <c r="G127" s="2"/>
      <c r="H127"/>
      <c r="I127"/>
      <c r="J127"/>
      <c r="K127" s="168"/>
      <c r="L127" s="2"/>
      <c r="M127" s="174">
        <f>($M$124)</f>
        <v>0.80259999999999998</v>
      </c>
      <c r="N127" s="2"/>
      <c r="O127"/>
      <c r="P127"/>
      <c r="Q127"/>
      <c r="R127"/>
      <c r="S127"/>
    </row>
    <row r="128" spans="1:19" x14ac:dyDescent="0.25">
      <c r="D128" s="2"/>
      <c r="E128" s="2"/>
      <c r="F128" s="2"/>
      <c r="G128" s="2"/>
      <c r="H128"/>
      <c r="I128"/>
      <c r="J128"/>
      <c r="K128" s="168"/>
      <c r="L128" s="2"/>
      <c r="M128" s="174"/>
      <c r="N128" s="2"/>
      <c r="O128"/>
      <c r="P128"/>
      <c r="Q128"/>
      <c r="R128"/>
      <c r="S128"/>
    </row>
    <row r="129" spans="1:19" x14ac:dyDescent="0.25">
      <c r="D129" s="2"/>
      <c r="E129" s="2"/>
      <c r="F129" s="2"/>
      <c r="G129" s="2"/>
      <c r="H129"/>
      <c r="I129"/>
      <c r="J129"/>
      <c r="K129" s="168"/>
      <c r="L129" s="2"/>
      <c r="M129" s="174"/>
      <c r="N129" s="2"/>
      <c r="O129"/>
      <c r="P129"/>
      <c r="Q129"/>
      <c r="R129"/>
      <c r="S129"/>
    </row>
    <row r="130" spans="1:19" x14ac:dyDescent="0.25">
      <c r="D130" s="2"/>
      <c r="E130" s="114" t="s">
        <v>149</v>
      </c>
      <c r="F130" s="2"/>
      <c r="G130" s="2"/>
      <c r="H130"/>
      <c r="I130"/>
      <c r="J130"/>
      <c r="K130" s="168">
        <v>550</v>
      </c>
      <c r="L130" s="2"/>
      <c r="M130" s="174"/>
      <c r="N130" s="2"/>
      <c r="O130"/>
      <c r="P130"/>
      <c r="Q130"/>
      <c r="R130"/>
      <c r="S130"/>
    </row>
    <row r="131" spans="1:19" x14ac:dyDescent="0.25">
      <c r="D131" s="2"/>
      <c r="E131" s="114" t="s">
        <v>144</v>
      </c>
      <c r="F131" s="2"/>
      <c r="G131" s="2"/>
      <c r="H131"/>
      <c r="I131"/>
      <c r="J131"/>
      <c r="K131" s="168"/>
      <c r="L131" s="2"/>
      <c r="M131" s="174"/>
      <c r="N131" s="2"/>
      <c r="O131"/>
      <c r="P131"/>
      <c r="Q131"/>
      <c r="R131"/>
      <c r="S131"/>
    </row>
    <row r="132" spans="1:19" x14ac:dyDescent="0.25">
      <c r="D132" s="2"/>
      <c r="E132" s="2"/>
      <c r="F132" s="114" t="s">
        <v>158</v>
      </c>
      <c r="G132" s="2"/>
      <c r="H132"/>
      <c r="I132"/>
      <c r="J132"/>
      <c r="K132" s="168"/>
      <c r="L132" s="2"/>
      <c r="M132" s="174">
        <f>($M$124)</f>
        <v>0.80259999999999998</v>
      </c>
      <c r="N132" s="2"/>
      <c r="O132"/>
      <c r="P132"/>
      <c r="Q132"/>
      <c r="R132"/>
      <c r="S132"/>
    </row>
    <row r="133" spans="1:19" x14ac:dyDescent="0.25">
      <c r="D133" s="2"/>
      <c r="E133" s="2"/>
      <c r="F133" s="114" t="s">
        <v>159</v>
      </c>
      <c r="G133" s="2"/>
      <c r="H133"/>
      <c r="I133"/>
      <c r="J133"/>
      <c r="K133" s="168"/>
      <c r="L133" s="2"/>
      <c r="M133" s="174">
        <f>($M$124)</f>
        <v>0.80259999999999998</v>
      </c>
      <c r="N133" s="2"/>
      <c r="O133"/>
      <c r="P133"/>
      <c r="Q133"/>
      <c r="R133"/>
      <c r="S133"/>
    </row>
    <row r="134" spans="1:19" x14ac:dyDescent="0.25">
      <c r="D134" s="2"/>
      <c r="E134" s="114" t="s">
        <v>147</v>
      </c>
      <c r="F134" s="2"/>
      <c r="G134" s="2"/>
      <c r="H134"/>
      <c r="I134"/>
      <c r="J134"/>
      <c r="K134" s="168"/>
      <c r="L134" s="2"/>
      <c r="M134" s="174"/>
      <c r="N134" s="2"/>
      <c r="O134"/>
      <c r="P134"/>
      <c r="Q134"/>
      <c r="R134"/>
      <c r="S134"/>
    </row>
    <row r="135" spans="1:19" x14ac:dyDescent="0.25">
      <c r="D135" s="2"/>
      <c r="E135" s="2"/>
      <c r="F135" s="114" t="s">
        <v>160</v>
      </c>
      <c r="G135" s="2"/>
      <c r="H135"/>
      <c r="I135"/>
      <c r="J135"/>
      <c r="K135" s="168"/>
      <c r="L135" s="2"/>
      <c r="M135" s="174">
        <f>($M$124)</f>
        <v>0.80259999999999998</v>
      </c>
      <c r="N135" s="2"/>
      <c r="O135"/>
      <c r="P135"/>
      <c r="Q135"/>
      <c r="R135"/>
      <c r="S135"/>
    </row>
    <row r="136" spans="1:19" x14ac:dyDescent="0.25">
      <c r="D136" s="2"/>
      <c r="E136" s="2"/>
      <c r="F136" s="2"/>
      <c r="G136" s="2"/>
      <c r="H136"/>
      <c r="I136"/>
      <c r="J136"/>
      <c r="K136" s="168"/>
      <c r="L136" s="2"/>
      <c r="M136" s="174"/>
      <c r="N136" s="2"/>
      <c r="O136"/>
      <c r="P136"/>
      <c r="Q136"/>
      <c r="R136"/>
      <c r="S136"/>
    </row>
    <row r="137" spans="1:19" x14ac:dyDescent="0.25">
      <c r="D137" s="2"/>
      <c r="E137" s="2"/>
      <c r="F137" s="2"/>
      <c r="G137" s="2"/>
      <c r="H137"/>
      <c r="I137"/>
      <c r="J137"/>
      <c r="K137" s="168"/>
      <c r="L137" s="2"/>
      <c r="M137" s="174"/>
      <c r="N137" s="2"/>
      <c r="O137"/>
      <c r="P137"/>
      <c r="Q137"/>
      <c r="R137"/>
      <c r="S137"/>
    </row>
    <row r="138" spans="1:19" x14ac:dyDescent="0.25">
      <c r="D138" s="2"/>
      <c r="E138" s="114" t="s">
        <v>152</v>
      </c>
      <c r="F138" s="2"/>
      <c r="G138" s="2"/>
      <c r="H138"/>
      <c r="I138"/>
      <c r="J138"/>
      <c r="K138" s="168">
        <v>550</v>
      </c>
      <c r="L138" s="2"/>
      <c r="M138" s="174">
        <f>($M$124)</f>
        <v>0.80259999999999998</v>
      </c>
      <c r="N138" s="2"/>
      <c r="O138"/>
      <c r="P138"/>
      <c r="Q138"/>
      <c r="R138"/>
      <c r="S138"/>
    </row>
    <row r="139" spans="1:19" x14ac:dyDescent="0.25">
      <c r="D139" s="2"/>
      <c r="E139" s="2"/>
      <c r="F139" s="2"/>
      <c r="G139" s="2"/>
      <c r="H139"/>
      <c r="I139"/>
      <c r="J139"/>
      <c r="K139"/>
      <c r="L139" s="2"/>
      <c r="M139" s="174"/>
      <c r="N139" s="2"/>
      <c r="O139"/>
      <c r="P139"/>
      <c r="Q139"/>
      <c r="R139"/>
      <c r="S139"/>
    </row>
    <row r="140" spans="1:19" x14ac:dyDescent="0.25">
      <c r="D140" s="2"/>
      <c r="E140" s="2"/>
      <c r="F140" s="2"/>
      <c r="G140" s="2"/>
      <c r="H140" s="2"/>
      <c r="I140" s="2"/>
      <c r="J140" s="2"/>
      <c r="K140" s="2"/>
      <c r="L140" s="2"/>
      <c r="M140" s="2"/>
      <c r="N140" s="2"/>
      <c r="O140"/>
      <c r="P140"/>
      <c r="Q140"/>
      <c r="R140"/>
      <c r="S140"/>
    </row>
    <row r="141" spans="1:19" x14ac:dyDescent="0.25">
      <c r="D141" s="2"/>
      <c r="E141" s="2" t="s">
        <v>565</v>
      </c>
      <c r="F141" s="2"/>
      <c r="G141" s="2"/>
      <c r="H141"/>
      <c r="I141"/>
      <c r="J141"/>
      <c r="K141" s="168">
        <v>550</v>
      </c>
      <c r="L141" s="2"/>
      <c r="M141" s="174">
        <f>($M$124)</f>
        <v>0.80259999999999998</v>
      </c>
      <c r="N141" s="2"/>
      <c r="O141"/>
      <c r="P141"/>
      <c r="Q141"/>
      <c r="R141"/>
      <c r="S141"/>
    </row>
    <row r="142" spans="1:19" x14ac:dyDescent="0.25">
      <c r="E142" s="2"/>
      <c r="O142"/>
      <c r="P142"/>
      <c r="Q142"/>
      <c r="R142"/>
      <c r="S142"/>
    </row>
    <row r="143" spans="1:19" x14ac:dyDescent="0.25">
      <c r="A143" s="2"/>
      <c r="K143" s="81"/>
      <c r="M143" s="122"/>
      <c r="O143"/>
      <c r="P143"/>
      <c r="Q143"/>
      <c r="R143"/>
      <c r="S143"/>
    </row>
    <row r="144" spans="1:19" x14ac:dyDescent="0.25">
      <c r="K144" s="81"/>
      <c r="M144" s="122"/>
      <c r="O144"/>
      <c r="P144"/>
      <c r="Q144"/>
      <c r="R144"/>
      <c r="S144"/>
    </row>
    <row r="145" spans="11:19" x14ac:dyDescent="0.25">
      <c r="K145" s="81"/>
      <c r="O145"/>
      <c r="P145"/>
      <c r="Q145"/>
      <c r="R145"/>
      <c r="S145"/>
    </row>
    <row r="146" spans="11:19" x14ac:dyDescent="0.25">
      <c r="K146" s="81"/>
      <c r="O146"/>
      <c r="P146"/>
      <c r="Q146"/>
      <c r="R146"/>
      <c r="S146"/>
    </row>
    <row r="147" spans="11:19" x14ac:dyDescent="0.25">
      <c r="K147" s="81"/>
      <c r="O147"/>
      <c r="P147"/>
      <c r="Q147"/>
      <c r="R147"/>
      <c r="S147"/>
    </row>
    <row r="148" spans="11:19" x14ac:dyDescent="0.25">
      <c r="K148" s="81"/>
      <c r="O148" s="14"/>
      <c r="P148" s="14"/>
      <c r="Q148" s="14"/>
      <c r="R148" s="14"/>
      <c r="S148"/>
    </row>
    <row r="149" spans="11:19" x14ac:dyDescent="0.25">
      <c r="K149" s="81"/>
      <c r="O149" s="14"/>
      <c r="P149" s="14"/>
      <c r="Q149" s="14"/>
      <c r="R149" s="14"/>
    </row>
    <row r="150" spans="11:19" x14ac:dyDescent="0.25">
      <c r="K150" s="81"/>
      <c r="O150" s="14"/>
      <c r="P150" s="14"/>
      <c r="Q150" s="14"/>
      <c r="R150" s="14"/>
    </row>
    <row r="151" spans="11:19" x14ac:dyDescent="0.25">
      <c r="K151" s="81"/>
      <c r="O151" s="14"/>
      <c r="P151" s="14"/>
      <c r="Q151" s="14"/>
      <c r="R151" s="14"/>
    </row>
    <row r="152" spans="11:19" x14ac:dyDescent="0.25">
      <c r="K152" s="81"/>
      <c r="O152" s="14"/>
      <c r="P152" s="14"/>
      <c r="Q152" s="14"/>
      <c r="R152" s="14"/>
    </row>
    <row r="153" spans="11:19" x14ac:dyDescent="0.25">
      <c r="K153" s="81"/>
      <c r="O153" s="14"/>
      <c r="P153" s="14"/>
      <c r="Q153" s="14"/>
      <c r="R153" s="14"/>
    </row>
    <row r="154" spans="11:19" x14ac:dyDescent="0.25">
      <c r="O154" s="14"/>
      <c r="P154" s="14"/>
      <c r="Q154" s="14"/>
      <c r="R154" s="14"/>
    </row>
    <row r="155" spans="11:19" x14ac:dyDescent="0.25">
      <c r="O155" s="14"/>
      <c r="P155" s="14"/>
      <c r="Q155" s="14"/>
      <c r="R155" s="14"/>
    </row>
    <row r="156" spans="11:19" x14ac:dyDescent="0.25">
      <c r="O156" s="14"/>
      <c r="P156" s="14"/>
      <c r="Q156" s="14"/>
      <c r="R156" s="14"/>
    </row>
    <row r="157" spans="11:19" x14ac:dyDescent="0.25">
      <c r="O157" s="14"/>
      <c r="P157" s="14"/>
      <c r="Q157" s="14"/>
      <c r="R157" s="14"/>
    </row>
    <row r="158" spans="11:19" x14ac:dyDescent="0.25">
      <c r="O158" s="14"/>
      <c r="P158" s="14"/>
      <c r="Q158" s="14"/>
      <c r="R158" s="14"/>
    </row>
    <row r="159" spans="11:19" x14ac:dyDescent="0.25">
      <c r="O159" s="14"/>
      <c r="P159" s="14"/>
      <c r="Q159" s="14"/>
      <c r="R159" s="14"/>
    </row>
    <row r="160" spans="11:19" x14ac:dyDescent="0.25">
      <c r="O160" s="14"/>
      <c r="P160" s="14"/>
      <c r="Q160" s="14"/>
      <c r="R160" s="14"/>
    </row>
    <row r="161" spans="15:18" x14ac:dyDescent="0.25">
      <c r="O161" s="14"/>
      <c r="P161" s="14"/>
      <c r="Q161" s="14"/>
      <c r="R161" s="14"/>
    </row>
    <row r="162" spans="15:18" x14ac:dyDescent="0.25">
      <c r="O162" s="14"/>
      <c r="P162" s="14"/>
      <c r="Q162" s="14"/>
      <c r="R162" s="14"/>
    </row>
    <row r="163" spans="15:18" x14ac:dyDescent="0.25">
      <c r="O163" s="14"/>
      <c r="P163" s="14"/>
      <c r="Q163" s="14"/>
      <c r="R163" s="14"/>
    </row>
    <row r="164" spans="15:18" x14ac:dyDescent="0.25">
      <c r="O164" s="14"/>
      <c r="P164" s="14"/>
      <c r="Q164" s="14"/>
      <c r="R164" s="14"/>
    </row>
    <row r="165" spans="15:18" x14ac:dyDescent="0.25">
      <c r="O165" s="14"/>
      <c r="P165" s="14"/>
      <c r="Q165" s="14"/>
      <c r="R165" s="14"/>
    </row>
    <row r="166" spans="15:18" x14ac:dyDescent="0.25">
      <c r="O166" s="14"/>
      <c r="P166" s="14"/>
      <c r="Q166" s="14"/>
      <c r="R166" s="14"/>
    </row>
    <row r="167" spans="15:18" x14ac:dyDescent="0.25">
      <c r="O167" s="14"/>
      <c r="P167" s="14"/>
      <c r="Q167" s="14"/>
      <c r="R167" s="14"/>
    </row>
    <row r="168" spans="15:18" x14ac:dyDescent="0.25">
      <c r="O168" s="14"/>
      <c r="P168" s="14"/>
      <c r="Q168" s="14"/>
      <c r="R168" s="14"/>
    </row>
    <row r="169" spans="15:18" x14ac:dyDescent="0.25">
      <c r="O169" s="14"/>
      <c r="P169" s="14"/>
      <c r="Q169" s="14"/>
      <c r="R169" s="14"/>
    </row>
    <row r="170" spans="15:18" x14ac:dyDescent="0.25">
      <c r="O170" s="14"/>
      <c r="P170" s="14"/>
      <c r="Q170" s="14"/>
      <c r="R170" s="14"/>
    </row>
    <row r="171" spans="15:18" x14ac:dyDescent="0.25">
      <c r="O171" s="14"/>
      <c r="P171" s="14"/>
      <c r="Q171" s="14"/>
      <c r="R171" s="14"/>
    </row>
    <row r="172" spans="15:18" x14ac:dyDescent="0.25">
      <c r="O172" s="14"/>
      <c r="P172" s="14"/>
      <c r="Q172" s="14"/>
      <c r="R172" s="14"/>
    </row>
    <row r="173" spans="15:18" x14ac:dyDescent="0.25">
      <c r="O173" s="14"/>
      <c r="P173" s="14"/>
      <c r="Q173" s="14"/>
      <c r="R173" s="14"/>
    </row>
    <row r="174" spans="15:18" x14ac:dyDescent="0.25">
      <c r="O174" s="14"/>
      <c r="P174" s="14"/>
      <c r="Q174" s="14"/>
      <c r="R174" s="14"/>
    </row>
    <row r="175" spans="15:18" x14ac:dyDescent="0.25">
      <c r="O175" s="14"/>
      <c r="P175" s="14"/>
      <c r="Q175" s="14"/>
      <c r="R175" s="14"/>
    </row>
    <row r="176" spans="15:18" x14ac:dyDescent="0.25">
      <c r="O176" s="14"/>
      <c r="P176" s="14"/>
      <c r="Q176" s="14"/>
      <c r="R176" s="14"/>
    </row>
  </sheetData>
  <mergeCells count="2">
    <mergeCell ref="A5:S5"/>
    <mergeCell ref="A58:S58"/>
  </mergeCells>
  <phoneticPr fontId="4" type="noConversion"/>
  <pageMargins left="0.7" right="0.7" top="0.75" bottom="0.75" header="0.3" footer="0.3"/>
  <pageSetup scale="59" fitToHeight="3" orientation="landscape" r:id="rId1"/>
  <headerFooter>
    <oddFooter>&amp;R&amp;"Times New Roman,Bold"Effective Rates
 Page &amp;P of 5</oddFooter>
  </headerFooter>
  <rowBreaks count="2" manualBreakCount="2">
    <brk id="53" max="18" man="1"/>
    <brk id="102" max="18" man="1"/>
  </rowBreaks>
  <customProperties>
    <customPr name="_pios_id" r:id="rId2"/>
  </customPropertie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ransitionEvaluation="1" codeName="Sheet17">
    <tabColor theme="3" tint="0.59999389629810485"/>
  </sheetPr>
  <dimension ref="A1:L112"/>
  <sheetViews>
    <sheetView zoomScale="80" zoomScaleNormal="80" workbookViewId="0">
      <selection sqref="A1:H1"/>
    </sheetView>
  </sheetViews>
  <sheetFormatPr defaultColWidth="9.77734375" defaultRowHeight="15.75" x14ac:dyDescent="0.25"/>
  <cols>
    <col min="1" max="1" width="2.77734375" style="3" customWidth="1"/>
    <col min="2" max="4" width="9.77734375" style="3"/>
    <col min="5" max="5" width="21.77734375" style="3" customWidth="1"/>
    <col min="6" max="6" width="13.77734375" style="3" customWidth="1"/>
    <col min="7" max="7" width="9.88671875" style="3" customWidth="1"/>
    <col min="8" max="8" width="7.77734375" style="3" customWidth="1"/>
    <col min="9" max="16384" width="9.77734375" style="3"/>
  </cols>
  <sheetData>
    <row r="1" spans="1:8" x14ac:dyDescent="0.25">
      <c r="A1" s="639" t="s">
        <v>5</v>
      </c>
      <c r="B1" s="639"/>
      <c r="C1" s="639"/>
      <c r="D1" s="639"/>
      <c r="E1" s="639"/>
      <c r="F1" s="639"/>
      <c r="G1" s="639"/>
      <c r="H1" s="639"/>
    </row>
    <row r="4" spans="1:8" x14ac:dyDescent="0.25">
      <c r="A4" s="639" t="s">
        <v>592</v>
      </c>
      <c r="B4" s="639"/>
      <c r="C4" s="639"/>
      <c r="D4" s="639"/>
      <c r="E4" s="639"/>
      <c r="F4" s="639"/>
      <c r="G4" s="639"/>
      <c r="H4" s="639"/>
    </row>
    <row r="6" spans="1:8" x14ac:dyDescent="0.25">
      <c r="A6" s="629" t="str">
        <f>CONCATENATE('Input Data'!D4," through ",'Input Data'!D5)</f>
        <v>February 1, 2026 through April 30, 2026</v>
      </c>
      <c r="B6" s="629"/>
      <c r="C6" s="629"/>
      <c r="D6" s="629"/>
      <c r="E6" s="629"/>
      <c r="F6" s="629"/>
      <c r="G6" s="629"/>
      <c r="H6" s="629"/>
    </row>
    <row r="7" spans="1:8" x14ac:dyDescent="0.25">
      <c r="A7" s="175"/>
      <c r="B7" s="175"/>
      <c r="C7" s="175"/>
      <c r="D7" s="175"/>
      <c r="E7" s="175"/>
      <c r="F7" s="175"/>
      <c r="G7" s="175"/>
      <c r="H7" s="175"/>
    </row>
    <row r="9" spans="1:8" x14ac:dyDescent="0.25">
      <c r="B9" s="176"/>
      <c r="G9" s="177"/>
    </row>
    <row r="11" spans="1:8" x14ac:dyDescent="0.25">
      <c r="C11" s="178" t="s">
        <v>161</v>
      </c>
    </row>
    <row r="13" spans="1:8" x14ac:dyDescent="0.25">
      <c r="B13" s="12" t="s">
        <v>162</v>
      </c>
      <c r="G13" s="144">
        <v>550</v>
      </c>
    </row>
    <row r="15" spans="1:8" x14ac:dyDescent="0.25">
      <c r="B15" s="12" t="s">
        <v>567</v>
      </c>
      <c r="G15" s="144">
        <v>750</v>
      </c>
    </row>
    <row r="17" spans="1:8" x14ac:dyDescent="0.25">
      <c r="B17" s="12" t="s">
        <v>569</v>
      </c>
      <c r="G17" s="144">
        <v>7.38</v>
      </c>
    </row>
    <row r="19" spans="1:8" x14ac:dyDescent="0.25">
      <c r="B19" s="12" t="s">
        <v>163</v>
      </c>
      <c r="G19" s="81">
        <v>4.5600000000000002E-2</v>
      </c>
    </row>
    <row r="21" spans="1:8" x14ac:dyDescent="0.25">
      <c r="B21" s="3" t="s">
        <v>740</v>
      </c>
      <c r="G21" s="81">
        <v>0</v>
      </c>
    </row>
    <row r="22" spans="1:8" x14ac:dyDescent="0.25">
      <c r="G22" s="81"/>
    </row>
    <row r="23" spans="1:8" x14ac:dyDescent="0.25">
      <c r="B23" s="3" t="s">
        <v>746</v>
      </c>
      <c r="G23" s="81">
        <v>1.2999999999999999E-3</v>
      </c>
    </row>
    <row r="24" spans="1:8" x14ac:dyDescent="0.25">
      <c r="G24" s="81"/>
    </row>
    <row r="25" spans="1:8" x14ac:dyDescent="0.25">
      <c r="A25" s="175"/>
      <c r="B25" s="175"/>
      <c r="C25" s="175"/>
      <c r="D25" s="175"/>
      <c r="E25" s="175"/>
      <c r="F25" s="175"/>
      <c r="G25" s="175"/>
      <c r="H25" s="175"/>
    </row>
    <row r="29" spans="1:8" x14ac:dyDescent="0.25">
      <c r="C29" s="178" t="s">
        <v>164</v>
      </c>
    </row>
    <row r="31" spans="1:8" x14ac:dyDescent="0.25">
      <c r="B31" s="12" t="s">
        <v>165</v>
      </c>
      <c r="G31" s="81">
        <f>'Ex A 2 of 2'!F56</f>
        <v>0.14940000000000001</v>
      </c>
    </row>
    <row r="32" spans="1:8" x14ac:dyDescent="0.25">
      <c r="B32" s="12" t="s">
        <v>166</v>
      </c>
      <c r="G32" s="497">
        <v>0.37969999999999998</v>
      </c>
    </row>
    <row r="33" spans="2:8" x14ac:dyDescent="0.25">
      <c r="B33" s="12" t="s">
        <v>167</v>
      </c>
      <c r="G33" s="81">
        <f>(G31+G32)</f>
        <v>0.52910000000000001</v>
      </c>
    </row>
    <row r="35" spans="2:8" x14ac:dyDescent="0.25">
      <c r="B35" s="3" t="s">
        <v>579</v>
      </c>
    </row>
    <row r="36" spans="2:8" x14ac:dyDescent="0.25">
      <c r="C36" s="3" t="s">
        <v>168</v>
      </c>
      <c r="F36" s="3" t="s">
        <v>169</v>
      </c>
    </row>
    <row r="37" spans="2:8" x14ac:dyDescent="0.25">
      <c r="F37" s="3" t="s">
        <v>751</v>
      </c>
    </row>
    <row r="38" spans="2:8" x14ac:dyDescent="0.25">
      <c r="F38" s="3" t="s">
        <v>554</v>
      </c>
    </row>
    <row r="39" spans="2:8" x14ac:dyDescent="0.25">
      <c r="B39" s="3" t="s">
        <v>579</v>
      </c>
    </row>
    <row r="40" spans="2:8" x14ac:dyDescent="0.25">
      <c r="B40" s="544" t="s">
        <v>170</v>
      </c>
    </row>
    <row r="42" spans="2:8" x14ac:dyDescent="0.25">
      <c r="B42" s="178" t="s">
        <v>171</v>
      </c>
    </row>
    <row r="43" spans="2:8" x14ac:dyDescent="0.25">
      <c r="C43" s="12" t="s">
        <v>172</v>
      </c>
      <c r="F43" s="545"/>
      <c r="G43" s="179">
        <v>1</v>
      </c>
      <c r="H43" s="12"/>
    </row>
    <row r="44" spans="2:8" x14ac:dyDescent="0.25">
      <c r="C44" s="12" t="s">
        <v>173</v>
      </c>
      <c r="G44" s="179">
        <f>(G$43*1.1)</f>
        <v>1.1000000000000001</v>
      </c>
    </row>
    <row r="45" spans="2:8" x14ac:dyDescent="0.25">
      <c r="C45" s="12" t="s">
        <v>173</v>
      </c>
      <c r="G45" s="179">
        <f>(G$43*1.2)</f>
        <v>1.2</v>
      </c>
    </row>
    <row r="46" spans="2:8" x14ac:dyDescent="0.25">
      <c r="C46" s="12" t="s">
        <v>173</v>
      </c>
      <c r="G46" s="179">
        <f>(G$43*1.3)</f>
        <v>1.3</v>
      </c>
    </row>
    <row r="47" spans="2:8" x14ac:dyDescent="0.25">
      <c r="C47" s="12" t="s">
        <v>174</v>
      </c>
      <c r="G47" s="179">
        <f>(G$43*1.4)</f>
        <v>1.4</v>
      </c>
    </row>
    <row r="49" spans="1:12" x14ac:dyDescent="0.25">
      <c r="B49" s="178" t="s">
        <v>175</v>
      </c>
    </row>
    <row r="50" spans="1:12" x14ac:dyDescent="0.25">
      <c r="C50" s="12" t="s">
        <v>172</v>
      </c>
      <c r="G50" s="179">
        <f>(G43)</f>
        <v>1</v>
      </c>
      <c r="H50" s="12"/>
    </row>
    <row r="51" spans="1:12" x14ac:dyDescent="0.25">
      <c r="C51" s="12" t="s">
        <v>173</v>
      </c>
      <c r="G51" s="179">
        <f>(G$43*0.9)</f>
        <v>0.9</v>
      </c>
    </row>
    <row r="52" spans="1:12" x14ac:dyDescent="0.25">
      <c r="C52" s="12" t="s">
        <v>173</v>
      </c>
      <c r="G52" s="179">
        <f>(G$43*0.8)</f>
        <v>0.8</v>
      </c>
    </row>
    <row r="53" spans="1:12" x14ac:dyDescent="0.25">
      <c r="C53" s="12" t="s">
        <v>173</v>
      </c>
      <c r="G53" s="179">
        <f>(G$43*0.7)</f>
        <v>0.7</v>
      </c>
    </row>
    <row r="54" spans="1:12" x14ac:dyDescent="0.25">
      <c r="C54" s="12" t="s">
        <v>174</v>
      </c>
      <c r="G54" s="179">
        <f>(G$43*0.6)</f>
        <v>0.6</v>
      </c>
    </row>
    <row r="55" spans="1:12" x14ac:dyDescent="0.25">
      <c r="C55" s="12"/>
      <c r="G55" s="179"/>
    </row>
    <row r="56" spans="1:12" x14ac:dyDescent="0.25">
      <c r="A56" s="180"/>
      <c r="B56" s="175"/>
      <c r="C56" s="175"/>
      <c r="D56" s="175"/>
      <c r="E56" s="175"/>
      <c r="F56" s="175"/>
      <c r="G56" s="175"/>
      <c r="H56" s="175"/>
    </row>
    <row r="58" spans="1:12" x14ac:dyDescent="0.25">
      <c r="A58" s="2"/>
      <c r="B58"/>
      <c r="C58"/>
      <c r="D58"/>
      <c r="E58"/>
      <c r="F58"/>
      <c r="G58"/>
      <c r="H58"/>
      <c r="I58"/>
      <c r="J58"/>
      <c r="K58"/>
      <c r="L58"/>
    </row>
    <row r="59" spans="1:12" x14ac:dyDescent="0.25">
      <c r="A59"/>
      <c r="B59"/>
      <c r="C59"/>
      <c r="D59"/>
      <c r="E59"/>
      <c r="F59"/>
      <c r="G59"/>
      <c r="H59"/>
      <c r="I59"/>
      <c r="J59"/>
      <c r="K59"/>
      <c r="L59"/>
    </row>
    <row r="60" spans="1:12" x14ac:dyDescent="0.25">
      <c r="A60"/>
      <c r="B60"/>
      <c r="C60"/>
      <c r="D60"/>
      <c r="E60"/>
      <c r="F60"/>
      <c r="G60"/>
      <c r="H60"/>
      <c r="I60"/>
      <c r="J60"/>
      <c r="K60"/>
      <c r="L60"/>
    </row>
    <row r="61" spans="1:12" x14ac:dyDescent="0.25">
      <c r="A61"/>
      <c r="B61"/>
      <c r="C61"/>
      <c r="D61"/>
      <c r="E61"/>
      <c r="F61"/>
      <c r="G61"/>
      <c r="H61"/>
      <c r="I61"/>
      <c r="J61"/>
      <c r="K61"/>
      <c r="L61"/>
    </row>
    <row r="62" spans="1:12" x14ac:dyDescent="0.25">
      <c r="A62"/>
      <c r="B62"/>
      <c r="C62"/>
      <c r="D62"/>
      <c r="E62"/>
      <c r="F62"/>
      <c r="G62"/>
      <c r="H62"/>
      <c r="I62"/>
      <c r="J62"/>
      <c r="K62"/>
      <c r="L62"/>
    </row>
    <row r="63" spans="1:12" x14ac:dyDescent="0.25">
      <c r="A63"/>
      <c r="B63"/>
      <c r="C63"/>
      <c r="D63"/>
      <c r="E63"/>
      <c r="F63"/>
      <c r="G63"/>
      <c r="H63"/>
      <c r="I63"/>
      <c r="J63"/>
      <c r="K63"/>
      <c r="L63"/>
    </row>
    <row r="64" spans="1:12" x14ac:dyDescent="0.25">
      <c r="A64"/>
      <c r="B64"/>
      <c r="C64"/>
      <c r="D64"/>
      <c r="E64"/>
      <c r="F64"/>
      <c r="G64"/>
      <c r="H64"/>
      <c r="I64"/>
      <c r="J64"/>
      <c r="K64"/>
      <c r="L64"/>
    </row>
    <row r="65" spans="1:12" x14ac:dyDescent="0.25">
      <c r="A65"/>
      <c r="B65"/>
      <c r="C65"/>
      <c r="D65"/>
      <c r="E65"/>
      <c r="F65"/>
      <c r="G65"/>
      <c r="H65"/>
      <c r="I65"/>
      <c r="J65"/>
      <c r="K65"/>
      <c r="L65"/>
    </row>
    <row r="66" spans="1:12" x14ac:dyDescent="0.25">
      <c r="A66"/>
      <c r="B66"/>
      <c r="C66"/>
      <c r="D66"/>
      <c r="E66"/>
      <c r="F66"/>
      <c r="G66"/>
      <c r="H66"/>
      <c r="I66"/>
      <c r="J66"/>
      <c r="K66"/>
      <c r="L66"/>
    </row>
    <row r="67" spans="1:12" x14ac:dyDescent="0.25">
      <c r="A67"/>
      <c r="B67"/>
      <c r="C67"/>
      <c r="D67"/>
      <c r="E67"/>
      <c r="F67"/>
      <c r="G67"/>
      <c r="H67"/>
      <c r="I67"/>
      <c r="J67"/>
      <c r="K67"/>
      <c r="L67"/>
    </row>
    <row r="68" spans="1:12" x14ac:dyDescent="0.25">
      <c r="A68"/>
      <c r="B68"/>
      <c r="C68"/>
      <c r="D68"/>
      <c r="E68"/>
      <c r="F68"/>
      <c r="G68"/>
      <c r="H68"/>
      <c r="I68"/>
      <c r="J68"/>
      <c r="K68"/>
      <c r="L68"/>
    </row>
    <row r="69" spans="1:12" x14ac:dyDescent="0.25">
      <c r="A69"/>
      <c r="B69"/>
      <c r="C69"/>
      <c r="D69"/>
      <c r="E69"/>
      <c r="F69"/>
      <c r="G69"/>
      <c r="H69"/>
      <c r="I69"/>
      <c r="J69"/>
      <c r="K69"/>
      <c r="L69"/>
    </row>
    <row r="70" spans="1:12" x14ac:dyDescent="0.25">
      <c r="A70"/>
      <c r="B70"/>
      <c r="C70"/>
      <c r="D70"/>
      <c r="E70"/>
      <c r="F70"/>
      <c r="G70"/>
      <c r="H70"/>
      <c r="I70"/>
      <c r="J70"/>
      <c r="K70"/>
      <c r="L70"/>
    </row>
    <row r="71" spans="1:12" x14ac:dyDescent="0.25">
      <c r="A71"/>
      <c r="B71"/>
      <c r="C71"/>
      <c r="D71"/>
      <c r="E71"/>
      <c r="F71"/>
      <c r="G71"/>
      <c r="H71"/>
      <c r="I71"/>
      <c r="J71"/>
      <c r="K71"/>
      <c r="L71"/>
    </row>
    <row r="72" spans="1:12" x14ac:dyDescent="0.25">
      <c r="A72"/>
      <c r="B72"/>
      <c r="C72"/>
      <c r="D72"/>
      <c r="E72"/>
      <c r="F72"/>
      <c r="G72"/>
      <c r="H72"/>
      <c r="I72"/>
      <c r="J72"/>
      <c r="K72"/>
      <c r="L72"/>
    </row>
    <row r="73" spans="1:12" x14ac:dyDescent="0.25">
      <c r="A73"/>
      <c r="B73"/>
      <c r="C73"/>
      <c r="D73"/>
      <c r="E73"/>
      <c r="F73"/>
      <c r="G73"/>
      <c r="H73"/>
      <c r="I73"/>
      <c r="J73"/>
      <c r="K73"/>
      <c r="L73"/>
    </row>
    <row r="74" spans="1:12" x14ac:dyDescent="0.25">
      <c r="A74"/>
      <c r="B74"/>
      <c r="C74"/>
      <c r="D74"/>
      <c r="E74"/>
      <c r="F74"/>
      <c r="G74"/>
      <c r="H74"/>
      <c r="I74"/>
      <c r="J74"/>
      <c r="K74"/>
      <c r="L74"/>
    </row>
    <row r="75" spans="1:12" x14ac:dyDescent="0.25">
      <c r="A75"/>
      <c r="B75"/>
      <c r="C75"/>
      <c r="D75"/>
      <c r="E75"/>
      <c r="F75"/>
      <c r="G75"/>
      <c r="H75"/>
      <c r="I75"/>
      <c r="J75"/>
      <c r="K75"/>
      <c r="L75"/>
    </row>
    <row r="76" spans="1:12" x14ac:dyDescent="0.25">
      <c r="A76"/>
      <c r="B76"/>
      <c r="C76"/>
      <c r="D76"/>
      <c r="E76"/>
      <c r="F76"/>
      <c r="G76"/>
      <c r="H76"/>
      <c r="I76"/>
      <c r="J76"/>
      <c r="K76"/>
      <c r="L76"/>
    </row>
    <row r="77" spans="1:12" x14ac:dyDescent="0.25">
      <c r="A77"/>
      <c r="B77"/>
      <c r="C77"/>
      <c r="D77"/>
      <c r="E77"/>
      <c r="F77"/>
      <c r="G77"/>
      <c r="H77"/>
      <c r="I77"/>
      <c r="J77"/>
      <c r="K77"/>
      <c r="L77"/>
    </row>
    <row r="78" spans="1:12" x14ac:dyDescent="0.25">
      <c r="A78"/>
      <c r="B78"/>
      <c r="C78"/>
      <c r="D78"/>
      <c r="E78"/>
      <c r="F78"/>
      <c r="G78"/>
      <c r="H78"/>
      <c r="I78"/>
      <c r="J78"/>
      <c r="K78"/>
      <c r="L78"/>
    </row>
    <row r="79" spans="1:12" x14ac:dyDescent="0.25">
      <c r="A79"/>
      <c r="B79"/>
      <c r="C79"/>
      <c r="D79"/>
      <c r="E79"/>
      <c r="F79"/>
      <c r="G79"/>
      <c r="H79"/>
      <c r="I79"/>
      <c r="J79"/>
      <c r="K79"/>
      <c r="L79"/>
    </row>
    <row r="80" spans="1:12" x14ac:dyDescent="0.25">
      <c r="A80"/>
      <c r="B80"/>
      <c r="C80"/>
      <c r="D80"/>
      <c r="E80"/>
      <c r="F80"/>
      <c r="G80"/>
      <c r="H80"/>
      <c r="I80"/>
      <c r="J80"/>
      <c r="K80"/>
      <c r="L80"/>
    </row>
    <row r="81" spans="1:12" x14ac:dyDescent="0.25">
      <c r="A81"/>
      <c r="B81"/>
      <c r="C81"/>
      <c r="D81"/>
      <c r="E81"/>
      <c r="F81"/>
      <c r="G81"/>
      <c r="H81"/>
      <c r="I81"/>
      <c r="J81"/>
      <c r="K81"/>
      <c r="L81"/>
    </row>
    <row r="82" spans="1:12" x14ac:dyDescent="0.25">
      <c r="A82"/>
      <c r="B82"/>
      <c r="C82"/>
      <c r="D82"/>
      <c r="E82"/>
      <c r="F82"/>
      <c r="G82"/>
      <c r="H82"/>
      <c r="I82"/>
      <c r="J82"/>
      <c r="K82"/>
      <c r="L82"/>
    </row>
    <row r="83" spans="1:12" x14ac:dyDescent="0.25">
      <c r="A83"/>
      <c r="B83"/>
      <c r="C83"/>
      <c r="D83"/>
      <c r="E83"/>
      <c r="F83"/>
      <c r="G83"/>
      <c r="H83"/>
      <c r="I83"/>
      <c r="J83"/>
      <c r="K83"/>
      <c r="L83"/>
    </row>
    <row r="84" spans="1:12" x14ac:dyDescent="0.25">
      <c r="A84"/>
      <c r="B84"/>
      <c r="C84"/>
      <c r="D84"/>
      <c r="E84"/>
      <c r="F84"/>
      <c r="G84"/>
      <c r="H84"/>
      <c r="I84"/>
      <c r="J84"/>
      <c r="K84"/>
      <c r="L84"/>
    </row>
    <row r="85" spans="1:12" x14ac:dyDescent="0.25">
      <c r="A85"/>
      <c r="B85"/>
      <c r="C85"/>
      <c r="D85"/>
      <c r="E85"/>
      <c r="F85"/>
      <c r="G85"/>
      <c r="H85"/>
      <c r="I85"/>
      <c r="J85"/>
      <c r="K85"/>
      <c r="L85"/>
    </row>
    <row r="86" spans="1:12" x14ac:dyDescent="0.25">
      <c r="A86"/>
      <c r="B86"/>
      <c r="C86"/>
      <c r="D86"/>
      <c r="E86"/>
      <c r="F86"/>
      <c r="G86"/>
      <c r="H86"/>
      <c r="I86"/>
      <c r="J86"/>
      <c r="K86"/>
      <c r="L86"/>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2" spans="1:12" x14ac:dyDescent="0.25">
      <c r="A92"/>
      <c r="B92"/>
      <c r="C92"/>
      <c r="D92"/>
      <c r="E92"/>
      <c r="F92"/>
      <c r="G92"/>
      <c r="H92"/>
      <c r="I92"/>
      <c r="J92"/>
      <c r="K92"/>
      <c r="L92"/>
    </row>
    <row r="93" spans="1:12" x14ac:dyDescent="0.25">
      <c r="A93"/>
      <c r="B93"/>
      <c r="C93"/>
      <c r="D93"/>
      <c r="E93"/>
      <c r="F93"/>
      <c r="G93"/>
      <c r="H93"/>
      <c r="I93"/>
      <c r="J93"/>
      <c r="K93"/>
      <c r="L93"/>
    </row>
    <row r="94" spans="1:12" x14ac:dyDescent="0.25">
      <c r="A94"/>
      <c r="B94"/>
      <c r="C94"/>
      <c r="D94"/>
      <c r="E94"/>
      <c r="F94"/>
      <c r="G94"/>
      <c r="H94"/>
      <c r="I94"/>
      <c r="J94"/>
      <c r="K94"/>
      <c r="L94"/>
    </row>
    <row r="95" spans="1:12" x14ac:dyDescent="0.25">
      <c r="A95"/>
      <c r="B95"/>
      <c r="C95"/>
      <c r="D95"/>
      <c r="E95"/>
      <c r="F95"/>
      <c r="G95"/>
      <c r="H95"/>
      <c r="I95"/>
      <c r="J95"/>
      <c r="K95"/>
      <c r="L95"/>
    </row>
    <row r="96" spans="1:12" x14ac:dyDescent="0.25">
      <c r="A96"/>
      <c r="B96"/>
      <c r="C96"/>
      <c r="D96"/>
      <c r="E96"/>
      <c r="F96"/>
      <c r="G96"/>
      <c r="H96"/>
      <c r="I96"/>
      <c r="J96"/>
      <c r="K96"/>
      <c r="L96"/>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row r="111" spans="1:12" x14ac:dyDescent="0.25">
      <c r="A111"/>
      <c r="B111"/>
      <c r="C111"/>
      <c r="D111"/>
      <c r="E111"/>
      <c r="F111"/>
      <c r="G111"/>
      <c r="H111"/>
      <c r="I111"/>
      <c r="J111"/>
      <c r="K111"/>
      <c r="L111"/>
    </row>
    <row r="112" spans="1:12" x14ac:dyDescent="0.25">
      <c r="A112"/>
      <c r="B112"/>
      <c r="C112"/>
      <c r="D112"/>
      <c r="E112"/>
      <c r="F112"/>
      <c r="G112"/>
      <c r="H112"/>
      <c r="I112"/>
      <c r="J112"/>
      <c r="K112"/>
      <c r="L112"/>
    </row>
  </sheetData>
  <mergeCells count="3">
    <mergeCell ref="A4:H4"/>
    <mergeCell ref="A1:H1"/>
    <mergeCell ref="A6:H6"/>
  </mergeCells>
  <phoneticPr fontId="0" type="noConversion"/>
  <pageMargins left="0.7" right="0.7" top="0.75" bottom="0.75" header="0.3" footer="0.3"/>
  <pageSetup scale="80" orientation="portrait" r:id="rId1"/>
  <headerFooter>
    <oddHeader>&amp;R&amp;"Times New Roman,Bold"Effective Rates
Page 4 of 5</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6">
    <tabColor theme="3" tint="0.59999389629810485"/>
  </sheetPr>
  <dimension ref="A1"/>
  <sheetViews>
    <sheetView workbookViewId="0">
      <selection activeCell="E32" sqref="E32"/>
    </sheetView>
  </sheetViews>
  <sheetFormatPr defaultRowHeight="15.75" x14ac:dyDescent="0.25"/>
  <sheetData/>
  <pageMargins left="0.7" right="0.7" top="0.75" bottom="0.75" header="0.3" footer="0.3"/>
  <pageSetup orientation="portrait" r:id="rId1"/>
  <headerFooter>
    <oddFooter>&amp;L_x000D_&amp;1#&amp;"Calibri"&amp;14&amp;K000000 Business Use</oddFooter>
  </headerFooter>
  <customProperties>
    <customPr name="_pios_id" r:id="rId2"/>
  </customPropertie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ransitionEvaluation="1" codeName="Sheet40">
    <tabColor theme="3" tint="0.59999389629810485"/>
  </sheetPr>
  <dimension ref="A1:L110"/>
  <sheetViews>
    <sheetView zoomScale="80" zoomScaleNormal="80" workbookViewId="0">
      <selection sqref="A1:H1"/>
    </sheetView>
  </sheetViews>
  <sheetFormatPr defaultColWidth="9.77734375" defaultRowHeight="15.75" x14ac:dyDescent="0.25"/>
  <cols>
    <col min="1" max="1" width="2.77734375" style="3" customWidth="1"/>
    <col min="2" max="4" width="9.77734375" style="3"/>
    <col min="5" max="5" width="21.77734375" style="3" customWidth="1"/>
    <col min="6" max="6" width="13.77734375" style="3" customWidth="1"/>
    <col min="7" max="7" width="9.88671875" style="3" customWidth="1"/>
    <col min="8" max="8" width="7.77734375" style="3" customWidth="1"/>
    <col min="9" max="16384" width="9.77734375" style="3"/>
  </cols>
  <sheetData>
    <row r="1" spans="1:8" x14ac:dyDescent="0.25">
      <c r="A1" s="639" t="s">
        <v>5</v>
      </c>
      <c r="B1" s="639"/>
      <c r="C1" s="639"/>
      <c r="D1" s="639"/>
      <c r="E1" s="639"/>
      <c r="F1" s="639"/>
      <c r="G1" s="639"/>
      <c r="H1" s="639"/>
    </row>
    <row r="4" spans="1:8" x14ac:dyDescent="0.25">
      <c r="A4" s="639" t="s">
        <v>591</v>
      </c>
      <c r="B4" s="639"/>
      <c r="C4" s="639"/>
      <c r="D4" s="639"/>
      <c r="E4" s="639"/>
      <c r="F4" s="639"/>
      <c r="G4" s="639"/>
      <c r="H4" s="639"/>
    </row>
    <row r="6" spans="1:8" x14ac:dyDescent="0.25">
      <c r="A6" s="629" t="str">
        <f>CONCATENATE('Input Data'!D4," through ",'Input Data'!D5)</f>
        <v>February 1, 2026 through April 30, 2026</v>
      </c>
      <c r="B6" s="629"/>
      <c r="C6" s="629"/>
      <c r="D6" s="629"/>
      <c r="E6" s="629"/>
      <c r="F6" s="629"/>
      <c r="G6" s="629"/>
      <c r="H6" s="629"/>
    </row>
    <row r="7" spans="1:8" x14ac:dyDescent="0.25">
      <c r="A7" s="175"/>
      <c r="B7" s="175"/>
      <c r="C7" s="175"/>
      <c r="D7" s="175"/>
      <c r="E7" s="175"/>
      <c r="F7" s="175"/>
      <c r="G7" s="175"/>
      <c r="H7" s="175"/>
    </row>
    <row r="9" spans="1:8" x14ac:dyDescent="0.25">
      <c r="B9" s="176"/>
      <c r="G9" s="177"/>
    </row>
    <row r="11" spans="1:8" x14ac:dyDescent="0.25">
      <c r="C11" s="178" t="s">
        <v>566</v>
      </c>
    </row>
    <row r="13" spans="1:8" x14ac:dyDescent="0.25">
      <c r="B13" s="12" t="s">
        <v>162</v>
      </c>
      <c r="G13" s="144">
        <v>550</v>
      </c>
    </row>
    <row r="15" spans="1:8" x14ac:dyDescent="0.25">
      <c r="B15" s="12" t="s">
        <v>567</v>
      </c>
      <c r="G15" s="144">
        <v>750</v>
      </c>
    </row>
    <row r="17" spans="1:8" x14ac:dyDescent="0.25">
      <c r="B17" s="12" t="s">
        <v>569</v>
      </c>
      <c r="G17" s="144">
        <v>7.38</v>
      </c>
    </row>
    <row r="19" spans="1:8" x14ac:dyDescent="0.25">
      <c r="B19" s="12" t="s">
        <v>163</v>
      </c>
      <c r="G19" s="81">
        <v>4.5600000000000002E-2</v>
      </c>
    </row>
    <row r="20" spans="1:8" x14ac:dyDescent="0.25">
      <c r="B20" s="12"/>
      <c r="G20" s="81"/>
    </row>
    <row r="21" spans="1:8" x14ac:dyDescent="0.25">
      <c r="B21" s="3" t="s">
        <v>740</v>
      </c>
      <c r="G21" s="81">
        <v>0</v>
      </c>
    </row>
    <row r="22" spans="1:8" x14ac:dyDescent="0.25">
      <c r="G22" s="81"/>
    </row>
    <row r="23" spans="1:8" x14ac:dyDescent="0.25">
      <c r="A23" s="175"/>
      <c r="B23" s="175"/>
      <c r="C23" s="175"/>
      <c r="D23" s="175"/>
      <c r="E23" s="175"/>
      <c r="F23" s="175"/>
      <c r="G23" s="175"/>
      <c r="H23" s="175"/>
    </row>
    <row r="27" spans="1:8" x14ac:dyDescent="0.25">
      <c r="C27" s="178" t="s">
        <v>164</v>
      </c>
    </row>
    <row r="29" spans="1:8" x14ac:dyDescent="0.25">
      <c r="B29" s="12" t="s">
        <v>165</v>
      </c>
      <c r="G29" s="81">
        <f>'Ex A 2 of 2'!F56</f>
        <v>0.14940000000000001</v>
      </c>
    </row>
    <row r="30" spans="1:8" x14ac:dyDescent="0.25">
      <c r="B30" s="12" t="s">
        <v>166</v>
      </c>
      <c r="G30" s="497">
        <v>0.37969999999999998</v>
      </c>
    </row>
    <row r="31" spans="1:8" x14ac:dyDescent="0.25">
      <c r="B31" s="12" t="s">
        <v>167</v>
      </c>
      <c r="G31" s="81">
        <f>(G29+G30)</f>
        <v>0.52910000000000001</v>
      </c>
    </row>
    <row r="33" spans="2:8" x14ac:dyDescent="0.25">
      <c r="B33" s="3" t="s">
        <v>579</v>
      </c>
    </row>
    <row r="34" spans="2:8" x14ac:dyDescent="0.25">
      <c r="C34" s="3" t="s">
        <v>168</v>
      </c>
      <c r="F34" s="3" t="s">
        <v>169</v>
      </c>
    </row>
    <row r="35" spans="2:8" x14ac:dyDescent="0.25">
      <c r="F35" s="3" t="s">
        <v>751</v>
      </c>
    </row>
    <row r="36" spans="2:8" x14ac:dyDescent="0.25">
      <c r="F36" s="3" t="s">
        <v>568</v>
      </c>
    </row>
    <row r="37" spans="2:8" x14ac:dyDescent="0.25">
      <c r="B37" s="3" t="s">
        <v>579</v>
      </c>
    </row>
    <row r="38" spans="2:8" x14ac:dyDescent="0.25">
      <c r="B38" s="544" t="s">
        <v>170</v>
      </c>
    </row>
    <row r="40" spans="2:8" x14ac:dyDescent="0.25">
      <c r="B40" s="178" t="s">
        <v>573</v>
      </c>
    </row>
    <row r="41" spans="2:8" x14ac:dyDescent="0.25">
      <c r="C41" s="12" t="s">
        <v>172</v>
      </c>
      <c r="F41" s="545"/>
      <c r="G41" s="179">
        <v>1</v>
      </c>
      <c r="H41" s="12"/>
    </row>
    <row r="42" spans="2:8" x14ac:dyDescent="0.25">
      <c r="C42" s="12" t="s">
        <v>173</v>
      </c>
      <c r="G42" s="179">
        <f>(G$41*1.1)</f>
        <v>1.1000000000000001</v>
      </c>
    </row>
    <row r="43" spans="2:8" x14ac:dyDescent="0.25">
      <c r="C43" s="12" t="s">
        <v>173</v>
      </c>
      <c r="G43" s="179">
        <f>(G$41*1.2)</f>
        <v>1.2</v>
      </c>
    </row>
    <row r="44" spans="2:8" x14ac:dyDescent="0.25">
      <c r="C44" s="12" t="s">
        <v>173</v>
      </c>
      <c r="G44" s="179">
        <f>(G$41*1.3)</f>
        <v>1.3</v>
      </c>
    </row>
    <row r="45" spans="2:8" x14ac:dyDescent="0.25">
      <c r="C45" s="12" t="s">
        <v>174</v>
      </c>
      <c r="G45" s="179">
        <f>(G$41*1.4)</f>
        <v>1.4</v>
      </c>
    </row>
    <row r="47" spans="2:8" x14ac:dyDescent="0.25">
      <c r="B47" s="178" t="s">
        <v>574</v>
      </c>
    </row>
    <row r="48" spans="2:8" x14ac:dyDescent="0.25">
      <c r="C48" s="12" t="s">
        <v>172</v>
      </c>
      <c r="G48" s="179">
        <f>(G41)</f>
        <v>1</v>
      </c>
      <c r="H48" s="12"/>
    </row>
    <row r="49" spans="1:12" x14ac:dyDescent="0.25">
      <c r="C49" s="12" t="s">
        <v>173</v>
      </c>
      <c r="G49" s="179">
        <f>(G$41*0.9)</f>
        <v>0.9</v>
      </c>
    </row>
    <row r="50" spans="1:12" x14ac:dyDescent="0.25">
      <c r="C50" s="12" t="s">
        <v>173</v>
      </c>
      <c r="G50" s="179">
        <f>(G$41*0.8)</f>
        <v>0.8</v>
      </c>
    </row>
    <row r="51" spans="1:12" x14ac:dyDescent="0.25">
      <c r="C51" s="12" t="s">
        <v>173</v>
      </c>
      <c r="G51" s="179">
        <f>(G$41*0.7)</f>
        <v>0.7</v>
      </c>
    </row>
    <row r="52" spans="1:12" x14ac:dyDescent="0.25">
      <c r="C52" s="12" t="s">
        <v>174</v>
      </c>
      <c r="G52" s="179">
        <f>(G$41*0.6)</f>
        <v>0.6</v>
      </c>
    </row>
    <row r="53" spans="1:12" x14ac:dyDescent="0.25">
      <c r="C53" s="12"/>
      <c r="G53" s="179"/>
    </row>
    <row r="54" spans="1:12" x14ac:dyDescent="0.25">
      <c r="A54" s="180"/>
      <c r="B54" s="175"/>
      <c r="C54" s="175"/>
      <c r="D54" s="175"/>
      <c r="E54" s="175"/>
      <c r="F54" s="175"/>
      <c r="G54" s="175"/>
      <c r="H54" s="175"/>
    </row>
    <row r="56" spans="1:12" x14ac:dyDescent="0.25">
      <c r="A56" s="2"/>
      <c r="B56"/>
      <c r="C56"/>
      <c r="D56"/>
      <c r="E56"/>
      <c r="F56"/>
      <c r="G56"/>
      <c r="H56"/>
      <c r="I56"/>
      <c r="J56"/>
      <c r="K56"/>
      <c r="L56"/>
    </row>
    <row r="57" spans="1:12" x14ac:dyDescent="0.25">
      <c r="A57"/>
      <c r="B57"/>
      <c r="C57"/>
      <c r="D57"/>
      <c r="E57"/>
      <c r="F57"/>
      <c r="G57"/>
      <c r="H57"/>
      <c r="I57"/>
      <c r="J57"/>
      <c r="K57"/>
      <c r="L57"/>
    </row>
    <row r="58" spans="1:12" x14ac:dyDescent="0.25">
      <c r="A58"/>
      <c r="B58"/>
      <c r="C58"/>
      <c r="D58"/>
      <c r="E58"/>
      <c r="F58"/>
      <c r="G58"/>
      <c r="H58"/>
      <c r="I58"/>
      <c r="J58"/>
      <c r="K58"/>
      <c r="L58"/>
    </row>
    <row r="59" spans="1:12" x14ac:dyDescent="0.25">
      <c r="A59"/>
      <c r="B59"/>
      <c r="C59"/>
      <c r="D59"/>
      <c r="E59"/>
      <c r="F59"/>
      <c r="G59"/>
      <c r="H59"/>
      <c r="I59"/>
      <c r="J59"/>
      <c r="K59"/>
      <c r="L59"/>
    </row>
    <row r="60" spans="1:12" x14ac:dyDescent="0.25">
      <c r="A60"/>
      <c r="B60"/>
      <c r="C60"/>
      <c r="D60"/>
      <c r="E60"/>
      <c r="F60"/>
      <c r="G60"/>
      <c r="H60"/>
      <c r="I60"/>
      <c r="J60"/>
      <c r="K60"/>
      <c r="L60"/>
    </row>
    <row r="61" spans="1:12" x14ac:dyDescent="0.25">
      <c r="A61"/>
      <c r="B61"/>
      <c r="C61"/>
      <c r="D61"/>
      <c r="E61"/>
      <c r="F61"/>
      <c r="G61"/>
      <c r="H61"/>
      <c r="I61"/>
      <c r="J61"/>
      <c r="K61"/>
      <c r="L61"/>
    </row>
    <row r="62" spans="1:12" x14ac:dyDescent="0.25">
      <c r="A62"/>
      <c r="B62"/>
      <c r="C62"/>
      <c r="D62"/>
      <c r="E62"/>
      <c r="F62"/>
      <c r="G62"/>
      <c r="H62"/>
      <c r="I62"/>
      <c r="J62"/>
      <c r="K62"/>
      <c r="L62"/>
    </row>
    <row r="63" spans="1:12" x14ac:dyDescent="0.25">
      <c r="A63"/>
      <c r="B63"/>
      <c r="C63"/>
      <c r="D63"/>
      <c r="E63"/>
      <c r="F63"/>
      <c r="G63"/>
      <c r="H63"/>
      <c r="I63"/>
      <c r="J63"/>
      <c r="K63"/>
      <c r="L63"/>
    </row>
    <row r="64" spans="1:12" x14ac:dyDescent="0.25">
      <c r="A64"/>
      <c r="B64"/>
      <c r="C64"/>
      <c r="D64"/>
      <c r="E64"/>
      <c r="F64"/>
      <c r="G64"/>
      <c r="H64"/>
      <c r="I64"/>
      <c r="J64"/>
      <c r="K64"/>
      <c r="L64"/>
    </row>
    <row r="65" spans="1:12" x14ac:dyDescent="0.25">
      <c r="A65"/>
      <c r="B65"/>
      <c r="C65"/>
      <c r="D65"/>
      <c r="E65"/>
      <c r="F65"/>
      <c r="G65"/>
      <c r="H65"/>
      <c r="I65"/>
      <c r="J65"/>
      <c r="K65"/>
      <c r="L65"/>
    </row>
    <row r="66" spans="1:12" x14ac:dyDescent="0.25">
      <c r="A66"/>
      <c r="B66"/>
      <c r="C66"/>
      <c r="D66"/>
      <c r="E66"/>
      <c r="F66"/>
      <c r="G66"/>
      <c r="H66"/>
      <c r="I66"/>
      <c r="J66"/>
      <c r="K66"/>
      <c r="L66"/>
    </row>
    <row r="67" spans="1:12" x14ac:dyDescent="0.25">
      <c r="A67"/>
      <c r="B67"/>
      <c r="C67"/>
      <c r="D67"/>
      <c r="E67"/>
      <c r="F67"/>
      <c r="G67"/>
      <c r="H67"/>
      <c r="I67"/>
      <c r="J67"/>
      <c r="K67"/>
      <c r="L67"/>
    </row>
    <row r="68" spans="1:12" x14ac:dyDescent="0.25">
      <c r="A68"/>
      <c r="B68"/>
      <c r="C68"/>
      <c r="D68"/>
      <c r="E68"/>
      <c r="F68"/>
      <c r="G68"/>
      <c r="H68"/>
      <c r="I68"/>
      <c r="J68"/>
      <c r="K68"/>
      <c r="L68"/>
    </row>
    <row r="69" spans="1:12" x14ac:dyDescent="0.25">
      <c r="A69"/>
      <c r="B69"/>
      <c r="C69"/>
      <c r="D69"/>
      <c r="E69"/>
      <c r="F69"/>
      <c r="G69"/>
      <c r="H69"/>
      <c r="I69"/>
      <c r="J69"/>
      <c r="K69"/>
      <c r="L69"/>
    </row>
    <row r="70" spans="1:12" x14ac:dyDescent="0.25">
      <c r="A70"/>
      <c r="B70"/>
      <c r="C70"/>
      <c r="D70"/>
      <c r="E70"/>
      <c r="F70"/>
      <c r="G70"/>
      <c r="H70"/>
      <c r="I70"/>
      <c r="J70"/>
      <c r="K70"/>
      <c r="L70"/>
    </row>
    <row r="71" spans="1:12" x14ac:dyDescent="0.25">
      <c r="A71"/>
      <c r="B71"/>
      <c r="C71"/>
      <c r="D71"/>
      <c r="E71"/>
      <c r="F71"/>
      <c r="G71"/>
      <c r="H71"/>
      <c r="I71"/>
      <c r="J71"/>
      <c r="K71"/>
      <c r="L71"/>
    </row>
    <row r="72" spans="1:12" x14ac:dyDescent="0.25">
      <c r="A72"/>
      <c r="B72"/>
      <c r="C72"/>
      <c r="D72"/>
      <c r="E72"/>
      <c r="F72"/>
      <c r="G72"/>
      <c r="H72"/>
      <c r="I72"/>
      <c r="J72"/>
      <c r="K72"/>
      <c r="L72"/>
    </row>
    <row r="73" spans="1:12" x14ac:dyDescent="0.25">
      <c r="A73"/>
      <c r="B73"/>
      <c r="C73"/>
      <c r="D73"/>
      <c r="E73"/>
      <c r="F73"/>
      <c r="G73"/>
      <c r="H73"/>
      <c r="I73"/>
      <c r="J73"/>
      <c r="K73"/>
      <c r="L73"/>
    </row>
    <row r="74" spans="1:12" x14ac:dyDescent="0.25">
      <c r="A74"/>
      <c r="B74"/>
      <c r="C74"/>
      <c r="D74"/>
      <c r="E74"/>
      <c r="F74"/>
      <c r="G74"/>
      <c r="H74"/>
      <c r="I74"/>
      <c r="J74"/>
      <c r="K74"/>
      <c r="L74"/>
    </row>
    <row r="75" spans="1:12" x14ac:dyDescent="0.25">
      <c r="A75"/>
      <c r="B75"/>
      <c r="C75"/>
      <c r="D75"/>
      <c r="E75"/>
      <c r="F75"/>
      <c r="G75"/>
      <c r="H75"/>
      <c r="I75"/>
      <c r="J75"/>
      <c r="K75"/>
      <c r="L75"/>
    </row>
    <row r="76" spans="1:12" x14ac:dyDescent="0.25">
      <c r="A76"/>
      <c r="B76"/>
      <c r="C76"/>
      <c r="D76"/>
      <c r="E76"/>
      <c r="F76"/>
      <c r="G76"/>
      <c r="H76"/>
      <c r="I76"/>
      <c r="J76"/>
      <c r="K76"/>
      <c r="L76"/>
    </row>
    <row r="77" spans="1:12" x14ac:dyDescent="0.25">
      <c r="A77"/>
      <c r="B77"/>
      <c r="C77"/>
      <c r="D77"/>
      <c r="E77"/>
      <c r="F77"/>
      <c r="G77"/>
      <c r="H77"/>
      <c r="I77"/>
      <c r="J77"/>
      <c r="K77"/>
      <c r="L77"/>
    </row>
    <row r="78" spans="1:12" x14ac:dyDescent="0.25">
      <c r="A78"/>
      <c r="B78"/>
      <c r="C78"/>
      <c r="D78"/>
      <c r="E78"/>
      <c r="F78"/>
      <c r="G78"/>
      <c r="H78"/>
      <c r="I78"/>
      <c r="J78"/>
      <c r="K78"/>
      <c r="L78"/>
    </row>
    <row r="79" spans="1:12" x14ac:dyDescent="0.25">
      <c r="A79"/>
      <c r="B79"/>
      <c r="C79"/>
      <c r="D79"/>
      <c r="E79"/>
      <c r="F79"/>
      <c r="G79"/>
      <c r="H79"/>
      <c r="I79"/>
      <c r="J79"/>
      <c r="K79"/>
      <c r="L79"/>
    </row>
    <row r="80" spans="1:12" x14ac:dyDescent="0.25">
      <c r="A80"/>
      <c r="B80"/>
      <c r="C80"/>
      <c r="D80"/>
      <c r="E80"/>
      <c r="F80"/>
      <c r="G80"/>
      <c r="H80"/>
      <c r="I80"/>
      <c r="J80"/>
      <c r="K80"/>
      <c r="L80"/>
    </row>
    <row r="81" spans="1:12" x14ac:dyDescent="0.25">
      <c r="A81"/>
      <c r="B81"/>
      <c r="C81"/>
      <c r="D81"/>
      <c r="E81"/>
      <c r="F81"/>
      <c r="G81"/>
      <c r="H81"/>
      <c r="I81"/>
      <c r="J81"/>
      <c r="K81"/>
      <c r="L81"/>
    </row>
    <row r="82" spans="1:12" x14ac:dyDescent="0.25">
      <c r="A82"/>
      <c r="B82"/>
      <c r="C82"/>
      <c r="D82"/>
      <c r="E82"/>
      <c r="F82"/>
      <c r="G82"/>
      <c r="H82"/>
      <c r="I82"/>
      <c r="J82"/>
      <c r="K82"/>
      <c r="L82"/>
    </row>
    <row r="83" spans="1:12" x14ac:dyDescent="0.25">
      <c r="A83"/>
      <c r="B83"/>
      <c r="C83"/>
      <c r="D83"/>
      <c r="E83"/>
      <c r="F83"/>
      <c r="G83"/>
      <c r="H83"/>
      <c r="I83"/>
      <c r="J83"/>
      <c r="K83"/>
      <c r="L83"/>
    </row>
    <row r="84" spans="1:12" x14ac:dyDescent="0.25">
      <c r="A84"/>
      <c r="B84"/>
      <c r="C84"/>
      <c r="D84"/>
      <c r="E84"/>
      <c r="F84"/>
      <c r="G84"/>
      <c r="H84"/>
      <c r="I84"/>
      <c r="J84"/>
      <c r="K84"/>
      <c r="L84"/>
    </row>
    <row r="85" spans="1:12" x14ac:dyDescent="0.25">
      <c r="A85"/>
      <c r="B85"/>
      <c r="C85"/>
      <c r="D85"/>
      <c r="E85"/>
      <c r="F85"/>
      <c r="G85"/>
      <c r="H85"/>
      <c r="I85"/>
      <c r="J85"/>
      <c r="K85"/>
      <c r="L85"/>
    </row>
    <row r="86" spans="1:12" x14ac:dyDescent="0.25">
      <c r="A86"/>
      <c r="B86"/>
      <c r="C86"/>
      <c r="D86"/>
      <c r="E86"/>
      <c r="F86"/>
      <c r="G86"/>
      <c r="H86"/>
      <c r="I86"/>
      <c r="J86"/>
      <c r="K86"/>
      <c r="L86"/>
    </row>
    <row r="87" spans="1:12" x14ac:dyDescent="0.25">
      <c r="A87"/>
      <c r="B87"/>
      <c r="C87"/>
      <c r="D87"/>
      <c r="E87"/>
      <c r="F87"/>
      <c r="G87"/>
      <c r="H87"/>
      <c r="I87"/>
      <c r="J87"/>
      <c r="K87"/>
      <c r="L87"/>
    </row>
    <row r="88" spans="1:12" x14ac:dyDescent="0.25">
      <c r="A88"/>
      <c r="B88"/>
      <c r="C88"/>
      <c r="D88"/>
      <c r="E88"/>
      <c r="F88"/>
      <c r="G88"/>
      <c r="H88"/>
      <c r="I88"/>
      <c r="J88"/>
      <c r="K88"/>
      <c r="L88"/>
    </row>
    <row r="89" spans="1:12" x14ac:dyDescent="0.25">
      <c r="A89"/>
      <c r="B89"/>
      <c r="C89"/>
      <c r="D89"/>
      <c r="E89"/>
      <c r="F89"/>
      <c r="G89"/>
      <c r="H89"/>
      <c r="I89"/>
      <c r="J89"/>
      <c r="K89"/>
      <c r="L89"/>
    </row>
    <row r="90" spans="1:12" x14ac:dyDescent="0.25">
      <c r="A90"/>
      <c r="B90"/>
      <c r="C90"/>
      <c r="D90"/>
      <c r="E90"/>
      <c r="F90"/>
      <c r="G90"/>
      <c r="H90"/>
      <c r="I90"/>
      <c r="J90"/>
      <c r="K90"/>
      <c r="L90"/>
    </row>
    <row r="91" spans="1:12" x14ac:dyDescent="0.25">
      <c r="A91"/>
      <c r="B91"/>
      <c r="C91"/>
      <c r="D91"/>
      <c r="E91"/>
      <c r="F91"/>
      <c r="G91"/>
      <c r="H91"/>
      <c r="I91"/>
      <c r="J91"/>
      <c r="K91"/>
      <c r="L91"/>
    </row>
    <row r="92" spans="1:12" x14ac:dyDescent="0.25">
      <c r="A92"/>
      <c r="B92"/>
      <c r="C92"/>
      <c r="D92"/>
      <c r="E92"/>
      <c r="F92"/>
      <c r="G92"/>
      <c r="H92"/>
      <c r="I92"/>
      <c r="J92"/>
      <c r="K92"/>
      <c r="L92"/>
    </row>
    <row r="93" spans="1:12" x14ac:dyDescent="0.25">
      <c r="A93"/>
      <c r="B93"/>
      <c r="C93"/>
      <c r="D93"/>
      <c r="E93"/>
      <c r="F93"/>
      <c r="G93"/>
      <c r="H93"/>
      <c r="I93"/>
      <c r="J93"/>
      <c r="K93"/>
      <c r="L93"/>
    </row>
    <row r="94" spans="1:12" x14ac:dyDescent="0.25">
      <c r="A94"/>
      <c r="B94"/>
      <c r="C94"/>
      <c r="D94"/>
      <c r="E94"/>
      <c r="F94"/>
      <c r="G94"/>
      <c r="H94"/>
      <c r="I94"/>
      <c r="J94"/>
      <c r="K94"/>
      <c r="L94"/>
    </row>
    <row r="95" spans="1:12" x14ac:dyDescent="0.25">
      <c r="A95"/>
      <c r="B95"/>
      <c r="C95"/>
      <c r="D95"/>
      <c r="E95"/>
      <c r="F95"/>
      <c r="G95"/>
      <c r="H95"/>
      <c r="I95"/>
      <c r="J95"/>
      <c r="K95"/>
      <c r="L95"/>
    </row>
    <row r="96" spans="1:12" x14ac:dyDescent="0.25">
      <c r="A96"/>
      <c r="B96"/>
      <c r="C96"/>
      <c r="D96"/>
      <c r="E96"/>
      <c r="F96"/>
      <c r="G96"/>
      <c r="H96"/>
      <c r="I96"/>
      <c r="J96"/>
      <c r="K96"/>
      <c r="L96"/>
    </row>
    <row r="97" spans="1:12" x14ac:dyDescent="0.25">
      <c r="A97"/>
      <c r="B97"/>
      <c r="C97"/>
      <c r="D97"/>
      <c r="E97"/>
      <c r="F97"/>
      <c r="G97"/>
      <c r="H97"/>
      <c r="I97"/>
      <c r="J97"/>
      <c r="K97"/>
      <c r="L97"/>
    </row>
    <row r="98" spans="1:12" x14ac:dyDescent="0.25">
      <c r="A98"/>
      <c r="B98"/>
      <c r="C98"/>
      <c r="D98"/>
      <c r="E98"/>
      <c r="F98"/>
      <c r="G98"/>
      <c r="H98"/>
      <c r="I98"/>
      <c r="J98"/>
      <c r="K98"/>
      <c r="L98"/>
    </row>
    <row r="99" spans="1:12" x14ac:dyDescent="0.25">
      <c r="A99"/>
      <c r="B99"/>
      <c r="C99"/>
      <c r="D99"/>
      <c r="E99"/>
      <c r="F99"/>
      <c r="G99"/>
      <c r="H99"/>
      <c r="I99"/>
      <c r="J99"/>
      <c r="K99"/>
      <c r="L99"/>
    </row>
    <row r="100" spans="1:12" x14ac:dyDescent="0.25">
      <c r="A100"/>
      <c r="B100"/>
      <c r="C100"/>
      <c r="D100"/>
      <c r="E100"/>
      <c r="F100"/>
      <c r="G100"/>
      <c r="H100"/>
      <c r="I100"/>
      <c r="J100"/>
      <c r="K100"/>
      <c r="L100"/>
    </row>
    <row r="101" spans="1:12" x14ac:dyDescent="0.25">
      <c r="A101"/>
      <c r="B101"/>
      <c r="C101"/>
      <c r="D101"/>
      <c r="E101"/>
      <c r="F101"/>
      <c r="G101"/>
      <c r="H101"/>
      <c r="I101"/>
      <c r="J101"/>
      <c r="K101"/>
      <c r="L101"/>
    </row>
    <row r="102" spans="1:12" x14ac:dyDescent="0.25">
      <c r="A102"/>
      <c r="B102"/>
      <c r="C102"/>
      <c r="D102"/>
      <c r="E102"/>
      <c r="F102"/>
      <c r="G102"/>
      <c r="H102"/>
      <c r="I102"/>
      <c r="J102"/>
      <c r="K102"/>
      <c r="L102"/>
    </row>
    <row r="103" spans="1:12" x14ac:dyDescent="0.25">
      <c r="A103"/>
      <c r="B103"/>
      <c r="C103"/>
      <c r="D103"/>
      <c r="E103"/>
      <c r="F103"/>
      <c r="G103"/>
      <c r="H103"/>
      <c r="I103"/>
      <c r="J103"/>
      <c r="K103"/>
      <c r="L103"/>
    </row>
    <row r="104" spans="1:12" x14ac:dyDescent="0.25">
      <c r="A104"/>
      <c r="B104"/>
      <c r="C104"/>
      <c r="D104"/>
      <c r="E104"/>
      <c r="F104"/>
      <c r="G104"/>
      <c r="H104"/>
      <c r="I104"/>
      <c r="J104"/>
      <c r="K104"/>
      <c r="L104"/>
    </row>
    <row r="105" spans="1:12" x14ac:dyDescent="0.25">
      <c r="A105"/>
      <c r="B105"/>
      <c r="C105"/>
      <c r="D105"/>
      <c r="E105"/>
      <c r="F105"/>
      <c r="G105"/>
      <c r="H105"/>
      <c r="I105"/>
      <c r="J105"/>
      <c r="K105"/>
      <c r="L105"/>
    </row>
    <row r="106" spans="1:12" x14ac:dyDescent="0.25">
      <c r="A106"/>
      <c r="B106"/>
      <c r="C106"/>
      <c r="D106"/>
      <c r="E106"/>
      <c r="F106"/>
      <c r="G106"/>
      <c r="H106"/>
      <c r="I106"/>
      <c r="J106"/>
      <c r="K106"/>
      <c r="L106"/>
    </row>
    <row r="107" spans="1:12" x14ac:dyDescent="0.25">
      <c r="A107"/>
      <c r="B107"/>
      <c r="C107"/>
      <c r="D107"/>
      <c r="E107"/>
      <c r="F107"/>
      <c r="G107"/>
      <c r="H107"/>
      <c r="I107"/>
      <c r="J107"/>
      <c r="K107"/>
      <c r="L107"/>
    </row>
    <row r="108" spans="1:12" x14ac:dyDescent="0.25">
      <c r="A108"/>
      <c r="B108"/>
      <c r="C108"/>
      <c r="D108"/>
      <c r="E108"/>
      <c r="F108"/>
      <c r="G108"/>
      <c r="H108"/>
      <c r="I108"/>
      <c r="J108"/>
      <c r="K108"/>
      <c r="L108"/>
    </row>
    <row r="109" spans="1:12" x14ac:dyDescent="0.25">
      <c r="A109"/>
      <c r="B109"/>
      <c r="C109"/>
      <c r="D109"/>
      <c r="E109"/>
      <c r="F109"/>
      <c r="G109"/>
      <c r="H109"/>
      <c r="I109"/>
      <c r="J109"/>
      <c r="K109"/>
      <c r="L109"/>
    </row>
    <row r="110" spans="1:12" x14ac:dyDescent="0.25">
      <c r="A110"/>
      <c r="B110"/>
      <c r="C110"/>
      <c r="D110"/>
      <c r="E110"/>
      <c r="F110"/>
      <c r="G110"/>
      <c r="H110"/>
      <c r="I110"/>
      <c r="J110"/>
      <c r="K110"/>
      <c r="L110"/>
    </row>
  </sheetData>
  <mergeCells count="3">
    <mergeCell ref="A6:H6"/>
    <mergeCell ref="A4:H4"/>
    <mergeCell ref="A1:H1"/>
  </mergeCells>
  <pageMargins left="0.7" right="0.7" top="0.75" bottom="0.75" header="0.3" footer="0.3"/>
  <pageSetup scale="80" orientation="portrait" r:id="rId1"/>
  <headerFooter>
    <oddHeader>&amp;R&amp;"Times New Roman,Bold"Effective Rates
Page 5 of 5</oddHead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3" tint="0.79998168889431442"/>
  </sheetPr>
  <dimension ref="A1:XFC221"/>
  <sheetViews>
    <sheetView zoomScale="80" zoomScaleNormal="80" workbookViewId="0"/>
  </sheetViews>
  <sheetFormatPr defaultColWidth="8.88671875" defaultRowHeight="15.75" x14ac:dyDescent="0.25"/>
  <cols>
    <col min="1" max="1" width="5.44140625" style="3" customWidth="1"/>
    <col min="2" max="2" width="63.77734375" style="3" customWidth="1"/>
    <col min="3" max="3" width="17.5546875" style="3" customWidth="1"/>
    <col min="4" max="6" width="17.6640625" style="3" customWidth="1"/>
    <col min="7" max="7" width="4.33203125" style="3" customWidth="1"/>
    <col min="8" max="8" width="12.109375" style="181" customWidth="1"/>
    <col min="9" max="16384" width="8.88671875" style="3"/>
  </cols>
  <sheetData>
    <row r="1" spans="2:15 16383:16383" x14ac:dyDescent="0.25">
      <c r="B1" s="475" t="s">
        <v>734</v>
      </c>
    </row>
    <row r="2" spans="2:15 16383:16383" x14ac:dyDescent="0.25">
      <c r="D2"/>
      <c r="E2"/>
      <c r="F2"/>
      <c r="G2"/>
      <c r="XFC2" s="161"/>
    </row>
    <row r="3" spans="2:15 16383:16383" x14ac:dyDescent="0.25">
      <c r="B3" s="65" t="s">
        <v>321</v>
      </c>
      <c r="C3" s="65" t="s">
        <v>364</v>
      </c>
      <c r="D3" s="65" t="s">
        <v>365</v>
      </c>
      <c r="E3"/>
      <c r="F3"/>
      <c r="G3"/>
      <c r="I3"/>
    </row>
    <row r="4" spans="2:15 16383:16383" x14ac:dyDescent="0.25">
      <c r="B4" s="3" t="s">
        <v>343</v>
      </c>
      <c r="C4" s="601">
        <v>46054</v>
      </c>
      <c r="D4" s="602" t="s">
        <v>850</v>
      </c>
      <c r="E4"/>
      <c r="F4"/>
      <c r="G4"/>
      <c r="I4"/>
    </row>
    <row r="5" spans="2:15 16383:16383" x14ac:dyDescent="0.25">
      <c r="B5" s="3" t="s">
        <v>344</v>
      </c>
      <c r="C5" s="476">
        <f>EOMONTH(C4,2)</f>
        <v>46142</v>
      </c>
      <c r="D5" s="602" t="s">
        <v>856</v>
      </c>
      <c r="E5"/>
      <c r="F5"/>
      <c r="G5"/>
      <c r="I5"/>
      <c r="O5" s="6"/>
    </row>
    <row r="6" spans="2:15 16383:16383" x14ac:dyDescent="0.25">
      <c r="B6" s="12" t="s">
        <v>244</v>
      </c>
      <c r="C6" s="476">
        <f>EDATE(C4,-15)</f>
        <v>45597</v>
      </c>
      <c r="E6"/>
      <c r="F6"/>
      <c r="G6"/>
    </row>
    <row r="7" spans="2:15 16383:16383" x14ac:dyDescent="0.25">
      <c r="B7" s="12" t="s">
        <v>267</v>
      </c>
      <c r="C7" s="476">
        <f>EDATE(C4,-6)</f>
        <v>45870</v>
      </c>
      <c r="E7"/>
      <c r="F7"/>
      <c r="G7"/>
    </row>
    <row r="8" spans="2:15 16383:16383" x14ac:dyDescent="0.25">
      <c r="B8" s="3" t="s">
        <v>274</v>
      </c>
      <c r="C8" s="476">
        <f>C6</f>
        <v>45597</v>
      </c>
      <c r="E8"/>
      <c r="F8"/>
      <c r="G8"/>
    </row>
    <row r="9" spans="2:15 16383:16383" x14ac:dyDescent="0.25">
      <c r="C9" s="608"/>
      <c r="H9" s="239"/>
    </row>
    <row r="10" spans="2:15 16383:16383" x14ac:dyDescent="0.25">
      <c r="B10" s="3" t="s">
        <v>202</v>
      </c>
      <c r="C10" s="609">
        <v>46054</v>
      </c>
      <c r="D10" s="602" t="s">
        <v>850</v>
      </c>
      <c r="H10" s="239"/>
    </row>
    <row r="11" spans="2:15 16383:16383" x14ac:dyDescent="0.25">
      <c r="B11" s="3" t="s">
        <v>349</v>
      </c>
      <c r="C11" s="477">
        <f>EDATE(C10,-12)</f>
        <v>45689</v>
      </c>
      <c r="D11" s="602" t="s">
        <v>805</v>
      </c>
      <c r="H11" s="239"/>
    </row>
    <row r="12" spans="2:15 16383:16383" x14ac:dyDescent="0.25">
      <c r="B12" s="3" t="s">
        <v>127</v>
      </c>
      <c r="C12" s="610" t="s">
        <v>863</v>
      </c>
      <c r="H12" s="239"/>
    </row>
    <row r="13" spans="2:15 16383:16383" x14ac:dyDescent="0.25">
      <c r="B13" s="3" t="s">
        <v>635</v>
      </c>
      <c r="C13" s="610" t="s">
        <v>853</v>
      </c>
      <c r="H13" s="239"/>
    </row>
    <row r="14" spans="2:15 16383:16383" x14ac:dyDescent="0.25">
      <c r="B14" s="3" t="s">
        <v>548</v>
      </c>
      <c r="C14" s="610" t="s">
        <v>863</v>
      </c>
      <c r="H14" s="239"/>
    </row>
    <row r="15" spans="2:15 16383:16383" x14ac:dyDescent="0.25">
      <c r="B15" s="3" t="s">
        <v>345</v>
      </c>
      <c r="C15" s="612">
        <v>3.4380999999999999</v>
      </c>
      <c r="H15" s="239"/>
    </row>
    <row r="16" spans="2:15 16383:16383" x14ac:dyDescent="0.25">
      <c r="B16" s="3" t="s">
        <v>388</v>
      </c>
      <c r="C16" s="604">
        <v>6680000</v>
      </c>
      <c r="H16" s="239"/>
    </row>
    <row r="17" spans="1:12" x14ac:dyDescent="0.25">
      <c r="B17" s="3" t="s">
        <v>596</v>
      </c>
      <c r="C17" s="3">
        <v>1.0649999999999999</v>
      </c>
    </row>
    <row r="18" spans="1:12" x14ac:dyDescent="0.25">
      <c r="B18" s="103" t="s">
        <v>597</v>
      </c>
      <c r="C18" s="3">
        <f>1-0.0141</f>
        <v>0.9859</v>
      </c>
      <c r="D18" s="74"/>
    </row>
    <row r="19" spans="1:12" x14ac:dyDescent="0.25">
      <c r="C19" s="359"/>
    </row>
    <row r="20" spans="1:12" x14ac:dyDescent="0.25">
      <c r="A20" s="434"/>
      <c r="B20" s="434"/>
      <c r="C20" s="434"/>
      <c r="D20" s="434"/>
      <c r="E20" s="434"/>
      <c r="F20" s="434"/>
      <c r="G20" s="434"/>
      <c r="H20" s="435"/>
      <c r="I20" s="434"/>
      <c r="J20" s="434"/>
      <c r="K20" s="434"/>
      <c r="L20" s="434"/>
    </row>
    <row r="22" spans="1:12" ht="18.75" x14ac:dyDescent="0.3">
      <c r="A22" s="437" t="s">
        <v>649</v>
      </c>
    </row>
    <row r="23" spans="1:12" x14ac:dyDescent="0.25">
      <c r="B23" s="15" t="s">
        <v>78</v>
      </c>
      <c r="C23" s="480">
        <f>C4</f>
        <v>46054</v>
      </c>
      <c r="D23" s="480">
        <f>EDATE(C23,1)</f>
        <v>46082</v>
      </c>
      <c r="E23" s="480">
        <f>EDATE(D23,1)</f>
        <v>46113</v>
      </c>
      <c r="F23" s="103"/>
      <c r="G23" s="103"/>
    </row>
    <row r="24" spans="1:12" x14ac:dyDescent="0.25">
      <c r="B24" s="3" t="s">
        <v>544</v>
      </c>
      <c r="C24" s="604">
        <v>406891</v>
      </c>
      <c r="D24" s="604">
        <v>661195</v>
      </c>
      <c r="E24" s="604">
        <v>1390508</v>
      </c>
      <c r="F24" s="84"/>
    </row>
    <row r="25" spans="1:12" x14ac:dyDescent="0.25">
      <c r="B25" s="3" t="s">
        <v>546</v>
      </c>
      <c r="C25" s="604">
        <v>1654231</v>
      </c>
      <c r="D25" s="604">
        <v>1353984</v>
      </c>
      <c r="E25" s="604">
        <v>1589111</v>
      </c>
      <c r="F25" s="84"/>
    </row>
    <row r="26" spans="1:12" x14ac:dyDescent="0.25">
      <c r="B26" s="3" t="s">
        <v>552</v>
      </c>
      <c r="C26" s="604">
        <v>549800</v>
      </c>
      <c r="D26" s="604">
        <v>608700</v>
      </c>
      <c r="E26" s="604">
        <v>0</v>
      </c>
      <c r="F26" s="84"/>
    </row>
    <row r="27" spans="1:12" x14ac:dyDescent="0.25">
      <c r="B27" s="3" t="s">
        <v>820</v>
      </c>
      <c r="C27" s="604">
        <v>0</v>
      </c>
      <c r="D27" s="604">
        <v>0</v>
      </c>
      <c r="E27" s="604">
        <v>0</v>
      </c>
      <c r="F27" s="84"/>
    </row>
    <row r="28" spans="1:12" x14ac:dyDescent="0.25">
      <c r="B28" s="3" t="s">
        <v>779</v>
      </c>
      <c r="C28" s="604">
        <v>540600</v>
      </c>
      <c r="D28" s="604">
        <v>374000</v>
      </c>
      <c r="E28" s="604">
        <v>0</v>
      </c>
      <c r="F28" s="84"/>
    </row>
    <row r="29" spans="1:12" x14ac:dyDescent="0.25">
      <c r="C29" s="84"/>
      <c r="D29" s="84"/>
      <c r="E29" s="84"/>
      <c r="F29" s="84"/>
    </row>
    <row r="30" spans="1:12" x14ac:dyDescent="0.25">
      <c r="B30" s="430" t="s">
        <v>33</v>
      </c>
      <c r="C30" s="604">
        <v>73500</v>
      </c>
      <c r="D30" s="604">
        <v>62900</v>
      </c>
      <c r="E30" s="604">
        <v>0</v>
      </c>
      <c r="F30" s="84"/>
    </row>
    <row r="31" spans="1:12" x14ac:dyDescent="0.25">
      <c r="B31" s="430" t="s">
        <v>34</v>
      </c>
      <c r="C31" s="604">
        <v>0</v>
      </c>
      <c r="D31" s="604">
        <v>0</v>
      </c>
      <c r="E31" s="604">
        <v>504800</v>
      </c>
      <c r="F31" s="84"/>
    </row>
    <row r="32" spans="1:12" x14ac:dyDescent="0.25">
      <c r="C32" s="84"/>
      <c r="D32" s="84"/>
      <c r="E32" s="84"/>
      <c r="F32" s="84"/>
    </row>
    <row r="33" spans="1:12" x14ac:dyDescent="0.25">
      <c r="B33" s="3" t="s">
        <v>545</v>
      </c>
      <c r="C33" s="621">
        <v>3.8351000000000002</v>
      </c>
      <c r="D33" s="621">
        <v>3.4241999999999999</v>
      </c>
      <c r="E33" s="621">
        <v>3.4049999999999998</v>
      </c>
      <c r="F33" s="415"/>
    </row>
    <row r="34" spans="1:12" x14ac:dyDescent="0.25">
      <c r="B34" s="3" t="s">
        <v>547</v>
      </c>
      <c r="C34" s="621">
        <v>3.7847</v>
      </c>
      <c r="D34" s="621">
        <v>3.3765000000000001</v>
      </c>
      <c r="E34" s="621">
        <v>3.3574999999999999</v>
      </c>
      <c r="F34" s="415"/>
    </row>
    <row r="35" spans="1:12" x14ac:dyDescent="0.25">
      <c r="B35" s="3" t="s">
        <v>559</v>
      </c>
      <c r="C35" s="621">
        <v>3.8418999999999999</v>
      </c>
      <c r="D35" s="621">
        <v>3.4274</v>
      </c>
      <c r="E35" s="621">
        <v>3.4079999999999999</v>
      </c>
      <c r="F35" s="415"/>
    </row>
    <row r="36" spans="1:12" x14ac:dyDescent="0.25">
      <c r="B36" s="3" t="s">
        <v>825</v>
      </c>
      <c r="C36" s="621">
        <v>3.7726999999999999</v>
      </c>
      <c r="D36" s="621">
        <v>3.3650000000000002</v>
      </c>
      <c r="E36" s="621">
        <v>3.3460000000000001</v>
      </c>
      <c r="F36" s="415"/>
    </row>
    <row r="37" spans="1:12" x14ac:dyDescent="0.25">
      <c r="B37" s="3" t="s">
        <v>780</v>
      </c>
      <c r="C37" s="621">
        <v>3.8157999999999999</v>
      </c>
      <c r="D37" s="621">
        <v>3.4058000000000002</v>
      </c>
      <c r="E37" s="621">
        <v>3.3866000000000001</v>
      </c>
      <c r="F37" s="415"/>
    </row>
    <row r="39" spans="1:12" x14ac:dyDescent="0.25">
      <c r="A39" s="434"/>
      <c r="B39" s="434"/>
      <c r="C39" s="434"/>
      <c r="D39" s="434"/>
      <c r="E39" s="434"/>
      <c r="F39" s="434"/>
      <c r="G39" s="434"/>
      <c r="H39" s="435"/>
      <c r="I39" s="434"/>
      <c r="J39" s="434"/>
      <c r="K39" s="434"/>
      <c r="L39" s="434"/>
    </row>
    <row r="41" spans="1:12" ht="18.75" x14ac:dyDescent="0.3">
      <c r="A41" s="437" t="s">
        <v>650</v>
      </c>
    </row>
    <row r="42" spans="1:12" ht="31.5" x14ac:dyDescent="0.25">
      <c r="C42" s="431" t="s">
        <v>249</v>
      </c>
    </row>
    <row r="43" spans="1:12" x14ac:dyDescent="0.25">
      <c r="B43" s="241" t="s">
        <v>251</v>
      </c>
      <c r="C43" s="611">
        <v>12.7104</v>
      </c>
    </row>
    <row r="44" spans="1:12" x14ac:dyDescent="0.25">
      <c r="B44" s="241" t="s">
        <v>553</v>
      </c>
      <c r="C44" s="611">
        <v>4.1792999999999996</v>
      </c>
    </row>
    <row r="45" spans="1:12" x14ac:dyDescent="0.25">
      <c r="B45" s="241" t="s">
        <v>843</v>
      </c>
      <c r="C45" s="611">
        <v>5.3605999999999998</v>
      </c>
    </row>
    <row r="46" spans="1:12" x14ac:dyDescent="0.25">
      <c r="B46" s="241" t="s">
        <v>844</v>
      </c>
      <c r="C46" s="611">
        <v>4.9043999999999999</v>
      </c>
    </row>
    <row r="47" spans="1:12" x14ac:dyDescent="0.25">
      <c r="B47" s="12" t="s">
        <v>763</v>
      </c>
      <c r="C47" s="611">
        <v>12.840999999999999</v>
      </c>
    </row>
    <row r="48" spans="1:12" x14ac:dyDescent="0.25">
      <c r="B48" s="241"/>
    </row>
    <row r="49" spans="2:4" x14ac:dyDescent="0.25">
      <c r="B49" s="241"/>
      <c r="C49" s="432" t="s">
        <v>31</v>
      </c>
    </row>
    <row r="50" spans="2:4" x14ac:dyDescent="0.25">
      <c r="B50" s="241" t="s">
        <v>251</v>
      </c>
      <c r="C50" s="604">
        <v>119913</v>
      </c>
    </row>
    <row r="51" spans="2:4" x14ac:dyDescent="0.25">
      <c r="B51" s="241" t="s">
        <v>553</v>
      </c>
      <c r="C51" s="604">
        <v>60000</v>
      </c>
    </row>
    <row r="52" spans="2:4" x14ac:dyDescent="0.25">
      <c r="B52" s="241" t="s">
        <v>843</v>
      </c>
      <c r="C52" s="604">
        <v>20000</v>
      </c>
    </row>
    <row r="53" spans="2:4" x14ac:dyDescent="0.25">
      <c r="B53" s="241" t="s">
        <v>844</v>
      </c>
      <c r="C53" s="604">
        <v>20000</v>
      </c>
    </row>
    <row r="54" spans="2:4" x14ac:dyDescent="0.25">
      <c r="B54" s="12" t="s">
        <v>763</v>
      </c>
      <c r="C54" s="604">
        <v>12500</v>
      </c>
    </row>
    <row r="55" spans="2:4" x14ac:dyDescent="0.25">
      <c r="B55" s="241"/>
    </row>
    <row r="56" spans="2:4" x14ac:dyDescent="0.25">
      <c r="B56" s="241"/>
      <c r="C56" s="383" t="s">
        <v>247</v>
      </c>
    </row>
    <row r="57" spans="2:4" x14ac:dyDescent="0.25">
      <c r="B57" s="241" t="s">
        <v>58</v>
      </c>
      <c r="C57" s="604">
        <v>1139978</v>
      </c>
    </row>
    <row r="60" spans="2:4" x14ac:dyDescent="0.25">
      <c r="B60" s="436"/>
      <c r="C60" s="436"/>
      <c r="D60" s="436"/>
    </row>
    <row r="61" spans="2:4" x14ac:dyDescent="0.25">
      <c r="B61" s="259" t="s">
        <v>446</v>
      </c>
      <c r="C61" s="457">
        <v>322467</v>
      </c>
    </row>
    <row r="62" spans="2:4" x14ac:dyDescent="0.25">
      <c r="B62" s="259" t="s">
        <v>447</v>
      </c>
      <c r="C62" s="457">
        <v>156915</v>
      </c>
    </row>
    <row r="63" spans="2:4" x14ac:dyDescent="0.25">
      <c r="B63" s="259" t="s">
        <v>448</v>
      </c>
      <c r="C63" s="457">
        <v>12132</v>
      </c>
    </row>
    <row r="64" spans="2:4" x14ac:dyDescent="0.25">
      <c r="B64" s="259" t="s">
        <v>562</v>
      </c>
      <c r="C64" s="457">
        <v>449</v>
      </c>
    </row>
    <row r="66" spans="1:12" x14ac:dyDescent="0.25">
      <c r="A66" s="434"/>
      <c r="B66" s="434"/>
      <c r="C66" s="434"/>
      <c r="D66" s="434"/>
      <c r="E66" s="434"/>
      <c r="F66" s="434"/>
      <c r="G66" s="434"/>
      <c r="H66" s="435"/>
      <c r="I66" s="434"/>
      <c r="J66" s="434"/>
      <c r="K66" s="434"/>
      <c r="L66" s="434"/>
    </row>
    <row r="68" spans="1:12" ht="18.75" x14ac:dyDescent="0.3">
      <c r="A68" s="437" t="s">
        <v>652</v>
      </c>
    </row>
    <row r="69" spans="1:12" x14ac:dyDescent="0.25">
      <c r="C69" s="103"/>
      <c r="D69" s="103"/>
      <c r="E69" s="103"/>
      <c r="F69" s="103"/>
      <c r="G69" s="103"/>
    </row>
    <row r="70" spans="1:12" x14ac:dyDescent="0.25">
      <c r="B70" s="134" t="s">
        <v>651</v>
      </c>
    </row>
    <row r="72" spans="1:12" customFormat="1" x14ac:dyDescent="0.25">
      <c r="A72" s="3" t="s">
        <v>688</v>
      </c>
    </row>
    <row r="73" spans="1:12" customFormat="1" x14ac:dyDescent="0.25">
      <c r="A73" s="3"/>
      <c r="B73" s="605" t="s">
        <v>858</v>
      </c>
      <c r="H73" s="181"/>
    </row>
    <row r="74" spans="1:12" customFormat="1" x14ac:dyDescent="0.25">
      <c r="A74" s="3"/>
      <c r="B74" s="605" t="s">
        <v>859</v>
      </c>
      <c r="H74" s="181"/>
    </row>
    <row r="75" spans="1:12" x14ac:dyDescent="0.25">
      <c r="B75" s="611" t="s">
        <v>860</v>
      </c>
    </row>
    <row r="76" spans="1:12" x14ac:dyDescent="0.25">
      <c r="B76" s="605" t="s">
        <v>861</v>
      </c>
    </row>
    <row r="77" spans="1:12" x14ac:dyDescent="0.25">
      <c r="B77" s="479" t="str">
        <f>IF('Exhibit B Write-Up'!D11&gt;0, "as a debit", "as a credit")</f>
        <v>as a credit</v>
      </c>
    </row>
    <row r="78" spans="1:12" x14ac:dyDescent="0.25">
      <c r="A78" s="434"/>
      <c r="B78" s="434"/>
      <c r="C78" s="434"/>
      <c r="D78" s="434"/>
      <c r="E78" s="434"/>
      <c r="F78" s="434"/>
      <c r="G78" s="434"/>
      <c r="H78" s="435"/>
      <c r="I78" s="434"/>
      <c r="J78" s="434"/>
      <c r="K78" s="434"/>
      <c r="L78" s="434"/>
    </row>
    <row r="80" spans="1:12" ht="18.75" x14ac:dyDescent="0.3">
      <c r="A80" s="437" t="s">
        <v>653</v>
      </c>
    </row>
    <row r="81" spans="1:12" x14ac:dyDescent="0.25">
      <c r="C81" s="480">
        <f>C87</f>
        <v>45870</v>
      </c>
      <c r="D81" s="480">
        <f>D87</f>
        <v>45901</v>
      </c>
      <c r="E81" s="480">
        <f>E87</f>
        <v>45931</v>
      </c>
      <c r="F81" s="103"/>
    </row>
    <row r="82" spans="1:12" x14ac:dyDescent="0.25">
      <c r="B82" s="3" t="s">
        <v>263</v>
      </c>
      <c r="C82" s="622">
        <v>0</v>
      </c>
      <c r="D82" s="622">
        <v>0</v>
      </c>
      <c r="E82" s="622">
        <v>0</v>
      </c>
    </row>
    <row r="84" spans="1:12" x14ac:dyDescent="0.25">
      <c r="A84" s="434"/>
      <c r="B84" s="434"/>
      <c r="C84" s="434"/>
      <c r="D84" s="434"/>
      <c r="E84" s="434"/>
      <c r="F84" s="434"/>
      <c r="G84" s="434"/>
      <c r="H84" s="435"/>
      <c r="I84" s="434"/>
      <c r="J84" s="434"/>
      <c r="K84" s="434"/>
      <c r="L84" s="434"/>
    </row>
    <row r="86" spans="1:12" ht="18.75" x14ac:dyDescent="0.3">
      <c r="A86" s="437" t="s">
        <v>654</v>
      </c>
    </row>
    <row r="87" spans="1:12" x14ac:dyDescent="0.25">
      <c r="C87" s="480">
        <f>EDATE(C4,-6)</f>
        <v>45870</v>
      </c>
      <c r="D87" s="480">
        <f>EDATE(C87,1)</f>
        <v>45901</v>
      </c>
      <c r="E87" s="480">
        <f>EDATE(D87,1)</f>
        <v>45931</v>
      </c>
      <c r="F87" s="103"/>
      <c r="G87" s="103"/>
    </row>
    <row r="88" spans="1:12" x14ac:dyDescent="0.25">
      <c r="B88" s="3" t="s">
        <v>459</v>
      </c>
      <c r="C88" s="611">
        <v>0</v>
      </c>
      <c r="D88" s="611">
        <v>0</v>
      </c>
      <c r="E88" s="611">
        <v>0</v>
      </c>
    </row>
    <row r="90" spans="1:12" x14ac:dyDescent="0.25">
      <c r="A90" s="434"/>
      <c r="B90" s="434"/>
      <c r="C90" s="434"/>
      <c r="D90" s="434"/>
      <c r="E90" s="434"/>
      <c r="F90" s="434"/>
      <c r="G90" s="434"/>
      <c r="H90" s="435"/>
      <c r="I90" s="434"/>
      <c r="J90" s="434"/>
      <c r="K90" s="434"/>
      <c r="L90" s="434"/>
    </row>
    <row r="92" spans="1:12" ht="18.75" x14ac:dyDescent="0.3">
      <c r="A92" s="437" t="s">
        <v>655</v>
      </c>
    </row>
    <row r="93" spans="1:12" x14ac:dyDescent="0.25">
      <c r="C93" s="103"/>
      <c r="D93" s="103"/>
      <c r="E93" s="103"/>
      <c r="F93" s="103"/>
      <c r="G93" s="103"/>
    </row>
    <row r="94" spans="1:12" x14ac:dyDescent="0.25">
      <c r="B94" s="134" t="s">
        <v>651</v>
      </c>
    </row>
    <row r="96" spans="1:12" x14ac:dyDescent="0.25">
      <c r="A96" s="434"/>
      <c r="B96" s="434"/>
      <c r="C96" s="434"/>
      <c r="D96" s="434"/>
      <c r="E96" s="434"/>
      <c r="F96" s="434"/>
      <c r="G96" s="434"/>
      <c r="H96" s="435"/>
      <c r="I96" s="434"/>
      <c r="J96" s="434"/>
      <c r="K96" s="434"/>
      <c r="L96" s="434"/>
    </row>
    <row r="98" spans="1:9" ht="18.75" x14ac:dyDescent="0.3">
      <c r="A98" s="437" t="s">
        <v>656</v>
      </c>
      <c r="C98"/>
      <c r="D98"/>
      <c r="E98"/>
      <c r="F98"/>
      <c r="G98"/>
      <c r="H98" s="3"/>
      <c r="I98"/>
    </row>
    <row r="99" spans="1:9" x14ac:dyDescent="0.25">
      <c r="B99" s="15" t="s">
        <v>11</v>
      </c>
      <c r="C99" s="478">
        <f>EDATE(C4,-6)</f>
        <v>45870</v>
      </c>
      <c r="D99" s="478">
        <f>EDATE(C99,1)</f>
        <v>45901</v>
      </c>
      <c r="E99" s="478">
        <f>EDATE(D99,1)</f>
        <v>45931</v>
      </c>
      <c r="F99" s="103"/>
      <c r="G99"/>
      <c r="H99" s="3"/>
      <c r="I99"/>
    </row>
    <row r="100" spans="1:9" x14ac:dyDescent="0.25">
      <c r="B100" s="12" t="s">
        <v>636</v>
      </c>
      <c r="C100" s="103"/>
      <c r="D100" s="103"/>
      <c r="E100" s="103"/>
      <c r="F100" s="103"/>
      <c r="G100"/>
      <c r="H100" s="3"/>
      <c r="I100"/>
    </row>
    <row r="101" spans="1:9" x14ac:dyDescent="0.25">
      <c r="B101" s="3" t="s">
        <v>723</v>
      </c>
      <c r="C101" s="604">
        <v>2388878</v>
      </c>
      <c r="D101" s="604">
        <v>1831102</v>
      </c>
      <c r="E101" s="604">
        <v>2555442</v>
      </c>
      <c r="F101" s="433"/>
      <c r="G101"/>
      <c r="I101"/>
    </row>
    <row r="102" spans="1:9" x14ac:dyDescent="0.25">
      <c r="B102" s="3" t="s">
        <v>722</v>
      </c>
      <c r="C102" s="604">
        <v>92</v>
      </c>
      <c r="D102" s="604">
        <v>2615</v>
      </c>
      <c r="E102" s="604">
        <v>100271</v>
      </c>
      <c r="F102" s="433"/>
      <c r="G102"/>
      <c r="I102"/>
    </row>
    <row r="103" spans="1:9" x14ac:dyDescent="0.25">
      <c r="B103" s="3" t="s">
        <v>724</v>
      </c>
      <c r="C103" s="604">
        <v>195173</v>
      </c>
      <c r="D103" s="604">
        <v>185721</v>
      </c>
      <c r="E103" s="604">
        <v>165499</v>
      </c>
      <c r="F103" s="433"/>
      <c r="G103"/>
      <c r="I103"/>
    </row>
    <row r="104" spans="1:9" x14ac:dyDescent="0.25">
      <c r="B104" s="12" t="s">
        <v>730</v>
      </c>
      <c r="C104" s="468">
        <f>C101+C102-C103</f>
        <v>2193797</v>
      </c>
      <c r="D104" s="468">
        <f>D101+D102-D103</f>
        <v>1647996</v>
      </c>
      <c r="E104" s="468">
        <f>E101+E102-E103</f>
        <v>2490214</v>
      </c>
      <c r="F104" s="482"/>
      <c r="G104"/>
      <c r="I104"/>
    </row>
    <row r="105" spans="1:9" x14ac:dyDescent="0.25">
      <c r="B105" s="12" t="s">
        <v>637</v>
      </c>
      <c r="C105" s="604">
        <v>0</v>
      </c>
      <c r="D105" s="604">
        <v>0</v>
      </c>
      <c r="E105" s="604">
        <v>0</v>
      </c>
      <c r="F105" s="84"/>
      <c r="G105"/>
      <c r="I105"/>
    </row>
    <row r="106" spans="1:9" x14ac:dyDescent="0.25">
      <c r="B106" s="12" t="s">
        <v>638</v>
      </c>
      <c r="C106" s="84"/>
      <c r="D106" s="84"/>
      <c r="E106" s="84"/>
      <c r="F106" s="84"/>
      <c r="G106"/>
      <c r="I106"/>
    </row>
    <row r="107" spans="1:9" x14ac:dyDescent="0.25">
      <c r="B107" s="3" t="s">
        <v>727</v>
      </c>
      <c r="C107" s="604">
        <v>649</v>
      </c>
      <c r="D107" s="604">
        <v>704</v>
      </c>
      <c r="E107" s="604">
        <v>549</v>
      </c>
      <c r="F107" s="84"/>
      <c r="G107"/>
      <c r="I107"/>
    </row>
    <row r="108" spans="1:9" x14ac:dyDescent="0.25">
      <c r="B108" s="3" t="s">
        <v>725</v>
      </c>
      <c r="C108" s="604">
        <v>0</v>
      </c>
      <c r="D108" s="604">
        <v>0</v>
      </c>
      <c r="E108" s="604">
        <v>0</v>
      </c>
      <c r="F108" s="84"/>
      <c r="G108"/>
      <c r="I108"/>
    </row>
    <row r="109" spans="1:9" x14ac:dyDescent="0.25">
      <c r="B109" s="3" t="s">
        <v>726</v>
      </c>
      <c r="C109" s="604">
        <v>0</v>
      </c>
      <c r="D109" s="604">
        <v>0</v>
      </c>
      <c r="E109" s="604">
        <v>0</v>
      </c>
      <c r="F109" s="84"/>
      <c r="G109"/>
      <c r="I109"/>
    </row>
    <row r="110" spans="1:9" x14ac:dyDescent="0.25">
      <c r="B110" s="3" t="s">
        <v>728</v>
      </c>
      <c r="C110" s="604">
        <v>745</v>
      </c>
      <c r="D110" s="604">
        <v>732</v>
      </c>
      <c r="E110" s="604">
        <v>1064</v>
      </c>
      <c r="F110" s="84"/>
      <c r="G110"/>
      <c r="I110"/>
    </row>
    <row r="111" spans="1:9" x14ac:dyDescent="0.25">
      <c r="B111" s="12" t="s">
        <v>729</v>
      </c>
      <c r="C111" s="468">
        <f>(C107+C108+C109+C110)*-1</f>
        <v>-1394</v>
      </c>
      <c r="D111" s="468">
        <f>(D107+D108+D109+D110)*-1</f>
        <v>-1436</v>
      </c>
      <c r="E111" s="468">
        <f>(E107+E108+E109+E110)*-1</f>
        <v>-1613</v>
      </c>
      <c r="F111" s="482"/>
      <c r="G111"/>
      <c r="I111"/>
    </row>
    <row r="112" spans="1:9" x14ac:dyDescent="0.25">
      <c r="B112" s="12" t="s">
        <v>639</v>
      </c>
      <c r="C112" s="604">
        <v>-1513659</v>
      </c>
      <c r="D112" s="604">
        <v>-929159</v>
      </c>
      <c r="E112" s="604">
        <v>-1089385</v>
      </c>
      <c r="F112" s="84"/>
      <c r="G112"/>
      <c r="I112"/>
    </row>
    <row r="113" spans="1:12" x14ac:dyDescent="0.25">
      <c r="B113" s="12" t="s">
        <v>640</v>
      </c>
      <c r="C113" s="604">
        <v>271</v>
      </c>
      <c r="D113" s="604">
        <v>251</v>
      </c>
      <c r="E113" s="604">
        <v>611</v>
      </c>
      <c r="F113" s="84"/>
      <c r="G113"/>
      <c r="I113"/>
    </row>
    <row r="114" spans="1:12" x14ac:dyDescent="0.25">
      <c r="B114" s="12" t="s">
        <v>236</v>
      </c>
      <c r="C114" s="604">
        <v>9167</v>
      </c>
      <c r="D114" s="604">
        <v>9167</v>
      </c>
      <c r="E114" s="604">
        <v>9167</v>
      </c>
      <c r="F114" s="84"/>
      <c r="G114"/>
      <c r="I114"/>
    </row>
    <row r="116" spans="1:12" x14ac:dyDescent="0.25">
      <c r="B116" s="15" t="s">
        <v>641</v>
      </c>
      <c r="C116" s="480">
        <f>C99</f>
        <v>45870</v>
      </c>
      <c r="D116" s="480">
        <f>D99</f>
        <v>45901</v>
      </c>
      <c r="E116" s="480">
        <f>E99</f>
        <v>45931</v>
      </c>
      <c r="F116" s="103"/>
    </row>
    <row r="117" spans="1:12" x14ac:dyDescent="0.25">
      <c r="B117" s="3" t="s">
        <v>642</v>
      </c>
      <c r="C117" s="604">
        <v>7035806.46</v>
      </c>
      <c r="D117" s="604">
        <v>5457145.5300000003</v>
      </c>
      <c r="E117" s="604">
        <v>9144142.0199999996</v>
      </c>
      <c r="F117" s="84"/>
    </row>
    <row r="118" spans="1:12" x14ac:dyDescent="0.25">
      <c r="B118" s="3" t="s">
        <v>643</v>
      </c>
      <c r="C118" s="604">
        <v>0</v>
      </c>
      <c r="D118" s="604">
        <v>0</v>
      </c>
      <c r="E118" s="604">
        <v>0</v>
      </c>
      <c r="F118" s="84"/>
      <c r="G118"/>
      <c r="I118"/>
      <c r="J118"/>
      <c r="K118"/>
    </row>
    <row r="119" spans="1:12" x14ac:dyDescent="0.25">
      <c r="B119" s="3" t="s">
        <v>644</v>
      </c>
      <c r="C119" s="604">
        <v>-3707.6</v>
      </c>
      <c r="D119" s="604">
        <v>-4444.7299999999996</v>
      </c>
      <c r="E119" s="604">
        <v>-6173.63</v>
      </c>
      <c r="F119" s="84"/>
      <c r="G119"/>
      <c r="I119"/>
      <c r="J119"/>
      <c r="K119"/>
    </row>
    <row r="120" spans="1:12" x14ac:dyDescent="0.25">
      <c r="B120" s="3" t="s">
        <v>639</v>
      </c>
      <c r="C120" s="604">
        <v>-5013995.4400000004</v>
      </c>
      <c r="D120" s="604">
        <v>-3216655.54</v>
      </c>
      <c r="E120" s="604">
        <v>-4042054.1</v>
      </c>
      <c r="F120" s="84"/>
      <c r="G120"/>
      <c r="I120"/>
      <c r="J120"/>
      <c r="K120"/>
    </row>
    <row r="121" spans="1:12" x14ac:dyDescent="0.25">
      <c r="B121" s="3" t="s">
        <v>645</v>
      </c>
      <c r="C121" s="604">
        <v>911.35</v>
      </c>
      <c r="D121" s="604">
        <v>846.45</v>
      </c>
      <c r="E121" s="604">
        <v>2081.31</v>
      </c>
      <c r="F121" s="84"/>
      <c r="G121"/>
      <c r="I121"/>
      <c r="J121"/>
      <c r="K121"/>
    </row>
    <row r="122" spans="1:12" x14ac:dyDescent="0.25">
      <c r="B122" s="3" t="s">
        <v>236</v>
      </c>
      <c r="C122" s="604">
        <v>30827.7</v>
      </c>
      <c r="D122" s="604">
        <v>30913.87</v>
      </c>
      <c r="E122" s="604">
        <v>31226.47</v>
      </c>
      <c r="F122" s="84"/>
      <c r="G122"/>
      <c r="I122"/>
      <c r="J122"/>
      <c r="K122"/>
    </row>
    <row r="123" spans="1:12" x14ac:dyDescent="0.25">
      <c r="B123" s="3" t="s">
        <v>646</v>
      </c>
      <c r="C123" s="604">
        <v>8711.01</v>
      </c>
      <c r="D123" s="604">
        <v>11381.3</v>
      </c>
      <c r="E123" s="604">
        <v>9964.25</v>
      </c>
      <c r="F123" s="84"/>
      <c r="G123"/>
      <c r="I123"/>
      <c r="J123"/>
      <c r="K123"/>
    </row>
    <row r="124" spans="1:12" x14ac:dyDescent="0.25">
      <c r="C124"/>
      <c r="D124"/>
      <c r="E124"/>
      <c r="F124"/>
      <c r="G124"/>
      <c r="H124"/>
      <c r="I124"/>
      <c r="J124"/>
      <c r="K124"/>
    </row>
    <row r="125" spans="1:12" x14ac:dyDescent="0.25">
      <c r="A125" s="434"/>
      <c r="B125" s="434"/>
      <c r="C125" s="434"/>
      <c r="D125" s="434"/>
      <c r="E125" s="434"/>
      <c r="F125" s="434"/>
      <c r="G125" s="434"/>
      <c r="H125" s="435"/>
      <c r="I125" s="434"/>
      <c r="J125" s="434"/>
      <c r="K125" s="434"/>
      <c r="L125" s="434"/>
    </row>
    <row r="127" spans="1:12" ht="18.75" x14ac:dyDescent="0.3">
      <c r="A127" s="437" t="s">
        <v>657</v>
      </c>
      <c r="C127"/>
      <c r="D127"/>
      <c r="E127"/>
      <c r="F127"/>
      <c r="G127"/>
      <c r="H127" s="3"/>
      <c r="I127"/>
    </row>
    <row r="128" spans="1:12" ht="18.75" x14ac:dyDescent="0.3">
      <c r="A128" s="437"/>
      <c r="B128" s="3" t="s">
        <v>659</v>
      </c>
      <c r="C128" s="341"/>
      <c r="D128"/>
      <c r="E128"/>
      <c r="F128"/>
      <c r="G128"/>
      <c r="H128" s="3"/>
      <c r="I128"/>
    </row>
    <row r="130" spans="1:12" x14ac:dyDescent="0.25">
      <c r="A130" s="434"/>
      <c r="B130" s="434"/>
      <c r="C130" s="434"/>
      <c r="D130" s="434"/>
      <c r="E130" s="434"/>
      <c r="F130" s="434"/>
      <c r="G130" s="434"/>
      <c r="H130" s="435"/>
      <c r="I130" s="434"/>
      <c r="J130" s="434"/>
      <c r="K130" s="434"/>
      <c r="L130" s="434"/>
    </row>
    <row r="132" spans="1:12" ht="18.75" x14ac:dyDescent="0.3">
      <c r="A132" s="437" t="s">
        <v>658</v>
      </c>
    </row>
    <row r="133" spans="1:12" x14ac:dyDescent="0.25">
      <c r="B133" s="3" t="s">
        <v>659</v>
      </c>
      <c r="C133" s="341"/>
    </row>
    <row r="135" spans="1:12" x14ac:dyDescent="0.25">
      <c r="A135" s="434"/>
      <c r="B135" s="434"/>
      <c r="C135" s="434"/>
      <c r="D135" s="434"/>
      <c r="E135" s="434"/>
      <c r="F135" s="434"/>
      <c r="G135" s="434"/>
      <c r="H135" s="435"/>
      <c r="I135" s="434"/>
      <c r="J135" s="434"/>
      <c r="K135" s="434"/>
      <c r="L135" s="434"/>
    </row>
    <row r="137" spans="1:12" ht="18.75" x14ac:dyDescent="0.3">
      <c r="A137" s="437" t="s">
        <v>660</v>
      </c>
      <c r="C137" s="623"/>
      <c r="D137" s="623"/>
      <c r="E137" s="623"/>
      <c r="F137" s="151"/>
    </row>
    <row r="139" spans="1:12" x14ac:dyDescent="0.25">
      <c r="B139" s="3" t="s">
        <v>647</v>
      </c>
      <c r="C139" s="433"/>
      <c r="D139" s="84">
        <v>0</v>
      </c>
    </row>
    <row r="140" spans="1:12" x14ac:dyDescent="0.25">
      <c r="E140" s="181"/>
      <c r="F140" s="181"/>
    </row>
    <row r="141" spans="1:12" x14ac:dyDescent="0.25">
      <c r="A141" s="434"/>
      <c r="B141" s="434"/>
      <c r="C141" s="434"/>
      <c r="D141" s="434"/>
      <c r="E141" s="434"/>
      <c r="F141" s="434"/>
      <c r="G141" s="434"/>
      <c r="H141" s="435"/>
      <c r="I141" s="434"/>
      <c r="J141" s="434"/>
      <c r="K141" s="434"/>
      <c r="L141" s="434"/>
    </row>
    <row r="143" spans="1:12" ht="18.75" x14ac:dyDescent="0.3">
      <c r="A143" s="437" t="s">
        <v>661</v>
      </c>
      <c r="D143" s="481" t="str">
        <f>VLOOKUP('Ex C-1 2 of 3'!B13,'Case Database'!A3:C2000,3)</f>
        <v>2024-00294</v>
      </c>
    </row>
    <row r="145" spans="1:12" x14ac:dyDescent="0.25">
      <c r="B145" s="3" t="s">
        <v>268</v>
      </c>
      <c r="D145" s="604">
        <v>-2383992</v>
      </c>
    </row>
    <row r="147" spans="1:12" x14ac:dyDescent="0.25">
      <c r="A147" s="434"/>
      <c r="B147" s="434"/>
      <c r="C147" s="434"/>
      <c r="D147" s="434"/>
      <c r="E147" s="434"/>
      <c r="F147" s="434"/>
      <c r="G147" s="434"/>
      <c r="H147" s="435"/>
      <c r="I147" s="434"/>
      <c r="J147" s="434"/>
      <c r="K147" s="434"/>
      <c r="L147" s="434"/>
    </row>
    <row r="149" spans="1:12" ht="18.75" x14ac:dyDescent="0.3">
      <c r="A149" s="437" t="s">
        <v>662</v>
      </c>
      <c r="B149"/>
      <c r="C149"/>
      <c r="D149" s="481" t="str">
        <f>'Ex C-1 3 of 3'!B13</f>
        <v>2025-00188</v>
      </c>
      <c r="E149"/>
      <c r="F149"/>
      <c r="G149"/>
      <c r="H149"/>
      <c r="I149"/>
    </row>
    <row r="151" spans="1:12" x14ac:dyDescent="0.25">
      <c r="B151" s="3" t="s">
        <v>268</v>
      </c>
      <c r="D151" s="604">
        <v>547099.8400000002</v>
      </c>
    </row>
    <row r="153" spans="1:12" customFormat="1" x14ac:dyDescent="0.25">
      <c r="A153" s="3" t="s">
        <v>689</v>
      </c>
    </row>
    <row r="154" spans="1:12" customFormat="1" x14ac:dyDescent="0.25">
      <c r="A154" s="3"/>
      <c r="B154" s="605" t="s">
        <v>861</v>
      </c>
      <c r="H154" s="181"/>
    </row>
    <row r="155" spans="1:12" customFormat="1" x14ac:dyDescent="0.25">
      <c r="A155" s="3"/>
      <c r="B155" s="479" t="str">
        <f>IF('Exhibit C Write-Up'!E12&gt;0,"as a debit", "as a credit")</f>
        <v>as a credit</v>
      </c>
    </row>
    <row r="156" spans="1:12" x14ac:dyDescent="0.25">
      <c r="A156" s="434"/>
      <c r="B156" s="434"/>
      <c r="C156" s="434"/>
      <c r="D156" s="434"/>
      <c r="E156" s="434"/>
      <c r="F156" s="434"/>
      <c r="G156" s="434"/>
      <c r="H156" s="435"/>
      <c r="I156" s="434"/>
      <c r="J156" s="434"/>
      <c r="K156" s="434"/>
      <c r="L156" s="434"/>
    </row>
    <row r="158" spans="1:12" ht="18.75" x14ac:dyDescent="0.3">
      <c r="A158" s="437" t="s">
        <v>663</v>
      </c>
      <c r="B158"/>
      <c r="C158"/>
      <c r="D158" s="438"/>
      <c r="E158"/>
      <c r="F158"/>
      <c r="G158"/>
      <c r="H158"/>
      <c r="I158"/>
    </row>
    <row r="159" spans="1:12" x14ac:dyDescent="0.25">
      <c r="H159" s="3"/>
    </row>
    <row r="160" spans="1:12" x14ac:dyDescent="0.25">
      <c r="B160" s="3" t="s">
        <v>215</v>
      </c>
      <c r="D160" s="611">
        <v>0</v>
      </c>
    </row>
    <row r="161" spans="1:12" x14ac:dyDescent="0.25">
      <c r="B161" s="3" t="s">
        <v>216</v>
      </c>
      <c r="D161" s="611">
        <v>0</v>
      </c>
    </row>
    <row r="163" spans="1:12" x14ac:dyDescent="0.25">
      <c r="A163" s="434"/>
      <c r="B163" s="434"/>
      <c r="C163" s="434"/>
      <c r="D163" s="434"/>
      <c r="E163" s="434"/>
      <c r="F163" s="434"/>
      <c r="G163" s="434"/>
      <c r="H163" s="435"/>
      <c r="I163" s="434"/>
      <c r="J163" s="434"/>
      <c r="K163" s="434"/>
      <c r="L163" s="434"/>
    </row>
    <row r="165" spans="1:12" ht="18.75" x14ac:dyDescent="0.3">
      <c r="A165" s="437" t="s">
        <v>664</v>
      </c>
      <c r="D165" s="481" t="str">
        <f>'Ex D-1 2 of 2'!B7</f>
        <v>2024-00294</v>
      </c>
    </row>
    <row r="167" spans="1:12" x14ac:dyDescent="0.25">
      <c r="B167" s="3" t="s">
        <v>268</v>
      </c>
      <c r="D167" s="611">
        <v>0</v>
      </c>
    </row>
    <row r="169" spans="1:12" x14ac:dyDescent="0.25">
      <c r="A169" s="434"/>
      <c r="B169" s="434"/>
      <c r="C169" s="434"/>
      <c r="D169" s="434"/>
      <c r="E169" s="434"/>
      <c r="F169" s="434"/>
      <c r="G169" s="434"/>
      <c r="H169" s="435"/>
      <c r="I169" s="434"/>
      <c r="J169" s="434"/>
      <c r="K169" s="434"/>
      <c r="L169" s="434"/>
    </row>
    <row r="170" spans="1:12" ht="18.75" x14ac:dyDescent="0.3">
      <c r="D170" s="623"/>
      <c r="E170" s="623"/>
      <c r="F170" s="623"/>
      <c r="G170" s="623"/>
      <c r="H170" s="623"/>
    </row>
    <row r="171" spans="1:12" ht="18.75" x14ac:dyDescent="0.3">
      <c r="A171" s="437" t="s">
        <v>864</v>
      </c>
      <c r="D171" s="86"/>
      <c r="E171" s="86"/>
      <c r="F171" s="86"/>
      <c r="G171" s="86"/>
      <c r="H171" s="86"/>
    </row>
    <row r="172" spans="1:12" ht="18.75" x14ac:dyDescent="0.3">
      <c r="A172" s="437"/>
      <c r="D172" s="86"/>
      <c r="E172" s="86"/>
      <c r="F172" s="86"/>
      <c r="G172" s="86"/>
      <c r="H172" s="86"/>
    </row>
    <row r="173" spans="1:12" ht="18.75" x14ac:dyDescent="0.3">
      <c r="B173" s="3" t="s">
        <v>678</v>
      </c>
      <c r="D173" s="86"/>
      <c r="E173" s="86"/>
      <c r="F173" s="86"/>
      <c r="G173" s="86"/>
      <c r="H173" s="86"/>
    </row>
    <row r="174" spans="1:12" ht="18.75" x14ac:dyDescent="0.3">
      <c r="B174" s="46" t="s">
        <v>118</v>
      </c>
      <c r="D174" s="603">
        <v>0</v>
      </c>
      <c r="E174" s="86"/>
      <c r="F174" s="86"/>
      <c r="G174" s="86"/>
    </row>
    <row r="175" spans="1:12" x14ac:dyDescent="0.25">
      <c r="B175" s="46" t="s">
        <v>73</v>
      </c>
      <c r="D175" s="604">
        <v>0</v>
      </c>
    </row>
    <row r="177" spans="1:8" customFormat="1" x14ac:dyDescent="0.25">
      <c r="A177" s="3" t="s">
        <v>690</v>
      </c>
    </row>
    <row r="178" spans="1:8" customFormat="1" x14ac:dyDescent="0.25">
      <c r="A178" s="3"/>
      <c r="B178" s="605" t="s">
        <v>850</v>
      </c>
      <c r="H178" s="181"/>
    </row>
    <row r="179" spans="1:8" x14ac:dyDescent="0.25">
      <c r="B179" s="605" t="s">
        <v>857</v>
      </c>
    </row>
    <row r="180" spans="1:8" x14ac:dyDescent="0.25">
      <c r="B180" s="89"/>
    </row>
    <row r="181" spans="1:8" x14ac:dyDescent="0.25">
      <c r="B181" s="89"/>
    </row>
    <row r="182" spans="1:8" s="465" customFormat="1" ht="63" x14ac:dyDescent="0.25">
      <c r="B182" s="470"/>
      <c r="C182" s="473" t="s">
        <v>732</v>
      </c>
      <c r="D182" s="473" t="s">
        <v>731</v>
      </c>
      <c r="E182" s="473" t="s">
        <v>231</v>
      </c>
      <c r="F182" s="473" t="s">
        <v>733</v>
      </c>
      <c r="H182" s="471"/>
    </row>
    <row r="183" spans="1:8" x14ac:dyDescent="0.25">
      <c r="B183" s="511">
        <f>C10</f>
        <v>46054</v>
      </c>
      <c r="C183" s="606"/>
      <c r="D183" s="606"/>
      <c r="E183" s="607">
        <f>C183+D183</f>
        <v>0</v>
      </c>
      <c r="F183" s="606"/>
    </row>
    <row r="184" spans="1:8" x14ac:dyDescent="0.25">
      <c r="B184" s="511">
        <f>EDATE(B183,1)</f>
        <v>46082</v>
      </c>
      <c r="C184" s="606"/>
      <c r="D184" s="606"/>
      <c r="E184" s="607">
        <f t="shared" ref="E184:E194" si="0">C184+D184</f>
        <v>0</v>
      </c>
      <c r="F184" s="606"/>
    </row>
    <row r="185" spans="1:8" x14ac:dyDescent="0.25">
      <c r="B185" s="511">
        <f t="shared" ref="B185:B194" si="1">EDATE(B184,1)</f>
        <v>46113</v>
      </c>
      <c r="C185" s="606"/>
      <c r="D185" s="606"/>
      <c r="E185" s="607">
        <f t="shared" si="0"/>
        <v>0</v>
      </c>
      <c r="F185" s="606"/>
    </row>
    <row r="186" spans="1:8" x14ac:dyDescent="0.25">
      <c r="B186" s="511">
        <f t="shared" si="1"/>
        <v>46143</v>
      </c>
      <c r="C186" s="606"/>
      <c r="D186" s="606"/>
      <c r="E186" s="607">
        <f t="shared" si="0"/>
        <v>0</v>
      </c>
      <c r="F186" s="606"/>
    </row>
    <row r="187" spans="1:8" x14ac:dyDescent="0.25">
      <c r="B187" s="511">
        <f t="shared" si="1"/>
        <v>46174</v>
      </c>
      <c r="C187" s="606"/>
      <c r="D187" s="606"/>
      <c r="E187" s="607">
        <f t="shared" si="0"/>
        <v>0</v>
      </c>
      <c r="F187" s="606"/>
    </row>
    <row r="188" spans="1:8" x14ac:dyDescent="0.25">
      <c r="B188" s="511">
        <f t="shared" si="1"/>
        <v>46204</v>
      </c>
      <c r="C188" s="606"/>
      <c r="D188" s="606"/>
      <c r="E188" s="607">
        <f t="shared" si="0"/>
        <v>0</v>
      </c>
      <c r="F188" s="606"/>
    </row>
    <row r="189" spans="1:8" x14ac:dyDescent="0.25">
      <c r="B189" s="511">
        <f t="shared" si="1"/>
        <v>46235</v>
      </c>
      <c r="C189" s="606"/>
      <c r="D189" s="606"/>
      <c r="E189" s="607">
        <f t="shared" si="0"/>
        <v>0</v>
      </c>
      <c r="F189" s="606"/>
    </row>
    <row r="190" spans="1:8" x14ac:dyDescent="0.25">
      <c r="B190" s="511">
        <f t="shared" si="1"/>
        <v>46266</v>
      </c>
      <c r="C190" s="606"/>
      <c r="D190" s="606"/>
      <c r="E190" s="607">
        <f t="shared" si="0"/>
        <v>0</v>
      </c>
      <c r="F190" s="606"/>
    </row>
    <row r="191" spans="1:8" x14ac:dyDescent="0.25">
      <c r="B191" s="511">
        <f t="shared" si="1"/>
        <v>46296</v>
      </c>
      <c r="C191" s="606"/>
      <c r="D191" s="606"/>
      <c r="E191" s="607">
        <f t="shared" si="0"/>
        <v>0</v>
      </c>
      <c r="F191" s="606"/>
    </row>
    <row r="192" spans="1:8" x14ac:dyDescent="0.25">
      <c r="B192" s="511">
        <f t="shared" si="1"/>
        <v>46327</v>
      </c>
      <c r="C192" s="606"/>
      <c r="D192" s="606"/>
      <c r="E192" s="607">
        <f t="shared" si="0"/>
        <v>0</v>
      </c>
      <c r="F192" s="606"/>
    </row>
    <row r="193" spans="1:20" x14ac:dyDescent="0.25">
      <c r="B193" s="511">
        <f t="shared" si="1"/>
        <v>46357</v>
      </c>
      <c r="C193" s="606"/>
      <c r="D193" s="606"/>
      <c r="E193" s="607">
        <f t="shared" si="0"/>
        <v>0</v>
      </c>
      <c r="F193" s="606"/>
    </row>
    <row r="194" spans="1:20" ht="16.5" thickBot="1" x14ac:dyDescent="0.3">
      <c r="B194" s="511">
        <f t="shared" si="1"/>
        <v>46388</v>
      </c>
      <c r="C194" s="606"/>
      <c r="D194" s="606"/>
      <c r="E194" s="607">
        <f t="shared" si="0"/>
        <v>0</v>
      </c>
      <c r="F194" s="606"/>
    </row>
    <row r="195" spans="1:20" ht="16.5" thickBot="1" x14ac:dyDescent="0.3">
      <c r="B195" s="472" t="s">
        <v>30</v>
      </c>
      <c r="E195" s="474">
        <f>SUM(E183:E194)</f>
        <v>0</v>
      </c>
      <c r="F195" s="474">
        <f>SUM(F183:F194)</f>
        <v>0</v>
      </c>
    </row>
    <row r="196" spans="1:20" x14ac:dyDescent="0.25">
      <c r="B196" s="469"/>
    </row>
    <row r="197" spans="1:20" x14ac:dyDescent="0.25">
      <c r="B197" s="89"/>
    </row>
    <row r="198" spans="1:20" x14ac:dyDescent="0.25">
      <c r="B198" s="89"/>
    </row>
    <row r="199" spans="1:20" x14ac:dyDescent="0.25">
      <c r="A199" s="434"/>
      <c r="B199" s="434"/>
      <c r="C199" s="434"/>
      <c r="D199" s="434"/>
      <c r="E199" s="434"/>
      <c r="F199" s="434"/>
      <c r="G199" s="434"/>
      <c r="H199" s="435"/>
      <c r="I199" s="434"/>
      <c r="J199" s="434"/>
      <c r="K199" s="434"/>
      <c r="L199" s="434"/>
    </row>
    <row r="201" spans="1:20" ht="18.75" x14ac:dyDescent="0.3">
      <c r="A201" s="437" t="s">
        <v>665</v>
      </c>
      <c r="D201" s="481" t="str">
        <f>'Ex E-1 2 of 2'!B6</f>
        <v>2024-00405</v>
      </c>
    </row>
    <row r="203" spans="1:20" x14ac:dyDescent="0.25">
      <c r="B203" s="3" t="s">
        <v>268</v>
      </c>
      <c r="C203"/>
      <c r="D203" s="84">
        <v>1693977</v>
      </c>
      <c r="E203"/>
      <c r="F203"/>
      <c r="G203"/>
      <c r="I203"/>
      <c r="J203"/>
      <c r="K203"/>
      <c r="L203"/>
    </row>
    <row r="204" spans="1:20" x14ac:dyDescent="0.25">
      <c r="B204" s="3" t="s">
        <v>679</v>
      </c>
      <c r="C204"/>
      <c r="D204" s="3">
        <v>5.3699999999999998E-2</v>
      </c>
      <c r="E204"/>
      <c r="F204"/>
      <c r="G204"/>
      <c r="I204"/>
      <c r="J204"/>
      <c r="K204"/>
      <c r="L204"/>
    </row>
    <row r="205" spans="1:20" x14ac:dyDescent="0.25">
      <c r="B205" s="3" t="s">
        <v>680</v>
      </c>
      <c r="D205" s="3">
        <v>2.06E-2</v>
      </c>
    </row>
    <row r="206" spans="1:20" x14ac:dyDescent="0.25">
      <c r="N206"/>
      <c r="O206"/>
      <c r="P206"/>
      <c r="Q206"/>
      <c r="R206"/>
      <c r="S206"/>
      <c r="T206"/>
    </row>
    <row r="207" spans="1:20" x14ac:dyDescent="0.25">
      <c r="A207" s="434"/>
      <c r="B207" s="434"/>
      <c r="C207" s="434"/>
      <c r="D207" s="434"/>
      <c r="E207" s="434"/>
      <c r="F207" s="434"/>
      <c r="G207" s="434"/>
      <c r="H207" s="435"/>
      <c r="I207" s="434"/>
      <c r="J207" s="434"/>
      <c r="K207" s="434"/>
      <c r="L207" s="434"/>
      <c r="N207"/>
      <c r="O207"/>
      <c r="P207"/>
      <c r="Q207"/>
      <c r="R207"/>
      <c r="S207"/>
      <c r="T207"/>
    </row>
    <row r="208" spans="1:20" x14ac:dyDescent="0.25">
      <c r="N208"/>
      <c r="O208"/>
      <c r="P208"/>
      <c r="Q208"/>
      <c r="R208"/>
      <c r="S208"/>
      <c r="T208"/>
    </row>
    <row r="209" spans="1:20" ht="18.75" x14ac:dyDescent="0.3">
      <c r="A209" s="437" t="s">
        <v>681</v>
      </c>
      <c r="N209"/>
      <c r="O209"/>
      <c r="P209"/>
      <c r="Q209"/>
      <c r="R209"/>
      <c r="S209"/>
      <c r="T209"/>
    </row>
    <row r="210" spans="1:20" x14ac:dyDescent="0.25">
      <c r="C210" s="13" t="s">
        <v>686</v>
      </c>
      <c r="D210" s="13" t="s">
        <v>686</v>
      </c>
      <c r="E210" s="13" t="s">
        <v>686</v>
      </c>
      <c r="F210" s="13"/>
      <c r="N210"/>
      <c r="O210"/>
      <c r="P210"/>
      <c r="Q210"/>
      <c r="R210"/>
      <c r="S210"/>
      <c r="T210"/>
    </row>
    <row r="211" spans="1:20" x14ac:dyDescent="0.25">
      <c r="B211" s="3" t="s">
        <v>682</v>
      </c>
      <c r="C211" s="3" t="s">
        <v>683</v>
      </c>
      <c r="D211" s="3" t="s">
        <v>684</v>
      </c>
      <c r="E211" s="3" t="s">
        <v>685</v>
      </c>
      <c r="H211" s="3"/>
      <c r="N211"/>
      <c r="O211"/>
      <c r="P211"/>
      <c r="Q211"/>
      <c r="R211"/>
      <c r="S211"/>
      <c r="T211"/>
    </row>
    <row r="212" spans="1:20" x14ac:dyDescent="0.25">
      <c r="B212" s="549">
        <v>45597</v>
      </c>
      <c r="C212" s="612">
        <v>0</v>
      </c>
      <c r="D212" s="612">
        <f>'Summary Sheet'!J32</f>
        <v>-6.7000000000000002E-3</v>
      </c>
      <c r="E212" s="612">
        <v>0</v>
      </c>
      <c r="F212" s="94"/>
      <c r="N212"/>
      <c r="O212"/>
      <c r="P212"/>
      <c r="Q212"/>
      <c r="R212"/>
      <c r="S212"/>
      <c r="T212"/>
    </row>
    <row r="213" spans="1:20" x14ac:dyDescent="0.25">
      <c r="B213" s="549">
        <v>45962</v>
      </c>
      <c r="C213" s="612">
        <f>'Summary Sheet'!J26</f>
        <v>0.44949999999999996</v>
      </c>
      <c r="D213" s="612">
        <f>'Summary Sheet'!J32</f>
        <v>-6.7000000000000002E-3</v>
      </c>
      <c r="E213" s="612">
        <f>'Summary Sheet'!J48</f>
        <v>0</v>
      </c>
      <c r="F213" s="94"/>
      <c r="N213"/>
      <c r="O213"/>
      <c r="P213"/>
      <c r="Q213"/>
      <c r="R213"/>
      <c r="S213"/>
      <c r="T213"/>
    </row>
    <row r="214" spans="1:20" x14ac:dyDescent="0.25">
      <c r="E214" s="3" t="s">
        <v>736</v>
      </c>
      <c r="N214"/>
      <c r="O214"/>
      <c r="P214"/>
      <c r="Q214"/>
      <c r="R214"/>
      <c r="S214"/>
      <c r="T214"/>
    </row>
    <row r="215" spans="1:20" x14ac:dyDescent="0.25">
      <c r="A215" s="3" t="s">
        <v>691</v>
      </c>
      <c r="N215"/>
      <c r="O215"/>
      <c r="P215"/>
      <c r="Q215"/>
      <c r="R215"/>
      <c r="S215"/>
      <c r="T215"/>
    </row>
    <row r="216" spans="1:20" x14ac:dyDescent="0.25">
      <c r="B216" s="89" t="s">
        <v>851</v>
      </c>
      <c r="N216"/>
      <c r="O216"/>
      <c r="P216"/>
      <c r="Q216"/>
      <c r="R216"/>
      <c r="S216"/>
      <c r="T216"/>
    </row>
    <row r="218" spans="1:20" x14ac:dyDescent="0.25">
      <c r="A218" s="434"/>
      <c r="B218" s="434"/>
      <c r="C218" s="434"/>
      <c r="D218" s="434"/>
      <c r="E218" s="434"/>
      <c r="F218" s="434"/>
      <c r="G218" s="434"/>
      <c r="H218" s="435"/>
      <c r="I218" s="434"/>
      <c r="J218" s="434"/>
      <c r="K218" s="434"/>
      <c r="L218" s="434"/>
    </row>
    <row r="220" spans="1:20" customFormat="1" x14ac:dyDescent="0.25">
      <c r="A220" s="3"/>
    </row>
    <row r="221" spans="1:20" customFormat="1" x14ac:dyDescent="0.25">
      <c r="A221" s="3"/>
    </row>
  </sheetData>
  <mergeCells count="2">
    <mergeCell ref="C137:E137"/>
    <mergeCell ref="D170:H170"/>
  </mergeCells>
  <phoneticPr fontId="4" type="noConversion"/>
  <pageMargins left="0.75" right="0.75" top="1" bottom="1" header="0.5" footer="0.5"/>
  <pageSetup scale="96" orientation="portrait" r:id="rId1"/>
  <headerFooter alignWithMargins="0">
    <oddFooter>&amp;L_x000D_&amp;1#&amp;"Calibri"&amp;14&amp;K000000 Business Use</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3" tint="0.79998168889431442"/>
    <pageSetUpPr fitToPage="1"/>
  </sheetPr>
  <dimension ref="A1:XFC113"/>
  <sheetViews>
    <sheetView topLeftCell="D1" zoomScaleNormal="100" workbookViewId="0">
      <pane ySplit="3" topLeftCell="A100" activePane="bottomLeft" state="frozen"/>
      <selection pane="bottomLeft" activeCell="D1" sqref="D1:E1"/>
    </sheetView>
  </sheetViews>
  <sheetFormatPr defaultColWidth="8.88671875" defaultRowHeight="15.75" x14ac:dyDescent="0.25"/>
  <cols>
    <col min="1" max="1" width="20.88671875" style="25" customWidth="1"/>
    <col min="2" max="2" width="22.44140625" style="25" customWidth="1"/>
    <col min="3" max="5" width="24.6640625" style="25" customWidth="1"/>
    <col min="6" max="6" width="21.21875" style="25" customWidth="1"/>
    <col min="7" max="7" width="17.5546875" style="24" customWidth="1"/>
    <col min="8" max="8" width="13.21875" style="24" customWidth="1"/>
    <col min="9" max="11" width="24.6640625" style="24" customWidth="1"/>
    <col min="12" max="13" width="16.109375" style="24" customWidth="1"/>
    <col min="14" max="15" width="16.109375" style="3" customWidth="1"/>
    <col min="16" max="16384" width="8.88671875" style="24"/>
  </cols>
  <sheetData>
    <row r="1" spans="1:17 16383:16383" x14ac:dyDescent="0.25">
      <c r="D1" s="624" t="s">
        <v>54</v>
      </c>
      <c r="E1" s="624"/>
      <c r="F1" s="625" t="s">
        <v>668</v>
      </c>
      <c r="G1" s="625"/>
      <c r="H1" s="625"/>
      <c r="I1" s="626" t="s">
        <v>247</v>
      </c>
      <c r="J1" s="626"/>
      <c r="K1" s="626"/>
      <c r="L1" s="627" t="s">
        <v>672</v>
      </c>
      <c r="M1" s="627"/>
      <c r="N1" s="628" t="s">
        <v>675</v>
      </c>
      <c r="O1" s="628"/>
      <c r="P1" s="628"/>
      <c r="Q1" s="628"/>
    </row>
    <row r="2" spans="1:17 16383:16383" ht="15" x14ac:dyDescent="0.2">
      <c r="A2" s="26">
        <v>1</v>
      </c>
      <c r="B2" s="26">
        <f>A2+1</f>
        <v>2</v>
      </c>
      <c r="C2" s="26">
        <f t="shared" ref="C2:Q2" si="0">B2+1</f>
        <v>3</v>
      </c>
      <c r="D2" s="26">
        <f t="shared" si="0"/>
        <v>4</v>
      </c>
      <c r="E2" s="26">
        <f t="shared" si="0"/>
        <v>5</v>
      </c>
      <c r="F2" s="26">
        <f t="shared" si="0"/>
        <v>6</v>
      </c>
      <c r="G2" s="26">
        <f t="shared" si="0"/>
        <v>7</v>
      </c>
      <c r="H2" s="26">
        <f t="shared" si="0"/>
        <v>8</v>
      </c>
      <c r="I2" s="439">
        <f t="shared" si="0"/>
        <v>9</v>
      </c>
      <c r="J2" s="439">
        <f t="shared" si="0"/>
        <v>10</v>
      </c>
      <c r="K2" s="439">
        <f t="shared" si="0"/>
        <v>11</v>
      </c>
      <c r="L2" s="439">
        <f t="shared" si="0"/>
        <v>12</v>
      </c>
      <c r="M2" s="439">
        <f t="shared" si="0"/>
        <v>13</v>
      </c>
      <c r="N2" s="439">
        <f t="shared" si="0"/>
        <v>14</v>
      </c>
      <c r="O2" s="439">
        <f t="shared" si="0"/>
        <v>15</v>
      </c>
      <c r="P2" s="439">
        <f t="shared" si="0"/>
        <v>16</v>
      </c>
      <c r="Q2" s="439">
        <f t="shared" si="0"/>
        <v>17</v>
      </c>
      <c r="XFC2" s="506"/>
    </row>
    <row r="3" spans="1:17 16383:16383" s="441" customFormat="1" ht="47.25" x14ac:dyDescent="0.25">
      <c r="A3" s="440" t="s">
        <v>192</v>
      </c>
      <c r="B3" s="440" t="s">
        <v>332</v>
      </c>
      <c r="C3" s="440" t="s">
        <v>116</v>
      </c>
      <c r="D3" s="440" t="s">
        <v>666</v>
      </c>
      <c r="E3" s="440" t="s">
        <v>667</v>
      </c>
      <c r="F3" s="440" t="s">
        <v>333</v>
      </c>
      <c r="G3" s="440" t="s">
        <v>612</v>
      </c>
      <c r="H3" s="440" t="s">
        <v>613</v>
      </c>
      <c r="I3" s="441" t="s">
        <v>669</v>
      </c>
      <c r="J3" s="442" t="s">
        <v>670</v>
      </c>
      <c r="K3" s="442" t="s">
        <v>671</v>
      </c>
      <c r="L3" s="442" t="s">
        <v>673</v>
      </c>
      <c r="M3" s="442" t="s">
        <v>674</v>
      </c>
      <c r="N3" s="442" t="s">
        <v>215</v>
      </c>
      <c r="O3" s="442" t="s">
        <v>216</v>
      </c>
      <c r="P3" s="442" t="s">
        <v>676</v>
      </c>
      <c r="Q3" s="442" t="s">
        <v>677</v>
      </c>
    </row>
    <row r="5" spans="1:17 16383:16383" x14ac:dyDescent="0.25">
      <c r="A5" s="117">
        <v>36831</v>
      </c>
      <c r="B5" s="117">
        <f>EOMONTH(A5,2)</f>
        <v>36922</v>
      </c>
      <c r="C5" s="12" t="s">
        <v>85</v>
      </c>
      <c r="D5" s="12"/>
      <c r="E5" s="12"/>
      <c r="F5" s="12"/>
    </row>
    <row r="6" spans="1:17 16383:16383" x14ac:dyDescent="0.25">
      <c r="A6" s="117">
        <f>EDATE(A5,3)</f>
        <v>36923</v>
      </c>
      <c r="B6" s="117">
        <f t="shared" ref="B6:B51" si="1">EOMONTH(A6,2)</f>
        <v>37011</v>
      </c>
      <c r="C6" s="12" t="s">
        <v>195</v>
      </c>
      <c r="D6" s="12"/>
      <c r="E6" s="12"/>
      <c r="F6" s="12"/>
    </row>
    <row r="7" spans="1:17 16383:16383" x14ac:dyDescent="0.25">
      <c r="A7" s="117">
        <f t="shared" ref="A7:A51" si="2">EDATE(A6,3)</f>
        <v>37012</v>
      </c>
      <c r="B7" s="117">
        <f t="shared" si="1"/>
        <v>37103</v>
      </c>
      <c r="C7" s="12" t="s">
        <v>196</v>
      </c>
      <c r="D7" s="12"/>
      <c r="E7" s="12"/>
      <c r="F7" s="12"/>
    </row>
    <row r="8" spans="1:17 16383:16383" x14ac:dyDescent="0.25">
      <c r="A8" s="117">
        <f t="shared" si="2"/>
        <v>37104</v>
      </c>
      <c r="B8" s="117">
        <f t="shared" si="1"/>
        <v>37195</v>
      </c>
      <c r="C8" s="12" t="s">
        <v>197</v>
      </c>
      <c r="D8" s="12"/>
      <c r="E8" s="12"/>
      <c r="F8" s="12"/>
    </row>
    <row r="9" spans="1:17 16383:16383" x14ac:dyDescent="0.25">
      <c r="A9" s="117">
        <f t="shared" si="2"/>
        <v>37196</v>
      </c>
      <c r="B9" s="117">
        <f t="shared" si="1"/>
        <v>37287</v>
      </c>
      <c r="C9" s="12" t="s">
        <v>198</v>
      </c>
      <c r="D9" s="12"/>
      <c r="E9" s="12"/>
      <c r="F9" s="12"/>
    </row>
    <row r="10" spans="1:17 16383:16383" x14ac:dyDescent="0.25">
      <c r="A10" s="117">
        <f t="shared" si="2"/>
        <v>37288</v>
      </c>
      <c r="B10" s="117">
        <f t="shared" si="1"/>
        <v>37376</v>
      </c>
      <c r="C10" s="12" t="s">
        <v>199</v>
      </c>
      <c r="D10" s="12"/>
      <c r="E10" s="12"/>
      <c r="F10" s="12"/>
    </row>
    <row r="11" spans="1:17 16383:16383" x14ac:dyDescent="0.25">
      <c r="A11" s="117">
        <f t="shared" si="2"/>
        <v>37377</v>
      </c>
      <c r="B11" s="117">
        <f t="shared" si="1"/>
        <v>37468</v>
      </c>
      <c r="C11" s="12" t="s">
        <v>200</v>
      </c>
      <c r="D11" s="12"/>
      <c r="E11" s="12"/>
      <c r="F11" s="12"/>
    </row>
    <row r="12" spans="1:17 16383:16383" x14ac:dyDescent="0.25">
      <c r="A12" s="117">
        <f t="shared" si="2"/>
        <v>37469</v>
      </c>
      <c r="B12" s="117">
        <f t="shared" si="1"/>
        <v>37560</v>
      </c>
      <c r="C12" s="12" t="s">
        <v>176</v>
      </c>
      <c r="D12" s="12"/>
      <c r="E12" s="12"/>
      <c r="F12" s="12"/>
      <c r="G12" s="72"/>
      <c r="H12" s="72"/>
    </row>
    <row r="13" spans="1:17 16383:16383" x14ac:dyDescent="0.25">
      <c r="A13" s="117">
        <f t="shared" si="2"/>
        <v>37561</v>
      </c>
      <c r="B13" s="117">
        <f t="shared" si="1"/>
        <v>37652</v>
      </c>
      <c r="C13" s="12" t="s">
        <v>177</v>
      </c>
      <c r="D13" s="12"/>
      <c r="E13" s="12"/>
      <c r="F13" s="12"/>
    </row>
    <row r="14" spans="1:17 16383:16383" x14ac:dyDescent="0.25">
      <c r="A14" s="117">
        <f t="shared" si="2"/>
        <v>37653</v>
      </c>
      <c r="B14" s="117">
        <f t="shared" si="1"/>
        <v>37741</v>
      </c>
      <c r="C14" s="12" t="s">
        <v>178</v>
      </c>
      <c r="D14" s="12"/>
      <c r="E14" s="12"/>
      <c r="F14" s="12" t="str">
        <f>C12</f>
        <v>(Case No. 2002-00261)</v>
      </c>
    </row>
    <row r="15" spans="1:17 16383:16383" x14ac:dyDescent="0.25">
      <c r="A15" s="117">
        <f t="shared" si="2"/>
        <v>37742</v>
      </c>
      <c r="B15" s="117">
        <f t="shared" si="1"/>
        <v>37833</v>
      </c>
      <c r="C15" s="12" t="s">
        <v>179</v>
      </c>
      <c r="D15" s="12"/>
      <c r="E15" s="12"/>
      <c r="F15" s="12" t="str">
        <f t="shared" ref="F15:F28" si="3">C13</f>
        <v>(Case No. 2002-00368)</v>
      </c>
    </row>
    <row r="16" spans="1:17 16383:16383" x14ac:dyDescent="0.25">
      <c r="A16" s="117">
        <f t="shared" si="2"/>
        <v>37834</v>
      </c>
      <c r="B16" s="117">
        <f t="shared" si="1"/>
        <v>37925</v>
      </c>
      <c r="C16" s="12" t="s">
        <v>180</v>
      </c>
      <c r="D16" s="12"/>
      <c r="E16" s="12"/>
      <c r="F16" s="12" t="str">
        <f t="shared" si="3"/>
        <v>(Case No. 2003-00004)</v>
      </c>
    </row>
    <row r="17" spans="1:6" x14ac:dyDescent="0.25">
      <c r="A17" s="117">
        <f t="shared" si="2"/>
        <v>37926</v>
      </c>
      <c r="B17" s="117">
        <f t="shared" si="1"/>
        <v>38017</v>
      </c>
      <c r="C17" s="12" t="s">
        <v>181</v>
      </c>
      <c r="D17" s="12"/>
      <c r="E17" s="12"/>
      <c r="F17" s="12" t="str">
        <f t="shared" si="3"/>
        <v>(Case No. 2003-00121)</v>
      </c>
    </row>
    <row r="18" spans="1:6" x14ac:dyDescent="0.25">
      <c r="A18" s="117">
        <f t="shared" si="2"/>
        <v>38018</v>
      </c>
      <c r="B18" s="117">
        <f t="shared" si="1"/>
        <v>38107</v>
      </c>
      <c r="C18" s="12" t="s">
        <v>182</v>
      </c>
      <c r="D18" s="12"/>
      <c r="E18" s="12"/>
      <c r="F18" s="12" t="str">
        <f t="shared" si="3"/>
        <v>(Case No. 2003-00260)</v>
      </c>
    </row>
    <row r="19" spans="1:6" x14ac:dyDescent="0.25">
      <c r="A19" s="117">
        <f t="shared" si="2"/>
        <v>38108</v>
      </c>
      <c r="B19" s="117">
        <f t="shared" si="1"/>
        <v>38199</v>
      </c>
      <c r="C19" s="12" t="s">
        <v>183</v>
      </c>
      <c r="D19" s="12"/>
      <c r="E19" s="12"/>
      <c r="F19" s="12" t="str">
        <f t="shared" si="3"/>
        <v>(Case No. 2003-00385)</v>
      </c>
    </row>
    <row r="20" spans="1:6" x14ac:dyDescent="0.25">
      <c r="A20" s="117">
        <f t="shared" si="2"/>
        <v>38200</v>
      </c>
      <c r="B20" s="117">
        <f t="shared" si="1"/>
        <v>38291</v>
      </c>
      <c r="C20" s="12" t="s">
        <v>184</v>
      </c>
      <c r="D20" s="12"/>
      <c r="E20" s="12"/>
      <c r="F20" s="12" t="str">
        <f t="shared" si="3"/>
        <v>(Case No. 2004-00506)</v>
      </c>
    </row>
    <row r="21" spans="1:6" x14ac:dyDescent="0.25">
      <c r="A21" s="117">
        <f t="shared" si="2"/>
        <v>38292</v>
      </c>
      <c r="B21" s="117">
        <f t="shared" si="1"/>
        <v>38383</v>
      </c>
      <c r="C21" s="12" t="s">
        <v>185</v>
      </c>
      <c r="D21" s="12"/>
      <c r="E21" s="12"/>
      <c r="F21" s="12" t="str">
        <f t="shared" si="3"/>
        <v>(Case No. 2004-00117)</v>
      </c>
    </row>
    <row r="22" spans="1:6" x14ac:dyDescent="0.25">
      <c r="A22" s="117">
        <f t="shared" si="2"/>
        <v>38384</v>
      </c>
      <c r="B22" s="117">
        <f t="shared" si="1"/>
        <v>38472</v>
      </c>
      <c r="C22" s="12" t="s">
        <v>186</v>
      </c>
      <c r="D22" s="12"/>
      <c r="E22" s="12"/>
      <c r="F22" s="12" t="str">
        <f t="shared" si="3"/>
        <v>(Case No. 2004-00271)</v>
      </c>
    </row>
    <row r="23" spans="1:6" x14ac:dyDescent="0.25">
      <c r="A23" s="117">
        <f t="shared" si="2"/>
        <v>38473</v>
      </c>
      <c r="B23" s="117">
        <f t="shared" si="1"/>
        <v>38564</v>
      </c>
      <c r="C23" s="12" t="s">
        <v>187</v>
      </c>
      <c r="D23" s="12"/>
      <c r="E23" s="12"/>
      <c r="F23" s="12" t="str">
        <f t="shared" si="3"/>
        <v>(Case No. 2004-00390)</v>
      </c>
    </row>
    <row r="24" spans="1:6" x14ac:dyDescent="0.25">
      <c r="A24" s="117">
        <f t="shared" si="2"/>
        <v>38565</v>
      </c>
      <c r="B24" s="117">
        <f t="shared" si="1"/>
        <v>38656</v>
      </c>
      <c r="C24" s="12" t="s">
        <v>193</v>
      </c>
      <c r="D24" s="12"/>
      <c r="E24" s="12"/>
      <c r="F24" s="12" t="str">
        <f t="shared" si="3"/>
        <v>(Case No. 2004-00526)</v>
      </c>
    </row>
    <row r="25" spans="1:6" x14ac:dyDescent="0.25">
      <c r="A25" s="117">
        <f t="shared" si="2"/>
        <v>38657</v>
      </c>
      <c r="B25" s="117">
        <f t="shared" si="1"/>
        <v>38748</v>
      </c>
      <c r="C25" s="12" t="s">
        <v>188</v>
      </c>
      <c r="D25" s="12"/>
      <c r="E25" s="12"/>
      <c r="F25" s="12" t="str">
        <f t="shared" si="3"/>
        <v>(Case No. 2005-00143)</v>
      </c>
    </row>
    <row r="26" spans="1:6" x14ac:dyDescent="0.25">
      <c r="A26" s="117">
        <f t="shared" si="2"/>
        <v>38749</v>
      </c>
      <c r="B26" s="117">
        <f t="shared" si="1"/>
        <v>38837</v>
      </c>
      <c r="C26" s="12" t="s">
        <v>189</v>
      </c>
      <c r="D26" s="12"/>
      <c r="E26" s="12"/>
      <c r="F26" s="12" t="str">
        <f t="shared" si="3"/>
        <v>(Case No. 2005-00274)</v>
      </c>
    </row>
    <row r="27" spans="1:6" x14ac:dyDescent="0.25">
      <c r="A27" s="117">
        <f t="shared" si="2"/>
        <v>38838</v>
      </c>
      <c r="B27" s="117">
        <f t="shared" si="1"/>
        <v>38929</v>
      </c>
      <c r="C27" s="12" t="s">
        <v>190</v>
      </c>
      <c r="D27" s="12"/>
      <c r="E27" s="12"/>
      <c r="F27" s="12" t="str">
        <f t="shared" si="3"/>
        <v>(Case No. 2005-00401)</v>
      </c>
    </row>
    <row r="28" spans="1:6" x14ac:dyDescent="0.25">
      <c r="A28" s="117">
        <f t="shared" si="2"/>
        <v>38930</v>
      </c>
      <c r="B28" s="117">
        <f t="shared" si="1"/>
        <v>39021</v>
      </c>
      <c r="C28" s="12" t="s">
        <v>191</v>
      </c>
      <c r="D28" s="12"/>
      <c r="E28" s="12"/>
      <c r="F28" s="12" t="str">
        <f t="shared" si="3"/>
        <v>(Case No. 2006-00005)</v>
      </c>
    </row>
    <row r="29" spans="1:6" x14ac:dyDescent="0.25">
      <c r="A29" s="117">
        <f t="shared" si="2"/>
        <v>39022</v>
      </c>
      <c r="B29" s="117">
        <f t="shared" si="1"/>
        <v>39113</v>
      </c>
      <c r="C29" s="12" t="s">
        <v>203</v>
      </c>
      <c r="D29" s="12"/>
      <c r="E29" s="12"/>
      <c r="F29" s="12" t="str">
        <f>C27</f>
        <v>(Case No. 2006-00138)</v>
      </c>
    </row>
    <row r="30" spans="1:6" x14ac:dyDescent="0.25">
      <c r="A30" s="117">
        <f t="shared" si="2"/>
        <v>39114</v>
      </c>
      <c r="B30" s="117">
        <f t="shared" si="1"/>
        <v>39202</v>
      </c>
      <c r="C30" s="12" t="s">
        <v>204</v>
      </c>
      <c r="D30" s="12"/>
      <c r="E30" s="12"/>
      <c r="F30" s="12" t="str">
        <f t="shared" ref="F30:F73" si="4">C28</f>
        <v>(Case No. 2006-00335)</v>
      </c>
    </row>
    <row r="31" spans="1:6" x14ac:dyDescent="0.25">
      <c r="A31" s="117">
        <f t="shared" si="2"/>
        <v>39203</v>
      </c>
      <c r="B31" s="117">
        <f t="shared" si="1"/>
        <v>39294</v>
      </c>
      <c r="C31" s="12" t="s">
        <v>205</v>
      </c>
      <c r="D31" s="12"/>
      <c r="E31" s="12"/>
      <c r="F31" s="12" t="str">
        <f t="shared" si="4"/>
        <v>(Case No. 2006-00431)</v>
      </c>
    </row>
    <row r="32" spans="1:6" x14ac:dyDescent="0.25">
      <c r="A32" s="117">
        <f t="shared" si="2"/>
        <v>39295</v>
      </c>
      <c r="B32" s="117">
        <f t="shared" si="1"/>
        <v>39386</v>
      </c>
      <c r="C32" s="12" t="s">
        <v>206</v>
      </c>
      <c r="D32" s="12"/>
      <c r="E32" s="12"/>
      <c r="F32" s="12" t="str">
        <f t="shared" si="4"/>
        <v>(Case No. 2007-00001)</v>
      </c>
    </row>
    <row r="33" spans="1:6" x14ac:dyDescent="0.25">
      <c r="A33" s="117">
        <f t="shared" si="2"/>
        <v>39387</v>
      </c>
      <c r="B33" s="117">
        <f t="shared" si="1"/>
        <v>39478</v>
      </c>
      <c r="C33" s="12" t="s">
        <v>207</v>
      </c>
      <c r="D33" s="12"/>
      <c r="E33" s="12"/>
      <c r="F33" s="12" t="str">
        <f t="shared" si="4"/>
        <v>(Case No. 2007-00141)</v>
      </c>
    </row>
    <row r="34" spans="1:6" x14ac:dyDescent="0.25">
      <c r="A34" s="117">
        <f t="shared" si="2"/>
        <v>39479</v>
      </c>
      <c r="B34" s="117">
        <f t="shared" si="1"/>
        <v>39568</v>
      </c>
      <c r="C34" s="12" t="s">
        <v>38</v>
      </c>
      <c r="D34" s="12"/>
      <c r="E34" s="12"/>
      <c r="F34" s="12" t="str">
        <f t="shared" si="4"/>
        <v>(Case No. 2007-00267)</v>
      </c>
    </row>
    <row r="35" spans="1:6" x14ac:dyDescent="0.25">
      <c r="A35" s="117">
        <f t="shared" si="2"/>
        <v>39569</v>
      </c>
      <c r="B35" s="117">
        <f t="shared" si="1"/>
        <v>39660</v>
      </c>
      <c r="C35" s="12" t="s">
        <v>213</v>
      </c>
      <c r="D35" s="12"/>
      <c r="E35" s="12"/>
      <c r="F35" s="12" t="str">
        <f t="shared" si="4"/>
        <v>(Case No. 2007-00428)</v>
      </c>
    </row>
    <row r="36" spans="1:6" x14ac:dyDescent="0.25">
      <c r="A36" s="117">
        <f t="shared" si="2"/>
        <v>39661</v>
      </c>
      <c r="B36" s="117">
        <f t="shared" si="1"/>
        <v>39752</v>
      </c>
      <c r="C36" s="12" t="s">
        <v>71</v>
      </c>
      <c r="D36" s="12"/>
      <c r="E36" s="12"/>
      <c r="F36" s="12" t="str">
        <f t="shared" si="4"/>
        <v>(Case No. 2007-00559)</v>
      </c>
    </row>
    <row r="37" spans="1:6" x14ac:dyDescent="0.25">
      <c r="A37" s="117">
        <f t="shared" si="2"/>
        <v>39753</v>
      </c>
      <c r="B37" s="117">
        <f t="shared" si="1"/>
        <v>39844</v>
      </c>
      <c r="C37" s="12" t="s">
        <v>1</v>
      </c>
      <c r="D37" s="12"/>
      <c r="E37" s="12"/>
      <c r="F37" s="12" t="str">
        <f t="shared" si="4"/>
        <v>(Case No. 2008-00117)</v>
      </c>
    </row>
    <row r="38" spans="1:6" x14ac:dyDescent="0.25">
      <c r="A38" s="117">
        <f t="shared" si="2"/>
        <v>39845</v>
      </c>
      <c r="B38" s="117">
        <f t="shared" si="1"/>
        <v>39933</v>
      </c>
      <c r="C38" s="12" t="s">
        <v>3</v>
      </c>
      <c r="D38" s="12"/>
      <c r="E38" s="12"/>
      <c r="F38" s="12" t="str">
        <f t="shared" si="4"/>
        <v>(Case No. 2008-00246)</v>
      </c>
    </row>
    <row r="39" spans="1:6" x14ac:dyDescent="0.25">
      <c r="A39" s="117">
        <f t="shared" si="2"/>
        <v>39934</v>
      </c>
      <c r="B39" s="117">
        <f t="shared" si="1"/>
        <v>40025</v>
      </c>
      <c r="C39" s="12" t="s">
        <v>2</v>
      </c>
      <c r="D39" s="12"/>
      <c r="E39" s="12"/>
      <c r="F39" s="12" t="str">
        <f t="shared" si="4"/>
        <v>(Case No. 2008-00430)</v>
      </c>
    </row>
    <row r="40" spans="1:6" x14ac:dyDescent="0.25">
      <c r="A40" s="117">
        <f t="shared" si="2"/>
        <v>40026</v>
      </c>
      <c r="B40" s="117">
        <f t="shared" si="1"/>
        <v>40117</v>
      </c>
      <c r="C40" s="12" t="s">
        <v>334</v>
      </c>
      <c r="D40" s="12"/>
      <c r="E40" s="12"/>
      <c r="F40" s="12" t="str">
        <f t="shared" si="4"/>
        <v>(Case No. 2008-00564)</v>
      </c>
    </row>
    <row r="41" spans="1:6" x14ac:dyDescent="0.25">
      <c r="A41" s="117">
        <f t="shared" si="2"/>
        <v>40118</v>
      </c>
      <c r="B41" s="117">
        <f t="shared" si="1"/>
        <v>40209</v>
      </c>
      <c r="C41" s="12" t="s">
        <v>335</v>
      </c>
      <c r="D41" s="12"/>
      <c r="E41" s="12"/>
      <c r="F41" s="12" t="str">
        <f t="shared" si="4"/>
        <v>(Case No. 2009-00140)</v>
      </c>
    </row>
    <row r="42" spans="1:6" x14ac:dyDescent="0.25">
      <c r="A42" s="117">
        <f t="shared" si="2"/>
        <v>40210</v>
      </c>
      <c r="B42" s="117">
        <f t="shared" si="1"/>
        <v>40298</v>
      </c>
      <c r="C42" s="12" t="s">
        <v>336</v>
      </c>
      <c r="D42" s="12"/>
      <c r="E42" s="12"/>
      <c r="F42" s="12" t="str">
        <f t="shared" si="4"/>
        <v>(Case No. 2009-00248)</v>
      </c>
    </row>
    <row r="43" spans="1:6" x14ac:dyDescent="0.25">
      <c r="A43" s="117">
        <f t="shared" si="2"/>
        <v>40299</v>
      </c>
      <c r="B43" s="117">
        <f t="shared" si="1"/>
        <v>40390</v>
      </c>
      <c r="C43" s="12" t="s">
        <v>337</v>
      </c>
      <c r="D43" s="12"/>
      <c r="E43" s="12"/>
      <c r="F43" s="12" t="str">
        <f t="shared" si="4"/>
        <v>(Case No. 2009-00395)</v>
      </c>
    </row>
    <row r="44" spans="1:6" x14ac:dyDescent="0.25">
      <c r="A44" s="117">
        <f t="shared" si="2"/>
        <v>40391</v>
      </c>
      <c r="B44" s="117">
        <f t="shared" si="1"/>
        <v>40482</v>
      </c>
      <c r="C44" s="12" t="s">
        <v>338</v>
      </c>
      <c r="D44" s="12"/>
      <c r="E44" s="12"/>
      <c r="F44" s="12" t="str">
        <f t="shared" si="4"/>
        <v>(Case No. 2009-00457)</v>
      </c>
    </row>
    <row r="45" spans="1:6" x14ac:dyDescent="0.25">
      <c r="A45" s="117">
        <f t="shared" si="2"/>
        <v>40483</v>
      </c>
      <c r="B45" s="117">
        <f t="shared" si="1"/>
        <v>40574</v>
      </c>
      <c r="C45" s="12" t="s">
        <v>339</v>
      </c>
      <c r="D45" s="12"/>
      <c r="E45" s="12"/>
      <c r="F45" s="12" t="str">
        <f t="shared" si="4"/>
        <v>(Case No. 2010-00140)</v>
      </c>
    </row>
    <row r="46" spans="1:6" x14ac:dyDescent="0.25">
      <c r="A46" s="117">
        <f t="shared" si="2"/>
        <v>40575</v>
      </c>
      <c r="B46" s="117">
        <f t="shared" si="1"/>
        <v>40663</v>
      </c>
      <c r="C46" s="12" t="s">
        <v>340</v>
      </c>
      <c r="D46" s="12"/>
      <c r="E46" s="12"/>
      <c r="F46" s="12" t="str">
        <f t="shared" si="4"/>
        <v>(Case No. 2010-00263)</v>
      </c>
    </row>
    <row r="47" spans="1:6" x14ac:dyDescent="0.25">
      <c r="A47" s="117">
        <f t="shared" si="2"/>
        <v>40664</v>
      </c>
      <c r="B47" s="117">
        <f t="shared" si="1"/>
        <v>40755</v>
      </c>
      <c r="C47" s="12" t="s">
        <v>290</v>
      </c>
      <c r="D47" s="12"/>
      <c r="E47" s="12"/>
      <c r="F47" s="12" t="str">
        <f t="shared" si="4"/>
        <v>(Case No. 2010-00387)</v>
      </c>
    </row>
    <row r="48" spans="1:6" x14ac:dyDescent="0.25">
      <c r="A48" s="117">
        <f t="shared" si="2"/>
        <v>40756</v>
      </c>
      <c r="B48" s="117">
        <f t="shared" si="1"/>
        <v>40847</v>
      </c>
      <c r="C48" s="12" t="s">
        <v>289</v>
      </c>
      <c r="D48" s="12"/>
      <c r="E48" s="12"/>
      <c r="F48" s="12" t="str">
        <f t="shared" si="4"/>
        <v>(Case No. 2010-00525)</v>
      </c>
    </row>
    <row r="49" spans="1:6" x14ac:dyDescent="0.25">
      <c r="A49" s="343">
        <f t="shared" si="2"/>
        <v>40848</v>
      </c>
      <c r="B49" s="117">
        <f t="shared" si="1"/>
        <v>40939</v>
      </c>
      <c r="C49" s="342" t="s">
        <v>288</v>
      </c>
      <c r="D49" s="342"/>
      <c r="E49" s="342"/>
      <c r="F49" s="12" t="str">
        <f t="shared" si="4"/>
        <v>2011-00119</v>
      </c>
    </row>
    <row r="50" spans="1:6" x14ac:dyDescent="0.25">
      <c r="A50" s="343">
        <f t="shared" si="2"/>
        <v>40940</v>
      </c>
      <c r="B50" s="117">
        <f t="shared" si="1"/>
        <v>41029</v>
      </c>
      <c r="C50" s="342" t="s">
        <v>232</v>
      </c>
      <c r="D50" s="342"/>
      <c r="E50" s="342"/>
      <c r="F50" s="12" t="str">
        <f t="shared" si="4"/>
        <v>2011-00228</v>
      </c>
    </row>
    <row r="51" spans="1:6" x14ac:dyDescent="0.25">
      <c r="A51" s="343">
        <f t="shared" si="2"/>
        <v>41030</v>
      </c>
      <c r="B51" s="117">
        <f t="shared" si="1"/>
        <v>41121</v>
      </c>
      <c r="C51" s="342" t="s">
        <v>260</v>
      </c>
      <c r="D51" s="342"/>
      <c r="E51" s="342"/>
      <c r="F51" s="12" t="str">
        <f t="shared" si="4"/>
        <v>2011-00402</v>
      </c>
    </row>
    <row r="52" spans="1:6" x14ac:dyDescent="0.25">
      <c r="A52" s="343">
        <v>41122</v>
      </c>
      <c r="B52" s="117">
        <f t="shared" ref="B52:B73" si="5">EOMONTH(A52,2)</f>
        <v>41213</v>
      </c>
      <c r="C52" s="342" t="s">
        <v>323</v>
      </c>
      <c r="D52" s="342"/>
      <c r="E52" s="342"/>
      <c r="F52" s="12" t="str">
        <f t="shared" si="4"/>
        <v>2011-00523</v>
      </c>
    </row>
    <row r="53" spans="1:6" x14ac:dyDescent="0.25">
      <c r="A53" s="343">
        <v>41214</v>
      </c>
      <c r="B53" s="117">
        <f t="shared" si="5"/>
        <v>41305</v>
      </c>
      <c r="C53" s="342" t="s">
        <v>347</v>
      </c>
      <c r="D53" s="342"/>
      <c r="E53" s="342"/>
      <c r="F53" s="12" t="str">
        <f t="shared" si="4"/>
        <v>2012-00125</v>
      </c>
    </row>
    <row r="54" spans="1:6" x14ac:dyDescent="0.25">
      <c r="A54" s="343">
        <v>41306</v>
      </c>
      <c r="B54" s="117">
        <f t="shared" si="5"/>
        <v>41394</v>
      </c>
      <c r="C54" s="342" t="s">
        <v>348</v>
      </c>
      <c r="D54" s="342"/>
      <c r="E54" s="342"/>
      <c r="F54" s="12" t="str">
        <f t="shared" si="4"/>
        <v>2012-00286</v>
      </c>
    </row>
    <row r="55" spans="1:6" x14ac:dyDescent="0.25">
      <c r="A55" s="343">
        <v>41395</v>
      </c>
      <c r="B55" s="117">
        <f t="shared" si="5"/>
        <v>41486</v>
      </c>
      <c r="C55" s="342" t="s">
        <v>358</v>
      </c>
      <c r="D55" s="342"/>
      <c r="E55" s="342"/>
      <c r="F55" s="12" t="str">
        <f t="shared" si="4"/>
        <v>2012-00446</v>
      </c>
    </row>
    <row r="56" spans="1:6" x14ac:dyDescent="0.25">
      <c r="A56" s="343">
        <v>41487</v>
      </c>
      <c r="B56" s="117">
        <f t="shared" si="5"/>
        <v>41578</v>
      </c>
      <c r="C56" s="342" t="s">
        <v>366</v>
      </c>
      <c r="D56" s="342"/>
      <c r="E56" s="342"/>
      <c r="F56" s="12" t="str">
        <f t="shared" si="4"/>
        <v>2012-00591</v>
      </c>
    </row>
    <row r="57" spans="1:6" x14ac:dyDescent="0.25">
      <c r="A57" s="343">
        <v>41579</v>
      </c>
      <c r="B57" s="117">
        <f t="shared" si="5"/>
        <v>41670</v>
      </c>
      <c r="C57" s="342" t="s">
        <v>378</v>
      </c>
      <c r="D57" s="342"/>
      <c r="E57" s="342"/>
      <c r="F57" s="12" t="str">
        <f t="shared" si="4"/>
        <v>2013-00126</v>
      </c>
    </row>
    <row r="58" spans="1:6" x14ac:dyDescent="0.25">
      <c r="A58" s="343">
        <v>41671</v>
      </c>
      <c r="B58" s="117">
        <f t="shared" si="5"/>
        <v>41759</v>
      </c>
      <c r="C58" s="342" t="s">
        <v>420</v>
      </c>
      <c r="D58" s="342"/>
      <c r="E58" s="342"/>
      <c r="F58" s="12" t="str">
        <f t="shared" si="4"/>
        <v>2013-00253</v>
      </c>
    </row>
    <row r="59" spans="1:6" x14ac:dyDescent="0.25">
      <c r="A59" s="343">
        <v>41760</v>
      </c>
      <c r="B59" s="117">
        <f t="shared" si="5"/>
        <v>41851</v>
      </c>
      <c r="C59" s="342" t="s">
        <v>423</v>
      </c>
      <c r="D59" s="342"/>
      <c r="E59" s="342"/>
      <c r="F59" s="12" t="str">
        <f t="shared" si="4"/>
        <v>2013-00361</v>
      </c>
    </row>
    <row r="60" spans="1:6" x14ac:dyDescent="0.25">
      <c r="A60" s="343">
        <v>41852</v>
      </c>
      <c r="B60" s="117">
        <f t="shared" si="5"/>
        <v>41943</v>
      </c>
      <c r="C60" s="342" t="s">
        <v>430</v>
      </c>
      <c r="D60" s="342"/>
      <c r="E60" s="342"/>
      <c r="F60" s="12" t="str">
        <f t="shared" si="4"/>
        <v>2013-00486</v>
      </c>
    </row>
    <row r="61" spans="1:6" x14ac:dyDescent="0.25">
      <c r="A61" s="343">
        <v>41944</v>
      </c>
      <c r="B61" s="117">
        <f t="shared" si="5"/>
        <v>42035</v>
      </c>
      <c r="C61" s="342" t="s">
        <v>433</v>
      </c>
      <c r="D61" s="342"/>
      <c r="E61" s="342"/>
      <c r="F61" s="12" t="str">
        <f t="shared" si="4"/>
        <v>2014-00115</v>
      </c>
    </row>
    <row r="62" spans="1:6" x14ac:dyDescent="0.25">
      <c r="A62" s="343">
        <v>42036</v>
      </c>
      <c r="B62" s="117">
        <f t="shared" si="5"/>
        <v>42124</v>
      </c>
      <c r="C62" s="342" t="s">
        <v>434</v>
      </c>
      <c r="D62" s="342"/>
      <c r="E62" s="342"/>
      <c r="F62" s="12" t="str">
        <f t="shared" si="4"/>
        <v>2014-00217</v>
      </c>
    </row>
    <row r="63" spans="1:6" x14ac:dyDescent="0.25">
      <c r="A63" s="343">
        <v>42125</v>
      </c>
      <c r="B63" s="117">
        <f t="shared" si="5"/>
        <v>42216</v>
      </c>
      <c r="C63" s="342" t="s">
        <v>437</v>
      </c>
      <c r="D63" s="342"/>
      <c r="E63" s="342"/>
      <c r="F63" s="12" t="str">
        <f t="shared" si="4"/>
        <v>2014-00348</v>
      </c>
    </row>
    <row r="64" spans="1:6" x14ac:dyDescent="0.25">
      <c r="A64" s="343">
        <v>42217</v>
      </c>
      <c r="B64" s="117">
        <f t="shared" si="5"/>
        <v>42308</v>
      </c>
      <c r="C64" s="342" t="s">
        <v>450</v>
      </c>
      <c r="D64" s="342"/>
      <c r="E64" s="342"/>
      <c r="F64" s="12" t="str">
        <f t="shared" si="4"/>
        <v>2014-00475</v>
      </c>
    </row>
    <row r="65" spans="1:17" x14ac:dyDescent="0.25">
      <c r="A65" s="343">
        <v>42309</v>
      </c>
      <c r="B65" s="117">
        <f t="shared" si="5"/>
        <v>42400</v>
      </c>
      <c r="C65" s="342" t="s">
        <v>472</v>
      </c>
      <c r="D65" s="342"/>
      <c r="E65" s="342"/>
      <c r="F65" s="12" t="str">
        <f t="shared" si="4"/>
        <v>2015-00105</v>
      </c>
    </row>
    <row r="66" spans="1:17" x14ac:dyDescent="0.25">
      <c r="A66" s="343">
        <v>42401</v>
      </c>
      <c r="B66" s="117">
        <f t="shared" si="5"/>
        <v>42490</v>
      </c>
      <c r="C66" s="342" t="s">
        <v>494</v>
      </c>
      <c r="D66" s="342"/>
      <c r="E66" s="342"/>
      <c r="F66" s="12" t="str">
        <f t="shared" si="4"/>
        <v>2015-00218</v>
      </c>
    </row>
    <row r="67" spans="1:17" x14ac:dyDescent="0.25">
      <c r="A67" s="343">
        <v>42491</v>
      </c>
      <c r="B67" s="117">
        <f t="shared" si="5"/>
        <v>42582</v>
      </c>
      <c r="C67" s="342" t="s">
        <v>556</v>
      </c>
      <c r="D67" s="342"/>
      <c r="E67" s="342"/>
      <c r="F67" s="12" t="str">
        <f t="shared" si="4"/>
        <v>2015-00329</v>
      </c>
    </row>
    <row r="68" spans="1:17" x14ac:dyDescent="0.25">
      <c r="A68" s="343">
        <v>42583</v>
      </c>
      <c r="B68" s="117">
        <f t="shared" si="5"/>
        <v>42674</v>
      </c>
      <c r="C68" s="342" t="s">
        <v>549</v>
      </c>
      <c r="D68" s="342"/>
      <c r="E68" s="342"/>
      <c r="F68" s="12" t="str">
        <f t="shared" si="4"/>
        <v>2015-00429</v>
      </c>
    </row>
    <row r="69" spans="1:17" x14ac:dyDescent="0.25">
      <c r="A69" s="343">
        <v>42675</v>
      </c>
      <c r="B69" s="117">
        <f t="shared" si="5"/>
        <v>42766</v>
      </c>
      <c r="C69" s="342" t="s">
        <v>555</v>
      </c>
      <c r="D69" s="342"/>
      <c r="E69" s="342"/>
      <c r="F69" s="12" t="str">
        <f t="shared" si="4"/>
        <v>2016-00137</v>
      </c>
    </row>
    <row r="70" spans="1:17" x14ac:dyDescent="0.25">
      <c r="A70" s="343">
        <v>42767</v>
      </c>
      <c r="B70" s="117">
        <f t="shared" si="5"/>
        <v>42855</v>
      </c>
      <c r="C70" s="342" t="s">
        <v>557</v>
      </c>
      <c r="D70" s="342"/>
      <c r="E70" s="342"/>
      <c r="F70" s="12" t="str">
        <f t="shared" si="4"/>
        <v>2016-00225</v>
      </c>
    </row>
    <row r="71" spans="1:17" x14ac:dyDescent="0.25">
      <c r="A71" s="343">
        <v>42856</v>
      </c>
      <c r="B71" s="117">
        <f t="shared" si="5"/>
        <v>42947</v>
      </c>
      <c r="C71" s="342" t="s">
        <v>560</v>
      </c>
      <c r="D71" s="342"/>
      <c r="E71" s="342"/>
      <c r="F71" s="12" t="str">
        <f t="shared" si="4"/>
        <v>2016-00353</v>
      </c>
    </row>
    <row r="72" spans="1:17" x14ac:dyDescent="0.25">
      <c r="A72" s="343">
        <v>42948</v>
      </c>
      <c r="B72" s="117">
        <f t="shared" si="5"/>
        <v>43039</v>
      </c>
      <c r="C72" s="342" t="s">
        <v>561</v>
      </c>
      <c r="D72" s="342"/>
      <c r="E72" s="342"/>
      <c r="F72" s="12" t="str">
        <f t="shared" si="4"/>
        <v>2016-00428</v>
      </c>
      <c r="G72" s="423"/>
      <c r="H72" s="424"/>
    </row>
    <row r="73" spans="1:17" x14ac:dyDescent="0.25">
      <c r="A73" s="343">
        <v>43040</v>
      </c>
      <c r="B73" s="117">
        <f t="shared" si="5"/>
        <v>43131</v>
      </c>
      <c r="C73" s="342" t="s">
        <v>575</v>
      </c>
      <c r="D73" s="342"/>
      <c r="E73" s="342"/>
      <c r="F73" s="12" t="str">
        <f t="shared" si="4"/>
        <v>2017-00131</v>
      </c>
      <c r="G73" s="423"/>
      <c r="H73" s="424"/>
    </row>
    <row r="74" spans="1:17" x14ac:dyDescent="0.25">
      <c r="A74" s="343">
        <v>43132</v>
      </c>
      <c r="B74" s="117">
        <f t="shared" ref="B74:B85" si="6">EOMONTH(A74,2)</f>
        <v>43220</v>
      </c>
      <c r="C74" s="342" t="s">
        <v>577</v>
      </c>
      <c r="D74" s="342"/>
      <c r="E74" s="342"/>
      <c r="F74" s="12" t="str">
        <f t="shared" ref="F74:F103" si="7">C72</f>
        <v>2017-00235</v>
      </c>
      <c r="G74" s="423">
        <v>-5.11E-2</v>
      </c>
      <c r="H74" s="424">
        <v>-5.11E-3</v>
      </c>
      <c r="M74" s="424"/>
    </row>
    <row r="75" spans="1:17" x14ac:dyDescent="0.25">
      <c r="A75" s="343">
        <v>43221</v>
      </c>
      <c r="B75" s="117">
        <f t="shared" si="6"/>
        <v>43312</v>
      </c>
      <c r="C75" s="342" t="s">
        <v>578</v>
      </c>
      <c r="D75" s="342"/>
      <c r="E75" s="342"/>
      <c r="F75" s="12" t="str">
        <f t="shared" si="7"/>
        <v>2017-00364</v>
      </c>
      <c r="G75" s="423">
        <v>-3.3999999999999998E-3</v>
      </c>
      <c r="H75" s="424">
        <v>-3.4000000000000002E-4</v>
      </c>
      <c r="L75" s="423"/>
      <c r="M75" s="424"/>
    </row>
    <row r="76" spans="1:17" x14ac:dyDescent="0.25">
      <c r="A76" s="343">
        <v>43313</v>
      </c>
      <c r="B76" s="117">
        <f t="shared" si="6"/>
        <v>43404</v>
      </c>
      <c r="C76" s="342" t="s">
        <v>586</v>
      </c>
      <c r="D76" s="342">
        <v>3.964</v>
      </c>
      <c r="E76" s="342">
        <v>0.39639999999999997</v>
      </c>
      <c r="F76" s="12" t="str">
        <f t="shared" si="7"/>
        <v>2017-00457</v>
      </c>
      <c r="G76" s="423">
        <v>0.15010000000000001</v>
      </c>
      <c r="H76" s="424">
        <v>1.5010000000000001E-2</v>
      </c>
      <c r="I76" s="423">
        <v>0.83299999999999996</v>
      </c>
      <c r="J76" s="423">
        <v>0.85</v>
      </c>
      <c r="K76" s="423">
        <v>0.16569999999999999</v>
      </c>
      <c r="L76" s="423">
        <v>2.3E-3</v>
      </c>
      <c r="M76" s="424">
        <v>2.3000000000000001E-4</v>
      </c>
      <c r="N76" s="3">
        <v>0</v>
      </c>
      <c r="O76" s="3">
        <v>0</v>
      </c>
      <c r="P76" s="423">
        <v>0</v>
      </c>
      <c r="Q76" s="424">
        <v>0</v>
      </c>
    </row>
    <row r="77" spans="1:17" x14ac:dyDescent="0.25">
      <c r="A77" s="343">
        <v>43405</v>
      </c>
      <c r="B77" s="117">
        <f t="shared" si="6"/>
        <v>43496</v>
      </c>
      <c r="C77" s="342" t="s">
        <v>593</v>
      </c>
      <c r="D77" s="342">
        <v>3.8913000000000002</v>
      </c>
      <c r="E77" s="342">
        <v>0.38912999999999998</v>
      </c>
      <c r="F77" s="12" t="str">
        <f t="shared" si="7"/>
        <v>2018-00088</v>
      </c>
      <c r="G77" s="423">
        <v>-3.2500000000000001E-2</v>
      </c>
      <c r="H77" s="424">
        <v>-3.2499999999999999E-3</v>
      </c>
      <c r="I77" s="423">
        <v>0.81379999999999997</v>
      </c>
      <c r="J77" s="423">
        <v>0.83079999999999998</v>
      </c>
      <c r="K77" s="423">
        <v>0.1648</v>
      </c>
      <c r="L77" s="423">
        <v>-2.8999999999999998E-3</v>
      </c>
      <c r="M77" s="424">
        <v>-2.9E-4</v>
      </c>
      <c r="N77" s="3">
        <v>0</v>
      </c>
      <c r="O77" s="3">
        <v>0</v>
      </c>
      <c r="P77" s="423">
        <v>0</v>
      </c>
      <c r="Q77" s="424">
        <v>0</v>
      </c>
    </row>
    <row r="78" spans="1:17" x14ac:dyDescent="0.25">
      <c r="A78" s="343">
        <v>43497</v>
      </c>
      <c r="B78" s="117">
        <f t="shared" si="6"/>
        <v>43585</v>
      </c>
      <c r="C78" s="342" t="s">
        <v>599</v>
      </c>
      <c r="D78" s="342">
        <v>4.0709</v>
      </c>
      <c r="E78" s="342">
        <v>0.40709000000000001</v>
      </c>
      <c r="F78" s="12" t="str">
        <f t="shared" si="7"/>
        <v>2018-00182</v>
      </c>
      <c r="G78" s="423">
        <v>-3.3300000000000003E-2</v>
      </c>
      <c r="H78" s="424">
        <v>-3.3300000000000001E-3</v>
      </c>
      <c r="I78" s="423">
        <v>0.81710000000000005</v>
      </c>
      <c r="J78" s="423">
        <v>0.8377</v>
      </c>
      <c r="K78" s="423">
        <v>0.1648</v>
      </c>
      <c r="L78" s="423">
        <v>-4.8999999999999998E-3</v>
      </c>
      <c r="M78" s="424">
        <v>-4.8999999999999998E-4</v>
      </c>
      <c r="N78" s="3">
        <v>0</v>
      </c>
      <c r="O78" s="3">
        <v>0</v>
      </c>
      <c r="P78" s="423">
        <v>0</v>
      </c>
      <c r="Q78" s="424">
        <v>0</v>
      </c>
    </row>
    <row r="79" spans="1:17" x14ac:dyDescent="0.25">
      <c r="A79" s="343">
        <v>43586</v>
      </c>
      <c r="B79" s="117">
        <f t="shared" si="6"/>
        <v>43677</v>
      </c>
      <c r="C79" s="342" t="s">
        <v>600</v>
      </c>
      <c r="D79" s="342">
        <v>3.7871000000000001</v>
      </c>
      <c r="E79" s="342">
        <v>0.37870999999999999</v>
      </c>
      <c r="F79" s="12" t="str">
        <f t="shared" si="7"/>
        <v>2018-00302</v>
      </c>
      <c r="G79" s="423">
        <v>0.43049999999999999</v>
      </c>
      <c r="H79" s="424">
        <v>4.3049999999999998E-2</v>
      </c>
      <c r="I79" s="423">
        <v>0.8175</v>
      </c>
      <c r="J79" s="423">
        <v>0.83809999999999996</v>
      </c>
      <c r="K79" s="423">
        <v>0.1648</v>
      </c>
      <c r="L79" s="423">
        <v>-3.5999999999999999E-3</v>
      </c>
      <c r="M79" s="424">
        <v>-3.6000000000000002E-4</v>
      </c>
      <c r="N79" s="3">
        <v>0</v>
      </c>
      <c r="O79" s="3">
        <v>0</v>
      </c>
      <c r="P79" s="423">
        <v>0</v>
      </c>
      <c r="Q79" s="424">
        <v>0</v>
      </c>
    </row>
    <row r="80" spans="1:17" x14ac:dyDescent="0.25">
      <c r="A80" s="343">
        <v>43678</v>
      </c>
      <c r="B80" s="117">
        <f t="shared" si="6"/>
        <v>43769</v>
      </c>
      <c r="C80" s="342" t="s">
        <v>602</v>
      </c>
      <c r="D80" s="342">
        <v>3.1084000000000001</v>
      </c>
      <c r="E80" s="342">
        <v>0.31084000000000001</v>
      </c>
      <c r="F80" s="12" t="str">
        <f t="shared" si="7"/>
        <v>2018-00403</v>
      </c>
      <c r="G80" s="423">
        <v>-5.3400000000000003E-2</v>
      </c>
      <c r="H80" s="424">
        <v>-5.3400000000000001E-3</v>
      </c>
      <c r="I80" s="423">
        <v>0.81799999999999995</v>
      </c>
      <c r="J80" s="423">
        <v>0.83860000000000001</v>
      </c>
      <c r="K80" s="423">
        <v>0.161</v>
      </c>
      <c r="L80" s="423">
        <v>1.4E-3</v>
      </c>
      <c r="M80" s="424">
        <v>1.3999999999999999E-4</v>
      </c>
      <c r="N80" s="3">
        <v>0</v>
      </c>
      <c r="O80" s="3">
        <v>0</v>
      </c>
      <c r="P80" s="423">
        <v>0</v>
      </c>
      <c r="Q80" s="424">
        <v>0</v>
      </c>
    </row>
    <row r="81" spans="1:17" x14ac:dyDescent="0.25">
      <c r="A81" s="343">
        <v>43770</v>
      </c>
      <c r="B81" s="117">
        <f t="shared" si="6"/>
        <v>43861</v>
      </c>
      <c r="C81" s="342" t="s">
        <v>607</v>
      </c>
      <c r="D81" s="342">
        <v>3.4847999999999999</v>
      </c>
      <c r="E81" s="342">
        <v>0.34848000000000001</v>
      </c>
      <c r="F81" s="12" t="str">
        <f t="shared" si="7"/>
        <v>2019-00078</v>
      </c>
      <c r="G81" s="423">
        <v>-4.9299999999999997E-2</v>
      </c>
      <c r="H81" s="424">
        <v>-4.9300000000000004E-3</v>
      </c>
      <c r="I81" s="423">
        <v>0.8236</v>
      </c>
      <c r="J81" s="423">
        <v>0.84419999999999995</v>
      </c>
      <c r="K81" s="423">
        <v>0.16270000000000001</v>
      </c>
      <c r="L81" s="423">
        <v>-2.3E-3</v>
      </c>
      <c r="M81" s="424">
        <v>-2.3000000000000001E-4</v>
      </c>
      <c r="N81" s="3">
        <v>0</v>
      </c>
      <c r="O81" s="3">
        <v>0</v>
      </c>
      <c r="P81" s="423">
        <v>0</v>
      </c>
      <c r="Q81" s="424">
        <v>0</v>
      </c>
    </row>
    <row r="82" spans="1:17" x14ac:dyDescent="0.25">
      <c r="A82" s="343">
        <v>43862</v>
      </c>
      <c r="B82" s="117">
        <f t="shared" si="6"/>
        <v>43951</v>
      </c>
      <c r="C82" s="342" t="s">
        <v>608</v>
      </c>
      <c r="D82" s="342">
        <v>3.0407000000000002</v>
      </c>
      <c r="E82" s="342">
        <v>0.30407000000000001</v>
      </c>
      <c r="F82" s="12" t="str">
        <f t="shared" si="7"/>
        <v>2019-00179</v>
      </c>
      <c r="G82" s="423">
        <v>-5.4100000000000002E-2</v>
      </c>
      <c r="H82" s="424">
        <v>-5.4099999999999999E-3</v>
      </c>
      <c r="I82" s="423">
        <v>0.82689999999999997</v>
      </c>
      <c r="J82" s="423">
        <v>0.85629999999999995</v>
      </c>
      <c r="K82" s="423">
        <v>0.16259999999999999</v>
      </c>
      <c r="L82" s="423">
        <v>-6.9999999999999999E-4</v>
      </c>
      <c r="M82" s="424">
        <v>-6.9999999999999994E-5</v>
      </c>
      <c r="N82" s="3">
        <v>0</v>
      </c>
      <c r="O82" s="3">
        <v>0</v>
      </c>
      <c r="P82" s="423">
        <v>0</v>
      </c>
      <c r="Q82" s="424">
        <v>0</v>
      </c>
    </row>
    <row r="83" spans="1:17" x14ac:dyDescent="0.25">
      <c r="A83" s="343">
        <v>43952</v>
      </c>
      <c r="B83" s="117">
        <f t="shared" si="6"/>
        <v>44043</v>
      </c>
      <c r="C83" s="342" t="s">
        <v>611</v>
      </c>
      <c r="D83" s="342">
        <v>2.5918000000000001</v>
      </c>
      <c r="E83" s="342">
        <v>0.25918000000000002</v>
      </c>
      <c r="F83" s="12" t="str">
        <f t="shared" si="7"/>
        <v>2019-00327</v>
      </c>
      <c r="G83" s="423">
        <v>3.6799999999999999E-2</v>
      </c>
      <c r="H83" s="424">
        <v>3.6800000000000001E-3</v>
      </c>
      <c r="I83" s="423">
        <v>0.83109999999999995</v>
      </c>
      <c r="J83" s="423">
        <v>0.86050000000000004</v>
      </c>
      <c r="K83" s="423">
        <v>0.16259999999999999</v>
      </c>
      <c r="L83" s="423">
        <v>-1.72E-2</v>
      </c>
      <c r="M83" s="424">
        <v>-1.72E-3</v>
      </c>
      <c r="N83" s="3">
        <v>0</v>
      </c>
      <c r="O83" s="3">
        <v>0</v>
      </c>
      <c r="P83" s="423">
        <v>0</v>
      </c>
      <c r="Q83" s="424">
        <v>0</v>
      </c>
    </row>
    <row r="84" spans="1:17" x14ac:dyDescent="0.25">
      <c r="A84" s="343">
        <v>44044</v>
      </c>
      <c r="B84" s="117">
        <f t="shared" si="6"/>
        <v>44135</v>
      </c>
      <c r="C84" s="342" t="s">
        <v>648</v>
      </c>
      <c r="D84" s="342">
        <v>2.6113</v>
      </c>
      <c r="E84" s="342">
        <v>0.26112999999999997</v>
      </c>
      <c r="F84" s="12" t="str">
        <f t="shared" si="7"/>
        <v>2019-00436</v>
      </c>
      <c r="G84" s="453">
        <v>4.5600000000000002E-2</v>
      </c>
      <c r="H84" s="453">
        <v>4.5599999999999998E-3</v>
      </c>
      <c r="I84" s="453">
        <v>0.83279999999999998</v>
      </c>
      <c r="J84" s="453">
        <v>0.86219999999999997</v>
      </c>
      <c r="K84" s="453">
        <v>0.16259999999999999</v>
      </c>
      <c r="L84" s="453">
        <v>0.37490000000000001</v>
      </c>
      <c r="M84" s="453">
        <v>3.7490000000000002E-2</v>
      </c>
      <c r="N84" s="3">
        <v>0</v>
      </c>
      <c r="O84" s="3">
        <v>0</v>
      </c>
      <c r="P84" s="423">
        <v>0</v>
      </c>
      <c r="Q84" s="424">
        <v>0</v>
      </c>
    </row>
    <row r="85" spans="1:17" x14ac:dyDescent="0.25">
      <c r="A85" s="343">
        <v>44136</v>
      </c>
      <c r="B85" s="117">
        <f t="shared" si="6"/>
        <v>44227</v>
      </c>
      <c r="C85" s="342" t="s">
        <v>721</v>
      </c>
      <c r="D85" s="342">
        <v>3.5640000000000001</v>
      </c>
      <c r="E85" s="342">
        <v>0.35639999999999999</v>
      </c>
      <c r="F85" s="12" t="str">
        <f t="shared" si="7"/>
        <v>2020-00070</v>
      </c>
      <c r="G85" s="466">
        <v>-3.2000000000000002E-3</v>
      </c>
      <c r="H85" s="467">
        <v>-3.2000000000000003E-4</v>
      </c>
      <c r="I85" s="453">
        <v>0.84940000000000004</v>
      </c>
      <c r="J85" s="453">
        <v>0.87880000000000003</v>
      </c>
      <c r="K85" s="453">
        <v>0.1666</v>
      </c>
      <c r="L85" s="466">
        <v>-8.0000000000000002E-3</v>
      </c>
      <c r="M85" s="467">
        <v>-8.0000000000000004E-4</v>
      </c>
      <c r="N85" s="3">
        <v>0</v>
      </c>
      <c r="O85" s="3">
        <v>0</v>
      </c>
      <c r="P85" s="423">
        <v>0</v>
      </c>
      <c r="Q85" s="424">
        <v>0</v>
      </c>
    </row>
    <row r="86" spans="1:17" x14ac:dyDescent="0.25">
      <c r="A86" s="343">
        <v>44228</v>
      </c>
      <c r="B86" s="117">
        <f t="shared" ref="B86:B98" si="8">EOMONTH(A86,2)</f>
        <v>44316</v>
      </c>
      <c r="C86" s="342" t="s">
        <v>735</v>
      </c>
      <c r="D86" s="342">
        <v>3.0794999999999999</v>
      </c>
      <c r="E86" s="342">
        <v>0.30795</v>
      </c>
      <c r="F86" s="12" t="str">
        <f t="shared" si="7"/>
        <v>2020-00204</v>
      </c>
      <c r="G86" s="466">
        <v>-1.09E-2</v>
      </c>
      <c r="H86" s="467">
        <v>-1.09E-3</v>
      </c>
      <c r="I86" s="453">
        <v>0.84970000000000001</v>
      </c>
      <c r="J86" s="453">
        <v>0.87739999999999996</v>
      </c>
      <c r="K86" s="453">
        <v>0.16669999999999999</v>
      </c>
      <c r="L86" s="466">
        <v>-5.1000000000000004E-3</v>
      </c>
      <c r="M86" s="467">
        <v>-5.1000000000000004E-4</v>
      </c>
      <c r="N86" s="3">
        <v>0</v>
      </c>
      <c r="O86" s="3">
        <v>0</v>
      </c>
      <c r="P86" s="423">
        <v>0</v>
      </c>
      <c r="Q86" s="424">
        <v>0</v>
      </c>
    </row>
    <row r="87" spans="1:17" x14ac:dyDescent="0.25">
      <c r="A87" s="343">
        <v>44317</v>
      </c>
      <c r="B87" s="117">
        <f t="shared" si="8"/>
        <v>44408</v>
      </c>
      <c r="C87" s="342" t="s">
        <v>738</v>
      </c>
      <c r="D87" s="342">
        <v>3.4931000000000001</v>
      </c>
      <c r="E87" s="342">
        <v>0.34931000000000001</v>
      </c>
      <c r="F87" s="12" t="str">
        <f t="shared" si="7"/>
        <v>2020-00309</v>
      </c>
      <c r="G87" s="466">
        <v>-5.3400000000000003E-2</v>
      </c>
      <c r="H87" s="467">
        <v>-5.3400000000000001E-3</v>
      </c>
      <c r="I87" s="453">
        <v>0.84819999999999995</v>
      </c>
      <c r="J87" s="453">
        <v>0.87590000000000001</v>
      </c>
      <c r="K87" s="453">
        <v>0.16669999999999999</v>
      </c>
      <c r="L87" s="466">
        <v>-4.58E-2</v>
      </c>
      <c r="M87" s="467">
        <v>-4.5799999999999999E-3</v>
      </c>
      <c r="N87" s="3">
        <v>0</v>
      </c>
      <c r="O87" s="3">
        <v>0</v>
      </c>
      <c r="P87" s="423">
        <v>0</v>
      </c>
      <c r="Q87" s="424">
        <v>0</v>
      </c>
    </row>
    <row r="88" spans="1:17" x14ac:dyDescent="0.25">
      <c r="A88" s="343">
        <v>44409</v>
      </c>
      <c r="B88" s="117">
        <f t="shared" si="8"/>
        <v>44500</v>
      </c>
      <c r="C88" s="342" t="s">
        <v>739</v>
      </c>
      <c r="D88" s="342">
        <v>4.2441000000000004</v>
      </c>
      <c r="E88" s="342">
        <v>0.42441000000000001</v>
      </c>
      <c r="F88" s="12" t="str">
        <f t="shared" si="7"/>
        <v>2020-00401</v>
      </c>
      <c r="G88" s="466">
        <v>0.29360000000000003</v>
      </c>
      <c r="H88" s="467">
        <v>2.9360000000000001E-2</v>
      </c>
      <c r="I88" s="453">
        <v>0.84740000000000004</v>
      </c>
      <c r="J88" s="453">
        <v>0.87509999999999999</v>
      </c>
      <c r="K88" s="453">
        <v>0.16669999999999999</v>
      </c>
      <c r="L88" s="466">
        <v>5.6399999999999999E-2</v>
      </c>
      <c r="M88" s="467">
        <v>5.64E-3</v>
      </c>
      <c r="N88" s="3">
        <v>0</v>
      </c>
      <c r="O88" s="3">
        <v>0</v>
      </c>
      <c r="P88" s="423">
        <v>0</v>
      </c>
      <c r="Q88" s="424">
        <v>0</v>
      </c>
    </row>
    <row r="89" spans="1:17" x14ac:dyDescent="0.25">
      <c r="A89" s="343">
        <v>44501</v>
      </c>
      <c r="B89" s="117">
        <f t="shared" si="8"/>
        <v>44592</v>
      </c>
      <c r="C89" s="342" t="s">
        <v>742</v>
      </c>
      <c r="D89" s="342">
        <v>5.5305999999999997</v>
      </c>
      <c r="E89" s="342">
        <v>0.55306</v>
      </c>
      <c r="F89" s="12" t="str">
        <f t="shared" si="7"/>
        <v>2021-00130</v>
      </c>
      <c r="G89" s="466">
        <v>7.3999999999999996E-2</v>
      </c>
      <c r="H89" s="467">
        <v>7.4000000000000003E-3</v>
      </c>
      <c r="I89" s="453">
        <v>0.88160000000000005</v>
      </c>
      <c r="J89" s="453">
        <v>0.9093</v>
      </c>
      <c r="K89" s="453">
        <v>0.1696</v>
      </c>
      <c r="L89" s="466">
        <v>2.3E-3</v>
      </c>
      <c r="M89" s="467">
        <v>2.3000000000000001E-4</v>
      </c>
      <c r="N89" s="3">
        <v>0</v>
      </c>
      <c r="O89" s="3">
        <v>0</v>
      </c>
      <c r="P89" s="423">
        <v>0</v>
      </c>
      <c r="Q89" s="424">
        <v>0</v>
      </c>
    </row>
    <row r="90" spans="1:17" x14ac:dyDescent="0.25">
      <c r="A90" s="343">
        <v>44593</v>
      </c>
      <c r="B90" s="117">
        <f t="shared" si="8"/>
        <v>44681</v>
      </c>
      <c r="C90" s="342" t="s">
        <v>747</v>
      </c>
      <c r="D90" s="342">
        <v>4.6096000000000004</v>
      </c>
      <c r="E90" s="342">
        <v>0.46095999999999998</v>
      </c>
      <c r="F90" s="12" t="str">
        <f t="shared" si="7"/>
        <v>2021-00251</v>
      </c>
      <c r="G90" s="466">
        <v>8.4900000000000003E-2</v>
      </c>
      <c r="H90" s="467">
        <v>8.4899999999999993E-3</v>
      </c>
      <c r="I90" s="453">
        <v>0.88300000000000001</v>
      </c>
      <c r="J90" s="453">
        <v>0.90900000000000003</v>
      </c>
      <c r="K90" s="453">
        <v>0.16980000000000001</v>
      </c>
      <c r="L90" s="466">
        <v>5.9999999999999995E-4</v>
      </c>
      <c r="M90" s="467">
        <v>6.0000000000000002E-5</v>
      </c>
      <c r="N90" s="3">
        <v>0</v>
      </c>
      <c r="O90" s="3">
        <v>0</v>
      </c>
      <c r="P90" s="423">
        <v>0</v>
      </c>
      <c r="Q90" s="424">
        <v>0</v>
      </c>
    </row>
    <row r="91" spans="1:17" x14ac:dyDescent="0.25">
      <c r="A91" s="343">
        <v>44682</v>
      </c>
      <c r="B91" s="117">
        <f t="shared" si="8"/>
        <v>44773</v>
      </c>
      <c r="C91" s="342" t="s">
        <v>752</v>
      </c>
      <c r="D91" s="342">
        <v>6.5997000000000003</v>
      </c>
      <c r="E91" s="342">
        <v>0.65996999999999995</v>
      </c>
      <c r="F91" s="12" t="str">
        <f>C89</f>
        <v>2021-00368</v>
      </c>
      <c r="G91" s="466">
        <v>0.1132</v>
      </c>
      <c r="H91" s="467">
        <v>1.132E-2</v>
      </c>
      <c r="I91" s="453">
        <v>0.8831</v>
      </c>
      <c r="J91" s="453">
        <v>0.90910000000000002</v>
      </c>
      <c r="K91" s="453">
        <v>0.16980000000000001</v>
      </c>
      <c r="L91" s="453">
        <v>-4.1999999999999997E-3</v>
      </c>
      <c r="M91" s="453">
        <v>-4.2000000000000002E-4</v>
      </c>
      <c r="N91" s="3">
        <v>0</v>
      </c>
      <c r="O91" s="3">
        <v>0</v>
      </c>
      <c r="P91" s="423">
        <v>0</v>
      </c>
      <c r="Q91" s="424">
        <v>0</v>
      </c>
    </row>
    <row r="92" spans="1:17" x14ac:dyDescent="0.25">
      <c r="A92" s="343">
        <v>44774</v>
      </c>
      <c r="B92" s="117">
        <f t="shared" si="8"/>
        <v>44865</v>
      </c>
      <c r="C92" s="342" t="s">
        <v>757</v>
      </c>
      <c r="D92" s="342">
        <v>8.1089000000000002</v>
      </c>
      <c r="E92" s="342">
        <v>0.81089</v>
      </c>
      <c r="F92" s="12" t="str">
        <f t="shared" si="7"/>
        <v>2021-00458</v>
      </c>
      <c r="G92" s="453">
        <v>0.3614</v>
      </c>
      <c r="H92" s="453">
        <v>3.6139999999999999E-2</v>
      </c>
      <c r="I92" s="453">
        <v>0.88339999999999996</v>
      </c>
      <c r="J92" s="453">
        <v>0.90939999999999999</v>
      </c>
      <c r="K92" s="453">
        <v>0.16980000000000001</v>
      </c>
      <c r="L92" s="453">
        <v>1.1999999999999999E-3</v>
      </c>
      <c r="M92" s="453">
        <v>1.2E-4</v>
      </c>
      <c r="N92" s="3">
        <v>0</v>
      </c>
      <c r="O92" s="3">
        <v>0</v>
      </c>
      <c r="P92" s="423">
        <v>0</v>
      </c>
      <c r="Q92" s="424">
        <v>0</v>
      </c>
    </row>
    <row r="93" spans="1:17" x14ac:dyDescent="0.25">
      <c r="A93" s="343">
        <v>44866</v>
      </c>
      <c r="B93" s="117">
        <f t="shared" si="8"/>
        <v>44957</v>
      </c>
      <c r="C93" s="342" t="s">
        <v>762</v>
      </c>
      <c r="D93" s="342">
        <v>8.6389999999999993</v>
      </c>
      <c r="E93" s="342">
        <v>0.8639</v>
      </c>
      <c r="F93" s="12" t="str">
        <f t="shared" si="7"/>
        <v>2022-00083</v>
      </c>
      <c r="G93" s="453">
        <v>0.3619</v>
      </c>
      <c r="H93" s="453">
        <v>3.619E-2</v>
      </c>
      <c r="I93" s="453">
        <v>0.95599999999999996</v>
      </c>
      <c r="J93" s="453">
        <v>0.98199999999999998</v>
      </c>
      <c r="K93" s="453">
        <v>0.1779</v>
      </c>
      <c r="L93" s="453">
        <v>3.8399999999999997E-2</v>
      </c>
      <c r="M93" s="453">
        <v>3.8400000000000001E-3</v>
      </c>
      <c r="N93" s="3">
        <v>0</v>
      </c>
      <c r="O93" s="3">
        <v>0</v>
      </c>
      <c r="P93" s="423">
        <v>0</v>
      </c>
      <c r="Q93" s="424">
        <v>0</v>
      </c>
    </row>
    <row r="94" spans="1:17" x14ac:dyDescent="0.25">
      <c r="A94" s="343">
        <v>44958</v>
      </c>
      <c r="B94" s="117">
        <f t="shared" si="8"/>
        <v>45046</v>
      </c>
      <c r="C94" s="342" t="s">
        <v>798</v>
      </c>
      <c r="D94" s="342">
        <v>5.8117999999999999</v>
      </c>
      <c r="E94" s="342">
        <v>0.58118000000000003</v>
      </c>
      <c r="F94" s="12" t="str">
        <f t="shared" si="7"/>
        <v>2022-00180</v>
      </c>
      <c r="G94" s="453">
        <v>-6.2100000000000002E-2</v>
      </c>
      <c r="H94" s="453">
        <v>-6.2100000000000002E-3</v>
      </c>
      <c r="I94" s="453">
        <v>0.96540000000000004</v>
      </c>
      <c r="J94" s="453">
        <v>0.9899</v>
      </c>
      <c r="K94" s="453">
        <v>0.1779</v>
      </c>
      <c r="L94" s="453">
        <v>1.35E-2</v>
      </c>
      <c r="M94" s="453">
        <v>1.3500000000000001E-3</v>
      </c>
      <c r="N94" s="3">
        <v>0</v>
      </c>
      <c r="O94" s="3">
        <v>0</v>
      </c>
      <c r="P94" s="423">
        <v>0</v>
      </c>
      <c r="Q94" s="424">
        <v>0</v>
      </c>
    </row>
    <row r="95" spans="1:17" x14ac:dyDescent="0.25">
      <c r="A95" s="343">
        <v>45047</v>
      </c>
      <c r="B95" s="117">
        <f t="shared" si="8"/>
        <v>45138</v>
      </c>
      <c r="C95" s="342" t="s">
        <v>799</v>
      </c>
      <c r="D95" s="342">
        <v>3.7791999999999999</v>
      </c>
      <c r="E95" s="342">
        <v>0.37791999999999998</v>
      </c>
      <c r="F95" s="12" t="str">
        <f t="shared" si="7"/>
        <v>2022-00310</v>
      </c>
      <c r="G95" s="453">
        <v>-0.76029999999999998</v>
      </c>
      <c r="H95" s="453">
        <v>-7.603E-2</v>
      </c>
      <c r="I95" s="453">
        <v>0.95369999999999999</v>
      </c>
      <c r="J95" s="453">
        <v>0.97819999999999996</v>
      </c>
      <c r="K95" s="453">
        <v>0.1789</v>
      </c>
      <c r="L95" s="453">
        <v>9.4200000000000006E-2</v>
      </c>
      <c r="M95" s="453">
        <v>9.4199999999999996E-3</v>
      </c>
      <c r="N95" s="3">
        <v>0</v>
      </c>
      <c r="O95" s="3">
        <v>0</v>
      </c>
      <c r="P95" s="423">
        <v>0</v>
      </c>
      <c r="Q95" s="424">
        <v>0</v>
      </c>
    </row>
    <row r="96" spans="1:17" x14ac:dyDescent="0.25">
      <c r="A96" s="343">
        <v>45139</v>
      </c>
      <c r="B96" s="117">
        <f t="shared" si="8"/>
        <v>45230</v>
      </c>
      <c r="C96" s="342" t="s">
        <v>800</v>
      </c>
      <c r="D96" s="342">
        <v>3.4729000000000001</v>
      </c>
      <c r="E96" s="342">
        <v>0.34728999999999999</v>
      </c>
      <c r="F96" s="12" t="str">
        <f t="shared" si="7"/>
        <v>2022-00421</v>
      </c>
      <c r="G96" s="453">
        <v>-1.21E-2</v>
      </c>
      <c r="H96" s="453">
        <v>-1.2099999999999999E-3</v>
      </c>
      <c r="I96" s="453">
        <v>0.95199999999999996</v>
      </c>
      <c r="J96" s="453">
        <v>0.97649999999999992</v>
      </c>
      <c r="K96" s="453">
        <v>0.1789</v>
      </c>
      <c r="L96" s="453">
        <v>0.27129999999999999</v>
      </c>
      <c r="M96" s="453">
        <v>2.7130000000000001E-2</v>
      </c>
      <c r="N96" s="3">
        <v>0</v>
      </c>
      <c r="O96" s="3">
        <v>0</v>
      </c>
      <c r="P96" s="423">
        <v>0</v>
      </c>
      <c r="Q96" s="424">
        <v>0</v>
      </c>
    </row>
    <row r="97" spans="1:17" x14ac:dyDescent="0.25">
      <c r="A97" s="343">
        <v>45231</v>
      </c>
      <c r="B97" s="117">
        <f t="shared" si="8"/>
        <v>45322</v>
      </c>
      <c r="C97" s="342" t="s">
        <v>801</v>
      </c>
      <c r="D97" s="342">
        <v>4.1765999999999996</v>
      </c>
      <c r="E97" s="342">
        <v>0.41765999999999998</v>
      </c>
      <c r="F97" s="12" t="str">
        <f t="shared" si="7"/>
        <v>2023-00089</v>
      </c>
      <c r="G97" s="453">
        <v>-4.4900000000000002E-2</v>
      </c>
      <c r="H97" s="453">
        <v>-4.4900000000000001E-3</v>
      </c>
      <c r="I97" s="453">
        <v>0.92969999999999997</v>
      </c>
      <c r="J97" s="453">
        <v>0.95419999999999994</v>
      </c>
      <c r="K97" s="453">
        <v>0.17460000000000001</v>
      </c>
      <c r="L97" s="453">
        <v>9.1300000000000006E-2</v>
      </c>
      <c r="M97" s="453">
        <v>9.1299999999999992E-3</v>
      </c>
      <c r="N97" s="3">
        <v>0</v>
      </c>
      <c r="O97" s="3">
        <v>0</v>
      </c>
      <c r="P97" s="423">
        <v>0</v>
      </c>
      <c r="Q97" s="424">
        <v>0</v>
      </c>
    </row>
    <row r="98" spans="1:17" x14ac:dyDescent="0.25">
      <c r="A98" s="343">
        <v>45323</v>
      </c>
      <c r="B98" s="117">
        <f t="shared" si="8"/>
        <v>45412</v>
      </c>
      <c r="C98" s="342" t="s">
        <v>802</v>
      </c>
      <c r="D98" s="342">
        <v>3.3919000000000001</v>
      </c>
      <c r="E98" s="342">
        <v>0.33918999999999999</v>
      </c>
      <c r="F98" s="12" t="str">
        <f t="shared" si="7"/>
        <v>2023-00197</v>
      </c>
      <c r="G98" s="453">
        <v>-3.73E-2</v>
      </c>
      <c r="H98" s="453">
        <v>-3.7299999999999998E-3</v>
      </c>
      <c r="I98" s="453">
        <v>0.93159999999999998</v>
      </c>
      <c r="J98" s="453">
        <v>0.95219999999999994</v>
      </c>
      <c r="K98" s="453">
        <v>0.17460000000000001</v>
      </c>
      <c r="L98" s="453">
        <v>0.12039999999999999</v>
      </c>
      <c r="M98" s="453">
        <v>1.204E-2</v>
      </c>
      <c r="N98" s="3">
        <v>0</v>
      </c>
      <c r="O98" s="3">
        <v>0</v>
      </c>
      <c r="P98" s="423">
        <v>0</v>
      </c>
      <c r="Q98" s="424">
        <v>0</v>
      </c>
    </row>
    <row r="99" spans="1:17" x14ac:dyDescent="0.25">
      <c r="A99" s="343">
        <v>45413</v>
      </c>
      <c r="B99" s="117">
        <f t="shared" ref="B99:B100" si="9">EOMONTH(A99,2)</f>
        <v>45504</v>
      </c>
      <c r="C99" s="342" t="s">
        <v>803</v>
      </c>
      <c r="D99" s="342">
        <v>2.7685</v>
      </c>
      <c r="E99" s="342">
        <v>0.27684999999999998</v>
      </c>
      <c r="F99" s="12" t="str">
        <f t="shared" si="7"/>
        <v>2023-00298</v>
      </c>
      <c r="G99" s="453">
        <v>0.2407</v>
      </c>
      <c r="H99" s="453">
        <v>2.4070000000000001E-2</v>
      </c>
      <c r="I99" s="453">
        <v>0.93379999999999996</v>
      </c>
      <c r="J99" s="453">
        <v>0.95440000000000003</v>
      </c>
      <c r="K99" s="453">
        <v>0.1739</v>
      </c>
      <c r="L99" s="453">
        <v>-1.5900000000000001E-2</v>
      </c>
      <c r="M99" s="453">
        <v>-1.5900000000000001E-3</v>
      </c>
      <c r="N99" s="3">
        <v>0</v>
      </c>
      <c r="O99" s="3">
        <v>0</v>
      </c>
      <c r="P99" s="423">
        <v>0</v>
      </c>
      <c r="Q99" s="424">
        <v>0</v>
      </c>
    </row>
    <row r="100" spans="1:17" x14ac:dyDescent="0.25">
      <c r="A100" s="343">
        <v>45505</v>
      </c>
      <c r="B100" s="117">
        <f t="shared" si="9"/>
        <v>45596</v>
      </c>
      <c r="C100" s="342" t="s">
        <v>804</v>
      </c>
      <c r="D100" s="342">
        <v>3.6457999999999999</v>
      </c>
      <c r="E100" s="342">
        <v>0.36458000000000002</v>
      </c>
      <c r="F100" s="12" t="str">
        <f t="shared" si="7"/>
        <v>2023-00409</v>
      </c>
      <c r="G100" s="453">
        <v>-5.4399999999999997E-2</v>
      </c>
      <c r="H100" s="453">
        <v>-5.4400000000000004E-3</v>
      </c>
      <c r="I100" s="453">
        <v>0.93400000000000005</v>
      </c>
      <c r="J100" s="453">
        <v>0.9546</v>
      </c>
      <c r="K100" s="453">
        <v>0.1739</v>
      </c>
      <c r="L100" s="453">
        <v>-0.71489999999999998</v>
      </c>
      <c r="M100" s="453">
        <v>-7.1489999999999998E-2</v>
      </c>
      <c r="N100" s="3">
        <v>0</v>
      </c>
      <c r="O100" s="3">
        <v>0</v>
      </c>
      <c r="P100" s="423">
        <v>0</v>
      </c>
      <c r="Q100" s="424">
        <v>0</v>
      </c>
    </row>
    <row r="101" spans="1:17" x14ac:dyDescent="0.25">
      <c r="A101" s="343">
        <v>45597</v>
      </c>
      <c r="B101" s="117">
        <f t="shared" ref="B101:B103" si="10">EOMONTH(A101,2)</f>
        <v>45688</v>
      </c>
      <c r="C101" s="342" t="s">
        <v>806</v>
      </c>
      <c r="D101" s="342">
        <v>3.5905999999999998</v>
      </c>
      <c r="E101" s="342">
        <v>0.35905999999999999</v>
      </c>
      <c r="F101" s="12" t="str">
        <f t="shared" si="7"/>
        <v>2024-00063</v>
      </c>
      <c r="G101" s="453">
        <v>-7.6499999999999999E-2</v>
      </c>
      <c r="H101" s="453">
        <v>-7.6499999999999997E-3</v>
      </c>
      <c r="I101" s="453">
        <v>0.77239999999999998</v>
      </c>
      <c r="J101" s="453">
        <v>0.79299999999999993</v>
      </c>
      <c r="K101" s="453">
        <v>0.14419999999999999</v>
      </c>
      <c r="L101" s="453">
        <v>-3.7000000000000002E-3</v>
      </c>
      <c r="M101" s="453">
        <v>-3.6999999999999999E-4</v>
      </c>
      <c r="N101" s="3">
        <v>0</v>
      </c>
      <c r="O101" s="3">
        <v>0</v>
      </c>
      <c r="P101" s="423">
        <v>0</v>
      </c>
      <c r="Q101" s="424">
        <v>0</v>
      </c>
    </row>
    <row r="102" spans="1:17" x14ac:dyDescent="0.25">
      <c r="A102" s="343">
        <v>45689</v>
      </c>
      <c r="B102" s="117">
        <f t="shared" si="10"/>
        <v>45777</v>
      </c>
      <c r="C102" s="342" t="s">
        <v>807</v>
      </c>
      <c r="D102" s="342">
        <v>3.4302000000000001</v>
      </c>
      <c r="E102" s="342">
        <v>0.34301999999999999</v>
      </c>
      <c r="F102" s="12" t="str">
        <f t="shared" si="7"/>
        <v>2024-00192</v>
      </c>
      <c r="G102" s="453">
        <v>-7.1400000000000005E-2</v>
      </c>
      <c r="H102" s="453">
        <v>-7.1399999999999996E-3</v>
      </c>
      <c r="I102" s="453">
        <v>0.77529999999999999</v>
      </c>
      <c r="J102" s="453">
        <v>0.79569999999999996</v>
      </c>
      <c r="K102" s="453">
        <v>0.14419999999999999</v>
      </c>
      <c r="L102" s="453">
        <v>-4.1799999999999997E-2</v>
      </c>
      <c r="M102" s="453">
        <v>-4.1799999999999997E-3</v>
      </c>
      <c r="N102" s="3">
        <v>0</v>
      </c>
      <c r="O102" s="3">
        <v>0</v>
      </c>
      <c r="P102" s="423">
        <v>0</v>
      </c>
      <c r="Q102" s="424">
        <v>0</v>
      </c>
    </row>
    <row r="103" spans="1:17" x14ac:dyDescent="0.25">
      <c r="A103" s="343">
        <v>45778</v>
      </c>
      <c r="B103" s="117">
        <f t="shared" si="10"/>
        <v>45869</v>
      </c>
      <c r="C103" s="342" t="s">
        <v>818</v>
      </c>
      <c r="D103" s="342">
        <v>5.0235000000000003</v>
      </c>
      <c r="E103" s="342">
        <v>0.50234999999999996</v>
      </c>
      <c r="F103" s="12" t="str">
        <f t="shared" si="7"/>
        <v>2024-00294</v>
      </c>
      <c r="G103" s="453">
        <v>0.45519999999999999</v>
      </c>
      <c r="H103" s="453">
        <v>4.5519999999999998E-2</v>
      </c>
      <c r="I103" s="453">
        <v>0.77529999999999999</v>
      </c>
      <c r="J103" s="453">
        <v>0.79569999999999996</v>
      </c>
      <c r="K103" s="453">
        <v>0.14419999999999999</v>
      </c>
      <c r="L103" s="453">
        <v>-5.3600000000000002E-2</v>
      </c>
      <c r="M103" s="453">
        <v>-5.3600000000000002E-3</v>
      </c>
      <c r="N103" s="3">
        <v>0</v>
      </c>
      <c r="O103" s="3">
        <v>0</v>
      </c>
      <c r="P103" s="423">
        <v>0</v>
      </c>
      <c r="Q103" s="424">
        <v>0</v>
      </c>
    </row>
    <row r="104" spans="1:17" x14ac:dyDescent="0.25">
      <c r="A104" s="343">
        <v>45870</v>
      </c>
      <c r="B104" s="117">
        <f t="shared" ref="B104:B106" si="11">EOMONTH(A104,2)</f>
        <v>45961</v>
      </c>
      <c r="C104" s="342" t="s">
        <v>848</v>
      </c>
      <c r="D104" s="342">
        <v>5.1597</v>
      </c>
      <c r="E104" s="342">
        <v>0.51597000000000004</v>
      </c>
      <c r="F104" s="12" t="str">
        <f>C102</f>
        <v>2024-00405</v>
      </c>
      <c r="G104" s="453">
        <v>0.32450000000000001</v>
      </c>
      <c r="H104" s="453">
        <v>3.245E-2</v>
      </c>
      <c r="I104" s="453">
        <v>0.7752</v>
      </c>
      <c r="J104" s="453">
        <v>0.79559999999999997</v>
      </c>
      <c r="K104" s="453">
        <v>0.14419999999999999</v>
      </c>
      <c r="L104" s="453">
        <v>0.1807</v>
      </c>
      <c r="M104" s="453">
        <v>1.8069999999999999E-2</v>
      </c>
      <c r="N104" s="3">
        <v>0</v>
      </c>
      <c r="O104" s="3">
        <v>0</v>
      </c>
      <c r="P104" s="423">
        <v>0</v>
      </c>
      <c r="Q104" s="424">
        <v>0</v>
      </c>
    </row>
    <row r="105" spans="1:17" x14ac:dyDescent="0.25">
      <c r="A105" s="343">
        <v>45962</v>
      </c>
      <c r="B105" s="117">
        <f t="shared" si="11"/>
        <v>46053</v>
      </c>
      <c r="C105" s="342" t="s">
        <v>853</v>
      </c>
      <c r="D105" s="342">
        <v>4.6139000000000001</v>
      </c>
      <c r="E105" s="342">
        <v>0.46139000000000002</v>
      </c>
      <c r="F105" s="12" t="str">
        <f t="shared" ref="F105:F106" si="12">C103</f>
        <v>2025-00061</v>
      </c>
      <c r="G105" s="453">
        <v>-0.14710000000000001</v>
      </c>
      <c r="H105" s="453">
        <v>-1.4710000000000001E-2</v>
      </c>
      <c r="I105" s="453">
        <v>0.80359999999999998</v>
      </c>
      <c r="J105" s="453">
        <v>0.82399999999999995</v>
      </c>
      <c r="K105" s="453">
        <v>0.14940000000000001</v>
      </c>
      <c r="L105" s="453">
        <v>-7.1999999999999998E-3</v>
      </c>
      <c r="M105" s="453">
        <v>-7.2000000000000005E-4</v>
      </c>
      <c r="N105" s="3">
        <v>0</v>
      </c>
      <c r="O105" s="3">
        <v>0</v>
      </c>
      <c r="P105" s="423">
        <v>0</v>
      </c>
      <c r="Q105" s="424">
        <v>0</v>
      </c>
    </row>
    <row r="106" spans="1:17" x14ac:dyDescent="0.25">
      <c r="A106" s="343">
        <v>46054</v>
      </c>
      <c r="B106" s="117">
        <f t="shared" si="11"/>
        <v>46142</v>
      </c>
      <c r="C106" s="342" t="s">
        <v>863</v>
      </c>
      <c r="D106" s="342"/>
      <c r="E106" s="342"/>
      <c r="F106" s="12" t="str">
        <f t="shared" si="12"/>
        <v>2025-00188</v>
      </c>
      <c r="G106" s="453"/>
      <c r="H106" s="453"/>
      <c r="I106" s="453"/>
      <c r="J106" s="453"/>
      <c r="K106" s="453"/>
      <c r="L106" s="453"/>
      <c r="M106" s="453"/>
      <c r="P106" s="423"/>
      <c r="Q106" s="424"/>
    </row>
    <row r="107" spans="1:17" x14ac:dyDescent="0.25">
      <c r="C107" s="342"/>
      <c r="D107" s="342"/>
      <c r="E107" s="342"/>
      <c r="F107" s="12"/>
      <c r="G107" s="453"/>
      <c r="H107" s="453"/>
      <c r="I107" s="453"/>
      <c r="J107" s="453"/>
      <c r="K107" s="453"/>
      <c r="L107" s="453"/>
      <c r="M107" s="453"/>
      <c r="P107" s="423"/>
      <c r="Q107" s="424"/>
    </row>
    <row r="108" spans="1:17" x14ac:dyDescent="0.25">
      <c r="C108" s="342"/>
      <c r="D108" s="342"/>
      <c r="E108" s="342"/>
      <c r="F108" s="12"/>
      <c r="G108" s="453"/>
      <c r="H108" s="453"/>
      <c r="I108" s="453"/>
      <c r="J108" s="453"/>
      <c r="K108" s="453"/>
      <c r="L108" s="453"/>
      <c r="M108" s="453"/>
      <c r="P108" s="423"/>
      <c r="Q108" s="424"/>
    </row>
    <row r="109" spans="1:17" x14ac:dyDescent="0.25">
      <c r="C109" s="342"/>
      <c r="D109" s="342"/>
      <c r="E109" s="342"/>
      <c r="F109" s="12"/>
      <c r="G109" s="453"/>
      <c r="H109" s="453"/>
      <c r="I109" s="453"/>
      <c r="J109" s="453"/>
      <c r="K109" s="453"/>
      <c r="L109" s="453"/>
      <c r="M109" s="453"/>
      <c r="P109" s="423"/>
      <c r="Q109" s="424"/>
    </row>
    <row r="110" spans="1:17" x14ac:dyDescent="0.25">
      <c r="C110" s="342"/>
      <c r="D110" s="342"/>
      <c r="E110" s="342"/>
      <c r="F110" s="12"/>
      <c r="G110" s="453"/>
      <c r="H110" s="453"/>
      <c r="I110" s="453"/>
      <c r="J110" s="453"/>
      <c r="K110" s="453"/>
      <c r="L110" s="453"/>
      <c r="M110" s="453"/>
      <c r="P110" s="423"/>
      <c r="Q110" s="424"/>
    </row>
    <row r="111" spans="1:17" x14ac:dyDescent="0.25">
      <c r="C111" s="342"/>
      <c r="D111" s="342"/>
      <c r="E111" s="342"/>
      <c r="F111" s="12"/>
      <c r="G111" s="453"/>
      <c r="H111" s="453"/>
      <c r="I111" s="453"/>
      <c r="J111" s="453"/>
      <c r="K111" s="453"/>
      <c r="L111" s="453"/>
      <c r="M111" s="453"/>
      <c r="P111" s="423"/>
      <c r="Q111" s="424"/>
    </row>
    <row r="112" spans="1:17" x14ac:dyDescent="0.25">
      <c r="C112" s="342"/>
      <c r="D112" s="342"/>
      <c r="E112" s="342"/>
      <c r="F112" s="12"/>
      <c r="G112" s="453"/>
      <c r="H112" s="453"/>
      <c r="I112" s="453"/>
      <c r="J112" s="453"/>
      <c r="K112" s="453"/>
      <c r="L112" s="453"/>
      <c r="M112" s="453"/>
      <c r="P112" s="423"/>
      <c r="Q112" s="424"/>
    </row>
    <row r="113" spans="3:17" x14ac:dyDescent="0.25">
      <c r="C113" s="342"/>
      <c r="D113" s="342"/>
      <c r="E113" s="342"/>
      <c r="F113" s="12"/>
      <c r="G113" s="453"/>
      <c r="H113" s="453"/>
      <c r="I113" s="453"/>
      <c r="J113" s="453"/>
      <c r="K113" s="453"/>
      <c r="L113" s="453"/>
      <c r="M113" s="453"/>
      <c r="P113" s="423"/>
      <c r="Q113" s="424"/>
    </row>
  </sheetData>
  <mergeCells count="5">
    <mergeCell ref="D1:E1"/>
    <mergeCell ref="F1:H1"/>
    <mergeCell ref="I1:K1"/>
    <mergeCell ref="L1:M1"/>
    <mergeCell ref="N1:Q1"/>
  </mergeCells>
  <phoneticPr fontId="4" type="noConversion"/>
  <pageMargins left="0.75" right="0.75" top="1" bottom="1" header="0.5" footer="0.5"/>
  <pageSetup scale="53" orientation="portrait" r:id="rId1"/>
  <headerFooter alignWithMargins="0">
    <oddFooter>&amp;L_x000D_&amp;1#&amp;"Calibri"&amp;14&amp;K000000 Business Use</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rgb="FF92D050"/>
  </sheetPr>
  <dimension ref="A1:P163"/>
  <sheetViews>
    <sheetView zoomScaleNormal="100" workbookViewId="0">
      <pane ySplit="9" topLeftCell="A152" activePane="bottomLeft" state="frozen"/>
      <selection activeCell="C116" sqref="C116"/>
      <selection pane="bottomLeft" sqref="A1:J1"/>
    </sheetView>
  </sheetViews>
  <sheetFormatPr defaultColWidth="8.88671875" defaultRowHeight="15.75" x14ac:dyDescent="0.25"/>
  <cols>
    <col min="1" max="1" width="13.109375" style="3" customWidth="1"/>
    <col min="2" max="2" width="15.21875" style="3" customWidth="1"/>
    <col min="3" max="3" width="15.109375" style="3" customWidth="1"/>
    <col min="4" max="4" width="16.109375" style="3" customWidth="1"/>
    <col min="5" max="5" width="11.88671875" style="3" customWidth="1"/>
    <col min="6" max="6" width="11.109375" style="3" customWidth="1"/>
    <col min="7" max="7" width="10.6640625" style="3" customWidth="1"/>
    <col min="8" max="8" width="11.44140625" style="3" customWidth="1"/>
    <col min="9" max="9" width="12.77734375" style="3" customWidth="1"/>
    <col min="10" max="10" width="11.88671875" style="3" customWidth="1"/>
    <col min="11" max="11" width="15.109375" customWidth="1"/>
    <col min="12" max="12" width="12.77734375" customWidth="1"/>
    <col min="13" max="16384" width="8.88671875" style="3"/>
  </cols>
  <sheetData>
    <row r="1" spans="1:15" x14ac:dyDescent="0.25">
      <c r="A1" s="633"/>
      <c r="B1" s="633"/>
      <c r="C1" s="633"/>
      <c r="D1" s="633"/>
      <c r="E1" s="633"/>
      <c r="F1" s="633"/>
      <c r="G1" s="633"/>
      <c r="H1" s="633"/>
      <c r="I1" s="633"/>
      <c r="J1" s="633"/>
    </row>
    <row r="3" spans="1:15" x14ac:dyDescent="0.25">
      <c r="A3" s="629" t="s">
        <v>240</v>
      </c>
      <c r="B3" s="629"/>
      <c r="C3" s="629"/>
      <c r="D3" s="629"/>
      <c r="E3" s="629"/>
      <c r="F3" s="629"/>
      <c r="G3" s="629"/>
      <c r="H3" s="629"/>
      <c r="I3" s="629"/>
      <c r="J3" s="629"/>
    </row>
    <row r="4" spans="1:15" x14ac:dyDescent="0.25">
      <c r="A4" s="629" t="s">
        <v>595</v>
      </c>
      <c r="B4" s="629"/>
      <c r="C4" s="629"/>
      <c r="D4" s="629"/>
      <c r="E4" s="629"/>
      <c r="F4" s="629"/>
      <c r="G4" s="629"/>
      <c r="H4" s="629"/>
      <c r="I4" s="629"/>
      <c r="J4" s="629"/>
    </row>
    <row r="5" spans="1:15" x14ac:dyDescent="0.25">
      <c r="F5" s="181"/>
    </row>
    <row r="6" spans="1:15" x14ac:dyDescent="0.25">
      <c r="A6" s="13"/>
      <c r="B6" s="13"/>
      <c r="C6" s="13"/>
      <c r="D6" s="13"/>
      <c r="E6" s="13"/>
      <c r="F6" s="13"/>
      <c r="G6" s="13"/>
      <c r="H6" s="13"/>
      <c r="I6" s="13"/>
      <c r="J6" s="13"/>
    </row>
    <row r="7" spans="1:15" x14ac:dyDescent="0.25">
      <c r="A7" s="630" t="s">
        <v>237</v>
      </c>
      <c r="B7" s="631"/>
      <c r="C7" s="632"/>
      <c r="D7" s="630" t="s">
        <v>238</v>
      </c>
      <c r="E7" s="631"/>
      <c r="F7" s="631"/>
      <c r="G7" s="631"/>
      <c r="H7" s="631"/>
      <c r="I7" s="631"/>
      <c r="J7" s="632"/>
    </row>
    <row r="8" spans="1:15" ht="47.25" x14ac:dyDescent="0.25">
      <c r="A8" s="36" t="s">
        <v>78</v>
      </c>
      <c r="B8" s="36" t="s">
        <v>94</v>
      </c>
      <c r="C8" s="37" t="s">
        <v>361</v>
      </c>
      <c r="D8" s="37" t="s">
        <v>239</v>
      </c>
      <c r="E8" s="37" t="s">
        <v>242</v>
      </c>
      <c r="F8" s="37" t="s">
        <v>234</v>
      </c>
      <c r="G8" s="37" t="s">
        <v>235</v>
      </c>
      <c r="H8" s="37" t="s">
        <v>236</v>
      </c>
      <c r="I8" s="37" t="s">
        <v>241</v>
      </c>
      <c r="J8" s="37" t="s">
        <v>741</v>
      </c>
      <c r="L8" s="3"/>
    </row>
    <row r="9" spans="1:15" x14ac:dyDescent="0.25">
      <c r="A9" s="39" t="s">
        <v>60</v>
      </c>
      <c r="B9" s="39" t="s">
        <v>61</v>
      </c>
      <c r="C9" s="39" t="s">
        <v>62</v>
      </c>
      <c r="D9" s="39" t="s">
        <v>63</v>
      </c>
      <c r="E9" s="39" t="s">
        <v>64</v>
      </c>
      <c r="F9" s="39" t="s">
        <v>65</v>
      </c>
      <c r="G9" s="39" t="s">
        <v>66</v>
      </c>
      <c r="H9" s="39" t="s">
        <v>111</v>
      </c>
      <c r="I9" s="39" t="s">
        <v>112</v>
      </c>
      <c r="J9" s="39" t="s">
        <v>113</v>
      </c>
      <c r="L9" s="3"/>
    </row>
    <row r="10" spans="1:15" x14ac:dyDescent="0.25">
      <c r="A10" s="516">
        <v>42005</v>
      </c>
      <c r="B10" s="517">
        <v>3389771</v>
      </c>
      <c r="C10" s="517">
        <v>34043</v>
      </c>
      <c r="D10" s="517">
        <v>3740</v>
      </c>
      <c r="E10" s="517">
        <v>0</v>
      </c>
      <c r="F10" s="517">
        <v>0</v>
      </c>
      <c r="G10" s="517">
        <v>3224582</v>
      </c>
      <c r="H10" s="517">
        <v>45418</v>
      </c>
      <c r="I10" s="517">
        <v>6382527</v>
      </c>
      <c r="J10" s="517">
        <v>28119</v>
      </c>
      <c r="L10" s="3"/>
      <c r="M10" s="13"/>
      <c r="N10" s="13"/>
      <c r="O10" s="13"/>
    </row>
    <row r="11" spans="1:15" x14ac:dyDescent="0.25">
      <c r="A11" s="516">
        <f t="shared" ref="A11:A75" si="0">EDATE(A10,1)</f>
        <v>42036</v>
      </c>
      <c r="B11" s="517">
        <v>2793445</v>
      </c>
      <c r="C11" s="517">
        <v>25942</v>
      </c>
      <c r="D11" s="517">
        <v>2645</v>
      </c>
      <c r="E11" s="517">
        <v>0</v>
      </c>
      <c r="F11" s="517">
        <v>0</v>
      </c>
      <c r="G11" s="517">
        <v>2941034</v>
      </c>
      <c r="H11" s="517">
        <v>38966</v>
      </c>
      <c r="I11" s="517">
        <v>5515071</v>
      </c>
      <c r="J11" s="517">
        <v>29495</v>
      </c>
      <c r="L11" s="3"/>
    </row>
    <row r="12" spans="1:15" x14ac:dyDescent="0.25">
      <c r="A12" s="516">
        <f t="shared" si="0"/>
        <v>42064</v>
      </c>
      <c r="B12" s="517">
        <v>1896715</v>
      </c>
      <c r="C12" s="517">
        <v>20111</v>
      </c>
      <c r="D12" s="517">
        <v>1128</v>
      </c>
      <c r="E12" s="517">
        <v>0</v>
      </c>
      <c r="F12" s="517">
        <v>0</v>
      </c>
      <c r="G12" s="517">
        <v>2177383</v>
      </c>
      <c r="H12" s="517">
        <v>32617</v>
      </c>
      <c r="I12" s="517">
        <v>3869594</v>
      </c>
      <c r="J12" s="517">
        <v>27926</v>
      </c>
      <c r="L12" s="3"/>
    </row>
    <row r="13" spans="1:15" x14ac:dyDescent="0.25">
      <c r="A13" s="516">
        <f t="shared" si="0"/>
        <v>42095</v>
      </c>
      <c r="B13" s="517">
        <v>1451374</v>
      </c>
      <c r="C13" s="517">
        <v>9243</v>
      </c>
      <c r="D13" s="517">
        <v>430</v>
      </c>
      <c r="E13" s="517">
        <v>0</v>
      </c>
      <c r="F13" s="517">
        <v>0</v>
      </c>
      <c r="G13" s="517">
        <v>773060</v>
      </c>
      <c r="H13" s="517">
        <v>26940</v>
      </c>
      <c r="I13" s="517">
        <v>2087330</v>
      </c>
      <c r="J13" s="517">
        <v>31123</v>
      </c>
      <c r="L13" s="3"/>
    </row>
    <row r="14" spans="1:15" x14ac:dyDescent="0.25">
      <c r="A14" s="516">
        <f t="shared" si="0"/>
        <v>42125</v>
      </c>
      <c r="B14" s="517">
        <v>1185902</v>
      </c>
      <c r="C14" s="517">
        <v>9084</v>
      </c>
      <c r="D14" s="517">
        <v>266</v>
      </c>
      <c r="E14" s="517">
        <v>0</v>
      </c>
      <c r="F14" s="517">
        <v>0</v>
      </c>
      <c r="G14" s="517">
        <v>174800</v>
      </c>
      <c r="H14" s="517">
        <v>25200</v>
      </c>
      <c r="I14" s="517">
        <v>1246147</v>
      </c>
      <c r="J14" s="517">
        <v>30870</v>
      </c>
      <c r="L14" s="3"/>
    </row>
    <row r="15" spans="1:15" x14ac:dyDescent="0.25">
      <c r="A15" s="516">
        <f t="shared" si="0"/>
        <v>42156</v>
      </c>
      <c r="B15" s="517">
        <v>2527642</v>
      </c>
      <c r="C15" s="517">
        <v>7764</v>
      </c>
      <c r="D15" s="517">
        <v>100</v>
      </c>
      <c r="E15" s="517">
        <v>0</v>
      </c>
      <c r="F15" s="517">
        <v>1617092</v>
      </c>
      <c r="G15" s="517">
        <v>0</v>
      </c>
      <c r="H15" s="517">
        <v>28092</v>
      </c>
      <c r="I15" s="517">
        <v>816879</v>
      </c>
      <c r="J15" s="517">
        <v>28119</v>
      </c>
      <c r="L15" s="3"/>
    </row>
    <row r="16" spans="1:15" x14ac:dyDescent="0.25">
      <c r="A16" s="516">
        <f t="shared" si="0"/>
        <v>42186</v>
      </c>
      <c r="B16" s="517">
        <v>3671237</v>
      </c>
      <c r="C16" s="517">
        <v>3433</v>
      </c>
      <c r="D16" s="517">
        <v>134</v>
      </c>
      <c r="E16" s="517">
        <v>0</v>
      </c>
      <c r="F16" s="517">
        <v>2852869</v>
      </c>
      <c r="G16" s="517">
        <v>0</v>
      </c>
      <c r="H16" s="517">
        <v>31869</v>
      </c>
      <c r="I16" s="517">
        <v>739675</v>
      </c>
      <c r="J16" s="517">
        <v>30870</v>
      </c>
      <c r="L16" s="3"/>
    </row>
    <row r="17" spans="1:12" x14ac:dyDescent="0.25">
      <c r="A17" s="516">
        <f t="shared" si="0"/>
        <v>42217</v>
      </c>
      <c r="B17" s="517">
        <v>3768891</v>
      </c>
      <c r="C17" s="517">
        <v>19134</v>
      </c>
      <c r="D17" s="517">
        <v>73</v>
      </c>
      <c r="E17" s="517">
        <v>0</v>
      </c>
      <c r="F17" s="517">
        <v>2939274</v>
      </c>
      <c r="G17" s="517">
        <v>0</v>
      </c>
      <c r="H17" s="517">
        <v>39274</v>
      </c>
      <c r="I17" s="517">
        <v>755771</v>
      </c>
      <c r="J17" s="517">
        <v>29495</v>
      </c>
      <c r="L17" s="3"/>
    </row>
    <row r="18" spans="1:12" x14ac:dyDescent="0.25">
      <c r="A18" s="516">
        <f t="shared" si="0"/>
        <v>42248</v>
      </c>
      <c r="B18" s="517">
        <v>3628403</v>
      </c>
      <c r="C18" s="517">
        <v>41870</v>
      </c>
      <c r="D18" s="517">
        <v>62</v>
      </c>
      <c r="E18" s="517">
        <v>0</v>
      </c>
      <c r="F18" s="517">
        <v>2734226</v>
      </c>
      <c r="G18" s="517">
        <v>0</v>
      </c>
      <c r="H18" s="517">
        <v>44226</v>
      </c>
      <c r="I18" s="517">
        <v>818388</v>
      </c>
      <c r="J18" s="517">
        <v>32499</v>
      </c>
      <c r="L18" s="3"/>
    </row>
    <row r="19" spans="1:12" x14ac:dyDescent="0.25">
      <c r="A19" s="516">
        <f t="shared" si="0"/>
        <v>42278</v>
      </c>
      <c r="B19" s="517">
        <v>3717845</v>
      </c>
      <c r="C19" s="517">
        <v>41660</v>
      </c>
      <c r="D19" s="517">
        <v>157</v>
      </c>
      <c r="E19" s="517">
        <v>0</v>
      </c>
      <c r="F19" s="517">
        <v>2189178</v>
      </c>
      <c r="G19" s="517">
        <v>0</v>
      </c>
      <c r="H19" s="517">
        <v>49178</v>
      </c>
      <c r="I19" s="517">
        <v>1444480</v>
      </c>
      <c r="J19" s="517">
        <v>30870</v>
      </c>
      <c r="L19" s="3"/>
    </row>
    <row r="20" spans="1:12" x14ac:dyDescent="0.25">
      <c r="A20" s="516">
        <f t="shared" si="0"/>
        <v>42309</v>
      </c>
      <c r="B20" s="517">
        <v>3223697</v>
      </c>
      <c r="C20" s="517">
        <v>72141</v>
      </c>
      <c r="D20" s="517">
        <v>636</v>
      </c>
      <c r="E20" s="517">
        <v>0</v>
      </c>
      <c r="F20" s="517">
        <v>251623</v>
      </c>
      <c r="G20" s="517">
        <v>200000</v>
      </c>
      <c r="H20" s="517">
        <v>51623</v>
      </c>
      <c r="I20" s="517">
        <v>3071369</v>
      </c>
      <c r="J20" s="517">
        <v>16937</v>
      </c>
    </row>
    <row r="21" spans="1:12" x14ac:dyDescent="0.25">
      <c r="A21" s="516">
        <f t="shared" si="0"/>
        <v>42339</v>
      </c>
      <c r="B21" s="517">
        <v>3443198</v>
      </c>
      <c r="C21" s="517">
        <v>53313</v>
      </c>
      <c r="D21" s="517">
        <v>1627</v>
      </c>
      <c r="E21" s="517">
        <v>0</v>
      </c>
      <c r="F21" s="517">
        <v>0</v>
      </c>
      <c r="G21" s="517">
        <v>2150123</v>
      </c>
      <c r="H21" s="517">
        <v>49877</v>
      </c>
      <c r="I21" s="517">
        <v>5429369</v>
      </c>
      <c r="J21" s="517">
        <v>12722</v>
      </c>
    </row>
    <row r="22" spans="1:12" x14ac:dyDescent="0.25">
      <c r="A22" s="516">
        <f t="shared" si="0"/>
        <v>42370</v>
      </c>
      <c r="B22" s="517">
        <v>3612775</v>
      </c>
      <c r="C22" s="517">
        <v>45361</v>
      </c>
      <c r="D22" s="517">
        <v>2006</v>
      </c>
      <c r="E22" s="517">
        <v>0</v>
      </c>
      <c r="F22" s="517">
        <v>0</v>
      </c>
      <c r="G22" s="517">
        <v>3355135</v>
      </c>
      <c r="H22" s="517">
        <v>44865</v>
      </c>
      <c r="I22" s="517">
        <v>6752035</v>
      </c>
      <c r="J22" s="517">
        <v>12722</v>
      </c>
    </row>
    <row r="23" spans="1:12" x14ac:dyDescent="0.25">
      <c r="A23" s="516">
        <f t="shared" si="0"/>
        <v>42401</v>
      </c>
      <c r="B23" s="517">
        <v>2846423</v>
      </c>
      <c r="C23" s="517">
        <v>30828</v>
      </c>
      <c r="D23" s="517">
        <v>1832</v>
      </c>
      <c r="E23" s="517">
        <v>0</v>
      </c>
      <c r="F23" s="517">
        <v>0</v>
      </c>
      <c r="G23" s="517">
        <v>3062005</v>
      </c>
      <c r="H23" s="517">
        <v>37995</v>
      </c>
      <c r="I23" s="517">
        <v>5697804</v>
      </c>
      <c r="J23" s="517">
        <v>13795</v>
      </c>
    </row>
    <row r="24" spans="1:12" x14ac:dyDescent="0.25">
      <c r="A24" s="516">
        <f t="shared" si="0"/>
        <v>42430</v>
      </c>
      <c r="B24" s="517">
        <v>2154248</v>
      </c>
      <c r="C24" s="517">
        <v>25324</v>
      </c>
      <c r="D24" s="517">
        <v>2226</v>
      </c>
      <c r="E24" s="517">
        <v>0</v>
      </c>
      <c r="F24" s="517">
        <v>0</v>
      </c>
      <c r="G24" s="517">
        <v>2109395</v>
      </c>
      <c r="H24" s="517">
        <v>30605</v>
      </c>
      <c r="I24" s="517">
        <v>4071725</v>
      </c>
      <c r="J24" s="517">
        <v>14829</v>
      </c>
    </row>
    <row r="25" spans="1:12" x14ac:dyDescent="0.25">
      <c r="A25" s="516">
        <f t="shared" si="0"/>
        <v>42461</v>
      </c>
      <c r="B25" s="517">
        <v>1368396</v>
      </c>
      <c r="C25" s="517">
        <v>30367</v>
      </c>
      <c r="D25" s="517">
        <v>1039</v>
      </c>
      <c r="E25" s="517">
        <v>0</v>
      </c>
      <c r="F25" s="517">
        <v>0</v>
      </c>
      <c r="G25" s="517">
        <v>772504</v>
      </c>
      <c r="H25" s="517">
        <v>27496</v>
      </c>
      <c r="I25" s="517">
        <v>2023224</v>
      </c>
      <c r="J25" s="517">
        <v>11688</v>
      </c>
    </row>
    <row r="26" spans="1:12" x14ac:dyDescent="0.25">
      <c r="A26" s="516">
        <f t="shared" si="0"/>
        <v>42491</v>
      </c>
      <c r="B26" s="517">
        <v>1210348</v>
      </c>
      <c r="C26" s="517">
        <v>34732</v>
      </c>
      <c r="D26" s="517">
        <v>362</v>
      </c>
      <c r="E26" s="517">
        <v>0</v>
      </c>
      <c r="F26" s="517">
        <v>0</v>
      </c>
      <c r="G26" s="517">
        <v>71918</v>
      </c>
      <c r="H26" s="517">
        <v>28082</v>
      </c>
      <c r="I26" s="517">
        <v>1190652</v>
      </c>
      <c r="J26" s="517">
        <v>8507</v>
      </c>
    </row>
    <row r="27" spans="1:12" x14ac:dyDescent="0.25">
      <c r="A27" s="516">
        <f t="shared" si="0"/>
        <v>42522</v>
      </c>
      <c r="B27" s="517">
        <v>2219781</v>
      </c>
      <c r="C27" s="517">
        <v>53116</v>
      </c>
      <c r="D27" s="517">
        <v>282</v>
      </c>
      <c r="E27" s="517">
        <v>0</v>
      </c>
      <c r="F27" s="517">
        <v>1366882</v>
      </c>
      <c r="G27" s="517">
        <v>0</v>
      </c>
      <c r="H27" s="517">
        <v>28882</v>
      </c>
      <c r="I27" s="517">
        <v>772506</v>
      </c>
      <c r="J27" s="517">
        <v>14829</v>
      </c>
    </row>
    <row r="28" spans="1:12" x14ac:dyDescent="0.25">
      <c r="A28" s="516">
        <f t="shared" si="0"/>
        <v>42552</v>
      </c>
      <c r="B28" s="517">
        <v>3601166</v>
      </c>
      <c r="C28" s="517">
        <v>48607</v>
      </c>
      <c r="D28" s="517">
        <v>149</v>
      </c>
      <c r="E28" s="517">
        <v>1020</v>
      </c>
      <c r="F28" s="517">
        <v>2824824</v>
      </c>
      <c r="G28" s="517">
        <v>0</v>
      </c>
      <c r="H28" s="517">
        <v>32824</v>
      </c>
      <c r="I28" s="517">
        <v>716538</v>
      </c>
      <c r="J28" s="517">
        <v>12824</v>
      </c>
    </row>
    <row r="29" spans="1:12" x14ac:dyDescent="0.25">
      <c r="A29" s="516">
        <f t="shared" si="0"/>
        <v>42583</v>
      </c>
      <c r="B29" s="517">
        <v>3693887</v>
      </c>
      <c r="C29" s="517">
        <v>44130</v>
      </c>
      <c r="D29" s="517">
        <v>101</v>
      </c>
      <c r="E29" s="517">
        <v>1020</v>
      </c>
      <c r="F29" s="517">
        <v>2891045</v>
      </c>
      <c r="G29" s="517">
        <v>0</v>
      </c>
      <c r="H29" s="517">
        <v>41045</v>
      </c>
      <c r="I29" s="517">
        <v>746708</v>
      </c>
      <c r="J29" s="517">
        <v>12824</v>
      </c>
    </row>
    <row r="30" spans="1:12" x14ac:dyDescent="0.25">
      <c r="A30" s="516">
        <f t="shared" si="0"/>
        <v>42614</v>
      </c>
      <c r="B30" s="517">
        <v>3664808</v>
      </c>
      <c r="C30" s="517">
        <v>53342</v>
      </c>
      <c r="D30" s="517">
        <v>92</v>
      </c>
      <c r="E30" s="517">
        <v>510</v>
      </c>
      <c r="F30" s="517">
        <v>2783959</v>
      </c>
      <c r="G30" s="517">
        <v>0</v>
      </c>
      <c r="H30" s="517">
        <v>43959</v>
      </c>
      <c r="I30" s="517">
        <v>825538</v>
      </c>
      <c r="J30" s="517">
        <v>12773</v>
      </c>
    </row>
    <row r="31" spans="1:12" x14ac:dyDescent="0.25">
      <c r="A31" s="516">
        <f t="shared" si="0"/>
        <v>42644</v>
      </c>
      <c r="B31" s="517">
        <v>3637644</v>
      </c>
      <c r="C31" s="517">
        <v>82865</v>
      </c>
      <c r="D31" s="517">
        <v>143</v>
      </c>
      <c r="E31" s="517">
        <v>0</v>
      </c>
      <c r="F31" s="517">
        <v>2069628</v>
      </c>
      <c r="G31" s="517">
        <v>0</v>
      </c>
      <c r="H31" s="517">
        <v>49628</v>
      </c>
      <c r="I31" s="517">
        <v>1504037</v>
      </c>
      <c r="J31" s="517">
        <v>10615</v>
      </c>
    </row>
    <row r="32" spans="1:12" x14ac:dyDescent="0.25">
      <c r="A32" s="516">
        <f t="shared" si="0"/>
        <v>42675</v>
      </c>
      <c r="B32" s="517">
        <v>2490812</v>
      </c>
      <c r="C32" s="517">
        <v>62445</v>
      </c>
      <c r="D32" s="517">
        <v>635.5</v>
      </c>
      <c r="E32" s="517">
        <v>0</v>
      </c>
      <c r="F32" s="517">
        <v>250423</v>
      </c>
      <c r="G32" s="517">
        <v>200000</v>
      </c>
      <c r="H32" s="517">
        <v>50423</v>
      </c>
      <c r="I32" s="517">
        <v>2342164.3604958318</v>
      </c>
      <c r="J32" s="517">
        <v>14564.100000000002</v>
      </c>
    </row>
    <row r="33" spans="1:10" x14ac:dyDescent="0.25">
      <c r="A33" s="516">
        <f t="shared" si="0"/>
        <v>42705</v>
      </c>
      <c r="B33" s="517">
        <v>2393669</v>
      </c>
      <c r="C33" s="517">
        <v>53786</v>
      </c>
      <c r="D33" s="517">
        <v>1627</v>
      </c>
      <c r="E33" s="517">
        <v>0</v>
      </c>
      <c r="F33" s="517">
        <v>0</v>
      </c>
      <c r="G33" s="517">
        <v>2151073</v>
      </c>
      <c r="H33" s="517">
        <v>48927</v>
      </c>
      <c r="I33" s="517">
        <v>4382245.7996057328</v>
      </c>
      <c r="J33" s="517">
        <v>12191.8</v>
      </c>
    </row>
    <row r="34" spans="1:10" x14ac:dyDescent="0.25">
      <c r="A34" s="516">
        <f t="shared" si="0"/>
        <v>42736</v>
      </c>
      <c r="B34" s="517">
        <v>2999829</v>
      </c>
      <c r="C34" s="517">
        <v>38096</v>
      </c>
      <c r="D34" s="517">
        <v>2006</v>
      </c>
      <c r="E34" s="517">
        <v>0</v>
      </c>
      <c r="F34" s="517">
        <v>0</v>
      </c>
      <c r="G34" s="517">
        <v>3354470</v>
      </c>
      <c r="H34" s="517">
        <v>45530</v>
      </c>
      <c r="I34" s="517">
        <v>6139819.1618230706</v>
      </c>
      <c r="J34" s="517">
        <v>12279.599999999999</v>
      </c>
    </row>
    <row r="35" spans="1:10" x14ac:dyDescent="0.25">
      <c r="A35" s="516">
        <f t="shared" si="0"/>
        <v>42767</v>
      </c>
      <c r="B35" s="517">
        <v>2880935</v>
      </c>
      <c r="C35" s="517">
        <v>25625</v>
      </c>
      <c r="D35" s="517">
        <v>1768.5</v>
      </c>
      <c r="E35" s="517">
        <v>0</v>
      </c>
      <c r="F35" s="517">
        <v>0</v>
      </c>
      <c r="G35" s="517">
        <v>3082101</v>
      </c>
      <c r="H35" s="517">
        <v>37899</v>
      </c>
      <c r="I35" s="517">
        <v>5761399.6451268187</v>
      </c>
      <c r="J35" s="517">
        <v>12236.5</v>
      </c>
    </row>
    <row r="36" spans="1:10" x14ac:dyDescent="0.25">
      <c r="A36" s="516">
        <f t="shared" si="0"/>
        <v>42795</v>
      </c>
      <c r="B36" s="517">
        <v>2874734</v>
      </c>
      <c r="C36" s="517">
        <v>41427</v>
      </c>
      <c r="D36" s="517">
        <v>2225.5</v>
      </c>
      <c r="E36" s="517">
        <v>0</v>
      </c>
      <c r="F36" s="517">
        <v>0</v>
      </c>
      <c r="G36" s="517">
        <v>1987299</v>
      </c>
      <c r="H36" s="517">
        <v>32701</v>
      </c>
      <c r="I36" s="517">
        <v>4670496.3224569801</v>
      </c>
      <c r="J36" s="517">
        <v>14343.8</v>
      </c>
    </row>
    <row r="37" spans="1:10" x14ac:dyDescent="0.25">
      <c r="A37" s="516">
        <f t="shared" si="0"/>
        <v>42826</v>
      </c>
      <c r="B37" s="517">
        <v>1869958</v>
      </c>
      <c r="C37" s="517">
        <v>64808</v>
      </c>
      <c r="D37" s="517">
        <v>1038.5</v>
      </c>
      <c r="E37" s="517">
        <v>0</v>
      </c>
      <c r="F37" s="517">
        <v>0</v>
      </c>
      <c r="G37" s="517">
        <v>772585</v>
      </c>
      <c r="H37" s="517">
        <v>27415</v>
      </c>
      <c r="I37" s="517">
        <v>2523051.3731349409</v>
      </c>
      <c r="J37" s="517">
        <v>13360.1</v>
      </c>
    </row>
    <row r="38" spans="1:10" x14ac:dyDescent="0.25">
      <c r="A38" s="516">
        <f t="shared" si="0"/>
        <v>42856</v>
      </c>
      <c r="B38" s="517">
        <v>1441197</v>
      </c>
      <c r="C38" s="517">
        <v>51340</v>
      </c>
      <c r="D38" s="517">
        <v>362</v>
      </c>
      <c r="E38" s="517">
        <v>0</v>
      </c>
      <c r="F38" s="517">
        <v>0</v>
      </c>
      <c r="G38" s="517">
        <v>72592</v>
      </c>
      <c r="H38" s="517">
        <v>27408</v>
      </c>
      <c r="I38" s="517">
        <v>1419481.285840834</v>
      </c>
      <c r="J38" s="517">
        <v>11245.5</v>
      </c>
    </row>
    <row r="39" spans="1:10" x14ac:dyDescent="0.25">
      <c r="A39" s="516">
        <f t="shared" si="0"/>
        <v>42887</v>
      </c>
      <c r="B39" s="517">
        <v>2361637</v>
      </c>
      <c r="C39" s="517">
        <v>53203</v>
      </c>
      <c r="D39" s="517">
        <v>282</v>
      </c>
      <c r="E39" s="517">
        <v>0</v>
      </c>
      <c r="F39" s="517">
        <v>1368882</v>
      </c>
      <c r="G39" s="517">
        <v>0</v>
      </c>
      <c r="H39" s="517">
        <v>28882</v>
      </c>
      <c r="I39" s="517">
        <v>912979.59494808805</v>
      </c>
      <c r="J39" s="517">
        <v>14211.3</v>
      </c>
    </row>
    <row r="40" spans="1:10" x14ac:dyDescent="0.25">
      <c r="A40" s="516">
        <f t="shared" si="0"/>
        <v>42917</v>
      </c>
      <c r="B40" s="517">
        <v>3203498</v>
      </c>
      <c r="C40" s="517">
        <v>64710</v>
      </c>
      <c r="D40" s="517">
        <v>149</v>
      </c>
      <c r="E40" s="517">
        <v>0</v>
      </c>
      <c r="F40" s="517">
        <v>2354603</v>
      </c>
      <c r="G40" s="517">
        <v>0</v>
      </c>
      <c r="H40" s="517">
        <v>34603</v>
      </c>
      <c r="I40" s="517">
        <v>789933.15250965115</v>
      </c>
      <c r="J40" s="517">
        <v>13182.9</v>
      </c>
    </row>
    <row r="41" spans="1:10" x14ac:dyDescent="0.25">
      <c r="A41" s="516">
        <f t="shared" si="0"/>
        <v>42948</v>
      </c>
      <c r="B41" s="517">
        <v>3786631</v>
      </c>
      <c r="C41" s="517">
        <v>39437</v>
      </c>
      <c r="D41" s="517">
        <v>101</v>
      </c>
      <c r="E41" s="517">
        <v>0</v>
      </c>
      <c r="F41" s="517">
        <v>2980482</v>
      </c>
      <c r="G41" s="517">
        <v>0</v>
      </c>
      <c r="H41" s="517">
        <v>40482</v>
      </c>
      <c r="I41" s="517">
        <v>752634.23840221553</v>
      </c>
      <c r="J41" s="517">
        <v>13395.9</v>
      </c>
    </row>
    <row r="42" spans="1:10" x14ac:dyDescent="0.25">
      <c r="A42" s="516">
        <f t="shared" si="0"/>
        <v>42979</v>
      </c>
      <c r="B42" s="517">
        <v>3721750</v>
      </c>
      <c r="C42" s="517">
        <v>71170</v>
      </c>
      <c r="D42" s="517">
        <v>91.5</v>
      </c>
      <c r="E42" s="517">
        <v>0</v>
      </c>
      <c r="F42" s="517">
        <v>2872825</v>
      </c>
      <c r="G42" s="517">
        <v>0</v>
      </c>
      <c r="H42" s="517">
        <v>42825</v>
      </c>
      <c r="I42" s="517">
        <v>794767.42918480793</v>
      </c>
      <c r="J42" s="517">
        <v>12191.8</v>
      </c>
    </row>
    <row r="43" spans="1:10" x14ac:dyDescent="0.25">
      <c r="A43" s="516">
        <f t="shared" si="0"/>
        <v>43009</v>
      </c>
      <c r="B43" s="517">
        <v>3330179</v>
      </c>
      <c r="C43" s="517">
        <v>86476</v>
      </c>
      <c r="D43" s="517">
        <v>143</v>
      </c>
      <c r="E43" s="517">
        <v>0</v>
      </c>
      <c r="F43" s="517">
        <v>2256600</v>
      </c>
      <c r="G43" s="517">
        <v>0</v>
      </c>
      <c r="H43" s="517">
        <v>46600</v>
      </c>
      <c r="I43" s="517">
        <v>1006032.6273241421</v>
      </c>
      <c r="J43" s="517">
        <v>14343.8</v>
      </c>
    </row>
    <row r="44" spans="1:10" x14ac:dyDescent="0.25">
      <c r="A44" s="516">
        <f t="shared" si="0"/>
        <v>43040</v>
      </c>
      <c r="B44" s="517">
        <v>2907292</v>
      </c>
      <c r="C44" s="517">
        <v>76810</v>
      </c>
      <c r="D44" s="517">
        <v>635.5</v>
      </c>
      <c r="E44" s="517">
        <v>0</v>
      </c>
      <c r="F44" s="517">
        <v>252840</v>
      </c>
      <c r="G44" s="517">
        <v>200000</v>
      </c>
      <c r="H44" s="517">
        <v>52840.229341927778</v>
      </c>
      <c r="I44" s="517">
        <v>2732948.137591423</v>
      </c>
      <c r="J44" s="517">
        <v>38478.1</v>
      </c>
    </row>
    <row r="45" spans="1:10" x14ac:dyDescent="0.25">
      <c r="A45" s="516">
        <f t="shared" si="0"/>
        <v>43070</v>
      </c>
      <c r="B45" s="517">
        <v>3113061</v>
      </c>
      <c r="C45" s="517">
        <v>55898</v>
      </c>
      <c r="D45" s="517">
        <v>1627</v>
      </c>
      <c r="E45" s="517">
        <v>0</v>
      </c>
      <c r="F45" s="517">
        <v>0</v>
      </c>
      <c r="G45" s="517">
        <v>2148337</v>
      </c>
      <c r="H45" s="517">
        <v>51662.982752762131</v>
      </c>
      <c r="I45" s="517">
        <v>5073217.68200788</v>
      </c>
      <c r="J45" s="517">
        <v>38478.1</v>
      </c>
    </row>
    <row r="46" spans="1:10" x14ac:dyDescent="0.25">
      <c r="A46" s="516">
        <f t="shared" si="0"/>
        <v>43101</v>
      </c>
      <c r="B46" s="517">
        <v>3339989</v>
      </c>
      <c r="C46" s="517">
        <v>40788</v>
      </c>
      <c r="D46" s="517">
        <v>2006</v>
      </c>
      <c r="E46" s="517">
        <v>0</v>
      </c>
      <c r="F46" s="517">
        <v>0</v>
      </c>
      <c r="G46" s="517">
        <v>3353027</v>
      </c>
      <c r="H46" s="517">
        <v>46972.708423859884</v>
      </c>
      <c r="I46" s="517">
        <v>6452432.2997245034</v>
      </c>
      <c r="J46" s="517">
        <v>38478.1</v>
      </c>
    </row>
    <row r="47" spans="1:10" x14ac:dyDescent="0.25">
      <c r="A47" s="516">
        <f t="shared" si="0"/>
        <v>43132</v>
      </c>
      <c r="B47" s="517">
        <v>2862751</v>
      </c>
      <c r="C47" s="517">
        <v>35681</v>
      </c>
      <c r="D47" s="517">
        <v>1768.5</v>
      </c>
      <c r="E47" s="517">
        <v>0</v>
      </c>
      <c r="F47" s="517">
        <v>0</v>
      </c>
      <c r="G47" s="517">
        <v>2977058</v>
      </c>
      <c r="H47" s="517">
        <v>42941.737018235734</v>
      </c>
      <c r="I47" s="517">
        <v>5612089.7213283991</v>
      </c>
      <c r="J47" s="517">
        <v>38478.1</v>
      </c>
    </row>
    <row r="48" spans="1:10" x14ac:dyDescent="0.25">
      <c r="A48" s="516">
        <f t="shared" si="0"/>
        <v>43160</v>
      </c>
      <c r="B48" s="517">
        <v>2128064</v>
      </c>
      <c r="C48" s="517">
        <v>40081</v>
      </c>
      <c r="D48" s="517">
        <v>2225.5</v>
      </c>
      <c r="E48" s="517">
        <v>0</v>
      </c>
      <c r="F48" s="517">
        <v>0</v>
      </c>
      <c r="G48" s="517">
        <v>1982329</v>
      </c>
      <c r="H48" s="517">
        <v>37671.281969171207</v>
      </c>
      <c r="I48" s="517">
        <v>3897813.3754893886</v>
      </c>
      <c r="J48" s="517">
        <v>44301.500000000007</v>
      </c>
    </row>
    <row r="49" spans="1:10" x14ac:dyDescent="0.25">
      <c r="A49" s="516">
        <f t="shared" si="0"/>
        <v>43191</v>
      </c>
      <c r="B49" s="517">
        <v>1335791</v>
      </c>
      <c r="C49" s="517">
        <v>35364</v>
      </c>
      <c r="D49" s="517">
        <v>1038.5</v>
      </c>
      <c r="E49" s="517">
        <v>0</v>
      </c>
      <c r="F49" s="517">
        <v>0</v>
      </c>
      <c r="G49" s="517">
        <v>770443</v>
      </c>
      <c r="H49" s="517">
        <v>29556.648805049579</v>
      </c>
      <c r="I49" s="517">
        <v>1963956.841261033</v>
      </c>
      <c r="J49" s="517">
        <v>36383.4</v>
      </c>
    </row>
    <row r="50" spans="1:10" x14ac:dyDescent="0.25">
      <c r="A50" s="516">
        <f t="shared" si="0"/>
        <v>43221</v>
      </c>
      <c r="B50" s="517">
        <v>1174455</v>
      </c>
      <c r="C50" s="517">
        <v>39005</v>
      </c>
      <c r="D50" s="517">
        <v>362</v>
      </c>
      <c r="E50" s="517">
        <v>0</v>
      </c>
      <c r="F50" s="517">
        <v>0</v>
      </c>
      <c r="G50" s="517">
        <v>67911</v>
      </c>
      <c r="H50" s="517">
        <v>32088.736132705912</v>
      </c>
      <c r="I50" s="517">
        <v>1118827.2846716342</v>
      </c>
      <c r="J50" s="517">
        <v>40570.700000000004</v>
      </c>
    </row>
    <row r="51" spans="1:10" x14ac:dyDescent="0.25">
      <c r="A51" s="516">
        <f t="shared" si="0"/>
        <v>43252</v>
      </c>
      <c r="B51" s="517">
        <v>2215296</v>
      </c>
      <c r="C51" s="517">
        <v>50654</v>
      </c>
      <c r="D51" s="517">
        <v>282</v>
      </c>
      <c r="E51" s="517">
        <v>0</v>
      </c>
      <c r="F51" s="517">
        <v>1351521</v>
      </c>
      <c r="G51" s="517">
        <v>0</v>
      </c>
      <c r="H51" s="517">
        <v>31520.091714118022</v>
      </c>
      <c r="I51" s="517">
        <v>759733.24641992617</v>
      </c>
      <c r="J51" s="517">
        <v>38478.1</v>
      </c>
    </row>
    <row r="52" spans="1:10" x14ac:dyDescent="0.25">
      <c r="A52" s="516">
        <f t="shared" si="0"/>
        <v>43282</v>
      </c>
      <c r="B52" s="517">
        <v>3539397</v>
      </c>
      <c r="C52" s="517">
        <v>57592</v>
      </c>
      <c r="D52" s="517">
        <v>149</v>
      </c>
      <c r="E52" s="517">
        <v>0</v>
      </c>
      <c r="F52" s="517">
        <v>2790990</v>
      </c>
      <c r="G52" s="517">
        <v>0</v>
      </c>
      <c r="H52" s="517">
        <v>37990</v>
      </c>
      <c r="I52" s="517">
        <v>672699.39336743695</v>
      </c>
      <c r="J52" s="517">
        <v>29245.9</v>
      </c>
    </row>
    <row r="53" spans="1:10" x14ac:dyDescent="0.25">
      <c r="A53" s="516">
        <f t="shared" si="0"/>
        <v>43313</v>
      </c>
      <c r="B53" s="517">
        <v>3513509</v>
      </c>
      <c r="C53" s="517">
        <v>61010</v>
      </c>
      <c r="D53" s="517">
        <v>101</v>
      </c>
      <c r="E53" s="517">
        <v>0</v>
      </c>
      <c r="F53" s="517">
        <v>2771254</v>
      </c>
      <c r="G53" s="517">
        <v>0</v>
      </c>
      <c r="H53" s="517">
        <v>41253.707332392885</v>
      </c>
      <c r="I53" s="517">
        <v>662209.48546529899</v>
      </c>
      <c r="J53" s="517">
        <v>38478.1</v>
      </c>
    </row>
    <row r="54" spans="1:10" x14ac:dyDescent="0.25">
      <c r="A54" s="516">
        <f t="shared" si="0"/>
        <v>43344</v>
      </c>
      <c r="B54" s="517">
        <v>3471043</v>
      </c>
      <c r="C54" s="517">
        <v>62271</v>
      </c>
      <c r="D54" s="517">
        <v>91.5</v>
      </c>
      <c r="E54" s="517">
        <v>0</v>
      </c>
      <c r="F54" s="517">
        <v>2676028</v>
      </c>
      <c r="G54" s="517">
        <v>0</v>
      </c>
      <c r="H54" s="517">
        <v>46028.436483828787</v>
      </c>
      <c r="I54" s="517">
        <v>714681.92008887709</v>
      </c>
      <c r="J54" s="517">
        <v>38478.1</v>
      </c>
    </row>
    <row r="55" spans="1:10" x14ac:dyDescent="0.25">
      <c r="A55" s="516">
        <f t="shared" si="0"/>
        <v>43374</v>
      </c>
      <c r="B55" s="517">
        <v>3423157</v>
      </c>
      <c r="C55" s="517">
        <v>92008</v>
      </c>
      <c r="D55" s="517">
        <v>143</v>
      </c>
      <c r="E55" s="517">
        <v>0</v>
      </c>
      <c r="F55" s="517">
        <v>2157716</v>
      </c>
      <c r="G55" s="517">
        <v>0</v>
      </c>
      <c r="H55" s="517">
        <v>50716.017206050434</v>
      </c>
      <c r="I55" s="517">
        <v>1192617.409521492</v>
      </c>
      <c r="J55" s="517">
        <v>20013.7</v>
      </c>
    </row>
    <row r="56" spans="1:10" x14ac:dyDescent="0.25">
      <c r="A56" s="516">
        <f t="shared" si="0"/>
        <v>43405</v>
      </c>
      <c r="B56" s="517">
        <v>3030422</v>
      </c>
      <c r="C56" s="517">
        <v>57179</v>
      </c>
      <c r="D56" s="517">
        <v>1769</v>
      </c>
      <c r="E56" s="517">
        <v>0</v>
      </c>
      <c r="F56" s="517">
        <v>258328</v>
      </c>
      <c r="G56" s="517">
        <v>200000</v>
      </c>
      <c r="H56" s="517">
        <v>58328</v>
      </c>
      <c r="I56" s="517">
        <v>2834842</v>
      </c>
      <c r="J56" s="517">
        <v>40653</v>
      </c>
    </row>
    <row r="57" spans="1:10" x14ac:dyDescent="0.25">
      <c r="A57" s="516">
        <f t="shared" si="0"/>
        <v>43435</v>
      </c>
      <c r="B57" s="517">
        <v>3329567</v>
      </c>
      <c r="C57" s="517">
        <v>40527</v>
      </c>
      <c r="D57" s="517">
        <v>2226</v>
      </c>
      <c r="E57" s="517">
        <v>0</v>
      </c>
      <c r="F57" s="517">
        <v>0</v>
      </c>
      <c r="G57" s="517">
        <v>2142039</v>
      </c>
      <c r="H57" s="517">
        <v>57961</v>
      </c>
      <c r="I57" s="517">
        <v>5167257</v>
      </c>
      <c r="J57" s="517">
        <v>34803</v>
      </c>
    </row>
    <row r="58" spans="1:10" x14ac:dyDescent="0.25">
      <c r="A58" s="516">
        <f t="shared" si="0"/>
        <v>43466</v>
      </c>
      <c r="B58" s="517">
        <v>3554273</v>
      </c>
      <c r="C58" s="517">
        <v>15224</v>
      </c>
      <c r="D58" s="517">
        <v>1039</v>
      </c>
      <c r="E58" s="517">
        <v>0</v>
      </c>
      <c r="F58" s="517">
        <v>0</v>
      </c>
      <c r="G58" s="517">
        <v>3349043</v>
      </c>
      <c r="H58" s="517">
        <v>50957</v>
      </c>
      <c r="I58" s="517">
        <v>6453549</v>
      </c>
      <c r="J58" s="517">
        <v>34500</v>
      </c>
    </row>
    <row r="59" spans="1:10" x14ac:dyDescent="0.25">
      <c r="A59" s="516">
        <f t="shared" si="0"/>
        <v>43497</v>
      </c>
      <c r="B59" s="517">
        <v>3057930</v>
      </c>
      <c r="C59" s="517">
        <v>13673</v>
      </c>
      <c r="D59" s="517">
        <v>362</v>
      </c>
      <c r="E59" s="517">
        <v>0</v>
      </c>
      <c r="F59" s="517">
        <v>0</v>
      </c>
      <c r="G59" s="517">
        <v>2976839</v>
      </c>
      <c r="H59" s="517">
        <v>43161</v>
      </c>
      <c r="I59" s="517">
        <v>5629263</v>
      </c>
      <c r="J59" s="517">
        <v>40099</v>
      </c>
    </row>
    <row r="60" spans="1:10" x14ac:dyDescent="0.25">
      <c r="A60" s="516">
        <f t="shared" si="0"/>
        <v>43525</v>
      </c>
      <c r="B60" s="517">
        <v>2174909</v>
      </c>
      <c r="C60" s="517">
        <v>24842</v>
      </c>
      <c r="D60" s="517">
        <v>282</v>
      </c>
      <c r="E60" s="517">
        <v>0</v>
      </c>
      <c r="F60" s="517">
        <v>0</v>
      </c>
      <c r="G60" s="517">
        <v>1981815</v>
      </c>
      <c r="H60" s="517">
        <v>38185</v>
      </c>
      <c r="I60" s="517">
        <v>3867714</v>
      </c>
      <c r="J60" s="517">
        <v>27384</v>
      </c>
    </row>
    <row r="61" spans="1:10" x14ac:dyDescent="0.25">
      <c r="A61" s="516">
        <f t="shared" si="0"/>
        <v>43556</v>
      </c>
      <c r="B61" s="517">
        <v>1369843</v>
      </c>
      <c r="C61" s="517">
        <v>27307</v>
      </c>
      <c r="D61" s="517">
        <v>149</v>
      </c>
      <c r="E61" s="517">
        <v>0</v>
      </c>
      <c r="F61" s="517">
        <v>0</v>
      </c>
      <c r="G61" s="517">
        <v>768178</v>
      </c>
      <c r="H61" s="517">
        <v>31822</v>
      </c>
      <c r="I61" s="517">
        <v>1967953</v>
      </c>
      <c r="J61" s="517">
        <v>43490</v>
      </c>
    </row>
    <row r="62" spans="1:10" x14ac:dyDescent="0.25">
      <c r="A62" s="516">
        <f t="shared" si="0"/>
        <v>43586</v>
      </c>
      <c r="B62" s="517">
        <v>1062431</v>
      </c>
      <c r="C62" s="517">
        <v>32358</v>
      </c>
      <c r="D62" s="517">
        <v>101</v>
      </c>
      <c r="E62" s="517">
        <v>0</v>
      </c>
      <c r="F62" s="517">
        <v>0</v>
      </c>
      <c r="G62" s="517">
        <v>167608</v>
      </c>
      <c r="H62" s="517">
        <v>32392</v>
      </c>
      <c r="I62" s="517">
        <v>1107887</v>
      </c>
      <c r="J62" s="517">
        <v>39535</v>
      </c>
    </row>
    <row r="63" spans="1:10" x14ac:dyDescent="0.25">
      <c r="A63" s="516">
        <f t="shared" si="0"/>
        <v>43617</v>
      </c>
      <c r="B63" s="517">
        <v>2268369</v>
      </c>
      <c r="C63" s="517">
        <v>40554</v>
      </c>
      <c r="D63" s="517">
        <v>92</v>
      </c>
      <c r="E63" s="517">
        <v>900</v>
      </c>
      <c r="F63" s="517">
        <v>1434772</v>
      </c>
      <c r="G63" s="517">
        <v>0</v>
      </c>
      <c r="H63" s="517">
        <v>31772</v>
      </c>
      <c r="I63" s="517">
        <v>748216</v>
      </c>
      <c r="J63" s="517">
        <v>32444</v>
      </c>
    </row>
    <row r="64" spans="1:10" x14ac:dyDescent="0.25">
      <c r="A64" s="516">
        <f t="shared" si="0"/>
        <v>43647</v>
      </c>
      <c r="B64" s="517">
        <v>3648064</v>
      </c>
      <c r="C64" s="517">
        <v>42084</v>
      </c>
      <c r="D64" s="517">
        <v>143</v>
      </c>
      <c r="E64" s="517">
        <v>900</v>
      </c>
      <c r="F64" s="517">
        <v>2899907</v>
      </c>
      <c r="G64" s="517">
        <v>0</v>
      </c>
      <c r="H64" s="517">
        <v>42907</v>
      </c>
      <c r="I64" s="517">
        <v>672003</v>
      </c>
      <c r="J64" s="517">
        <v>28203</v>
      </c>
    </row>
    <row r="65" spans="1:10" x14ac:dyDescent="0.25">
      <c r="A65" s="516">
        <f t="shared" si="0"/>
        <v>43678</v>
      </c>
      <c r="B65" s="517">
        <v>3554108</v>
      </c>
      <c r="C65" s="517">
        <v>38339</v>
      </c>
      <c r="D65" s="517">
        <v>636</v>
      </c>
      <c r="E65" s="517">
        <v>3373</v>
      </c>
      <c r="F65" s="517">
        <v>2826752</v>
      </c>
      <c r="G65" s="517">
        <v>0</v>
      </c>
      <c r="H65" s="517">
        <v>46752</v>
      </c>
      <c r="I65" s="517">
        <v>654640</v>
      </c>
      <c r="J65" s="517">
        <v>26424</v>
      </c>
    </row>
    <row r="66" spans="1:10" x14ac:dyDescent="0.25">
      <c r="A66" s="516">
        <f t="shared" si="0"/>
        <v>43709</v>
      </c>
      <c r="B66" s="517">
        <v>3509954</v>
      </c>
      <c r="C66" s="517">
        <v>41958</v>
      </c>
      <c r="D66" s="517">
        <v>1627</v>
      </c>
      <c r="E66" s="517">
        <v>0</v>
      </c>
      <c r="F66" s="517">
        <v>2723123</v>
      </c>
      <c r="G66" s="517">
        <v>0</v>
      </c>
      <c r="H66" s="517">
        <v>53123</v>
      </c>
      <c r="I66" s="517">
        <v>703381</v>
      </c>
      <c r="J66" s="517">
        <v>43243</v>
      </c>
    </row>
    <row r="67" spans="1:10" x14ac:dyDescent="0.25">
      <c r="A67" s="516">
        <f t="shared" si="0"/>
        <v>43739</v>
      </c>
      <c r="B67" s="517">
        <v>3276217</v>
      </c>
      <c r="C67" s="517">
        <v>48541</v>
      </c>
      <c r="D67" s="517">
        <v>2006</v>
      </c>
      <c r="E67" s="517">
        <v>0</v>
      </c>
      <c r="F67" s="517">
        <v>1985561</v>
      </c>
      <c r="G67" s="517">
        <v>0</v>
      </c>
      <c r="H67" s="517">
        <v>55561</v>
      </c>
      <c r="I67" s="517">
        <v>1230186</v>
      </c>
      <c r="J67" s="517">
        <v>20722</v>
      </c>
    </row>
    <row r="68" spans="1:10" x14ac:dyDescent="0.25">
      <c r="A68" s="516">
        <f t="shared" si="0"/>
        <v>43770</v>
      </c>
      <c r="B68" s="517">
        <v>3472948</v>
      </c>
      <c r="C68" s="517">
        <v>51046</v>
      </c>
      <c r="D68" s="517">
        <v>636</v>
      </c>
      <c r="E68" s="517">
        <v>464</v>
      </c>
      <c r="F68" s="517">
        <v>257487</v>
      </c>
      <c r="G68" s="517">
        <v>200000</v>
      </c>
      <c r="H68" s="517">
        <v>57487</v>
      </c>
      <c r="I68" s="517">
        <v>3297396</v>
      </c>
      <c r="J68" s="517">
        <v>24305</v>
      </c>
    </row>
    <row r="69" spans="1:10" x14ac:dyDescent="0.25">
      <c r="A69" s="516">
        <f t="shared" si="0"/>
        <v>43800</v>
      </c>
      <c r="B69" s="517">
        <v>3246280</v>
      </c>
      <c r="C69" s="517">
        <v>40285</v>
      </c>
      <c r="D69" s="517">
        <v>1627</v>
      </c>
      <c r="E69" s="517">
        <v>0</v>
      </c>
      <c r="F69" s="517">
        <v>0</v>
      </c>
      <c r="G69" s="517">
        <v>2146888</v>
      </c>
      <c r="H69" s="517">
        <v>53112</v>
      </c>
      <c r="I69" s="517">
        <v>5089967</v>
      </c>
      <c r="J69" s="517">
        <v>35156</v>
      </c>
    </row>
    <row r="70" spans="1:10" x14ac:dyDescent="0.25">
      <c r="A70" s="516">
        <f t="shared" si="0"/>
        <v>43831</v>
      </c>
      <c r="B70" s="517">
        <v>3748989</v>
      </c>
      <c r="C70" s="517">
        <v>12250</v>
      </c>
      <c r="D70" s="517">
        <v>2006</v>
      </c>
      <c r="E70" s="517">
        <v>989</v>
      </c>
      <c r="F70" s="517">
        <v>0</v>
      </c>
      <c r="G70" s="517">
        <v>3082632</v>
      </c>
      <c r="H70" s="517">
        <v>47368</v>
      </c>
      <c r="I70" s="517">
        <v>6375678</v>
      </c>
      <c r="J70" s="517">
        <v>40389</v>
      </c>
    </row>
    <row r="71" spans="1:10" x14ac:dyDescent="0.25">
      <c r="A71" s="516">
        <f t="shared" si="0"/>
        <v>43862</v>
      </c>
      <c r="B71" s="517">
        <v>2832104</v>
      </c>
      <c r="C71" s="517">
        <v>10395</v>
      </c>
      <c r="D71" s="517">
        <v>1832</v>
      </c>
      <c r="E71" s="517">
        <v>0</v>
      </c>
      <c r="F71" s="517">
        <v>0</v>
      </c>
      <c r="G71" s="517">
        <v>2959821</v>
      </c>
      <c r="H71" s="517">
        <v>40179</v>
      </c>
      <c r="I71" s="517">
        <v>5380615</v>
      </c>
      <c r="J71" s="517">
        <v>33710</v>
      </c>
    </row>
    <row r="72" spans="1:10" x14ac:dyDescent="0.25">
      <c r="A72" s="516">
        <f t="shared" si="0"/>
        <v>43891</v>
      </c>
      <c r="B72" s="517">
        <v>1863341</v>
      </c>
      <c r="C72" s="517">
        <v>24943</v>
      </c>
      <c r="D72" s="517">
        <v>2226</v>
      </c>
      <c r="E72" s="517">
        <v>464</v>
      </c>
      <c r="F72" s="517">
        <v>0</v>
      </c>
      <c r="G72" s="517">
        <v>2185443</v>
      </c>
      <c r="H72" s="517">
        <v>34557</v>
      </c>
      <c r="I72" s="517">
        <v>3752856</v>
      </c>
      <c r="J72" s="517">
        <v>33788</v>
      </c>
    </row>
    <row r="73" spans="1:10" x14ac:dyDescent="0.25">
      <c r="A73" s="516">
        <f t="shared" si="0"/>
        <v>43922</v>
      </c>
      <c r="B73" s="517">
        <v>1274063</v>
      </c>
      <c r="C73" s="517">
        <v>40239</v>
      </c>
      <c r="D73" s="517">
        <v>1039</v>
      </c>
      <c r="E73" s="517">
        <v>0</v>
      </c>
      <c r="F73" s="517">
        <v>0</v>
      </c>
      <c r="G73" s="517">
        <v>771112</v>
      </c>
      <c r="H73" s="517">
        <v>28888</v>
      </c>
      <c r="I73" s="517">
        <v>1892568</v>
      </c>
      <c r="J73" s="517">
        <v>25919</v>
      </c>
    </row>
    <row r="74" spans="1:10" x14ac:dyDescent="0.25">
      <c r="A74" s="516">
        <f>EDATE(A73,1)</f>
        <v>43952</v>
      </c>
      <c r="B74" s="517">
        <v>953468</v>
      </c>
      <c r="C74" s="517">
        <v>44778</v>
      </c>
      <c r="D74" s="517">
        <v>362</v>
      </c>
      <c r="E74" s="517">
        <v>0</v>
      </c>
      <c r="F74" s="517">
        <v>0</v>
      </c>
      <c r="G74" s="517">
        <v>171738</v>
      </c>
      <c r="H74" s="517">
        <v>28262</v>
      </c>
      <c r="I74" s="517">
        <v>1009482</v>
      </c>
      <c r="J74" s="517">
        <v>32926</v>
      </c>
    </row>
    <row r="75" spans="1:10" x14ac:dyDescent="0.25">
      <c r="A75" s="516">
        <f t="shared" si="0"/>
        <v>43983</v>
      </c>
      <c r="B75" s="517">
        <v>2139669</v>
      </c>
      <c r="C75" s="517">
        <v>53456</v>
      </c>
      <c r="D75" s="517">
        <v>282</v>
      </c>
      <c r="E75" s="517">
        <v>866</v>
      </c>
      <c r="F75" s="517">
        <v>1372723</v>
      </c>
      <c r="G75" s="517">
        <v>0</v>
      </c>
      <c r="H75" s="517">
        <v>29723</v>
      </c>
      <c r="I75" s="517">
        <v>683362</v>
      </c>
      <c r="J75" s="517">
        <v>30168</v>
      </c>
    </row>
    <row r="76" spans="1:10" x14ac:dyDescent="0.25">
      <c r="A76" s="516">
        <f t="shared" ref="A76:A141" si="1">EDATE(A75,1)</f>
        <v>44013</v>
      </c>
      <c r="B76" s="517">
        <v>3494306</v>
      </c>
      <c r="C76" s="517">
        <v>47272</v>
      </c>
      <c r="D76" s="517">
        <v>149</v>
      </c>
      <c r="E76" s="517">
        <v>0</v>
      </c>
      <c r="F76" s="517">
        <v>2780384</v>
      </c>
      <c r="G76" s="517">
        <v>0</v>
      </c>
      <c r="H76" s="517">
        <v>35884</v>
      </c>
      <c r="I76" s="517">
        <v>627042</v>
      </c>
      <c r="J76" s="517">
        <v>39954</v>
      </c>
    </row>
    <row r="77" spans="1:10" x14ac:dyDescent="0.25">
      <c r="A77" s="516">
        <f t="shared" si="1"/>
        <v>44044</v>
      </c>
      <c r="B77" s="517">
        <v>3514812</v>
      </c>
      <c r="C77" s="517">
        <v>50430</v>
      </c>
      <c r="D77" s="517">
        <v>101</v>
      </c>
      <c r="E77" s="517">
        <v>1732</v>
      </c>
      <c r="F77" s="517">
        <v>2820023</v>
      </c>
      <c r="G77" s="517">
        <v>0</v>
      </c>
      <c r="H77" s="517">
        <v>42523</v>
      </c>
      <c r="I77" s="517">
        <v>621113</v>
      </c>
      <c r="J77" s="517">
        <v>30022</v>
      </c>
    </row>
    <row r="78" spans="1:10" x14ac:dyDescent="0.25">
      <c r="A78" s="516">
        <f t="shared" si="1"/>
        <v>44075</v>
      </c>
      <c r="B78" s="517">
        <v>3474065</v>
      </c>
      <c r="C78" s="517">
        <v>53449</v>
      </c>
      <c r="D78" s="517">
        <v>92</v>
      </c>
      <c r="E78" s="517">
        <v>0</v>
      </c>
      <c r="F78" s="517">
        <v>2633176</v>
      </c>
      <c r="G78" s="517">
        <v>0</v>
      </c>
      <c r="H78" s="517">
        <v>45676</v>
      </c>
      <c r="I78" s="517">
        <v>774342</v>
      </c>
      <c r="J78" s="517">
        <v>28408</v>
      </c>
    </row>
    <row r="79" spans="1:10" x14ac:dyDescent="0.25">
      <c r="A79" s="516">
        <f t="shared" si="1"/>
        <v>44105</v>
      </c>
      <c r="B79" s="517">
        <v>3712223</v>
      </c>
      <c r="C79" s="517">
        <v>58880</v>
      </c>
      <c r="D79" s="517">
        <v>143</v>
      </c>
      <c r="E79" s="517">
        <v>0</v>
      </c>
      <c r="F79" s="517">
        <v>2151711</v>
      </c>
      <c r="G79" s="517">
        <v>0</v>
      </c>
      <c r="H79" s="517">
        <v>54211</v>
      </c>
      <c r="I79" s="517">
        <v>1500368</v>
      </c>
      <c r="J79" s="517">
        <v>22488</v>
      </c>
    </row>
    <row r="80" spans="1:10" x14ac:dyDescent="0.25">
      <c r="A80" s="516">
        <f t="shared" si="1"/>
        <v>44136</v>
      </c>
      <c r="B80" s="517">
        <v>3728800</v>
      </c>
      <c r="C80" s="517">
        <v>59677</v>
      </c>
      <c r="D80" s="517">
        <v>636</v>
      </c>
      <c r="E80" s="517">
        <v>0</v>
      </c>
      <c r="F80" s="517">
        <v>255622</v>
      </c>
      <c r="G80" s="517">
        <v>200000</v>
      </c>
      <c r="H80" s="517">
        <v>55622</v>
      </c>
      <c r="I80" s="517">
        <v>3559226</v>
      </c>
      <c r="J80" s="517">
        <v>20656</v>
      </c>
    </row>
    <row r="81" spans="1:10" x14ac:dyDescent="0.25">
      <c r="A81" s="516">
        <f t="shared" si="1"/>
        <v>44166</v>
      </c>
      <c r="B81" s="517">
        <v>3260300</v>
      </c>
      <c r="C81" s="517">
        <v>34584</v>
      </c>
      <c r="D81" s="517">
        <v>1627</v>
      </c>
      <c r="E81" s="517">
        <v>1008</v>
      </c>
      <c r="F81" s="517">
        <v>0</v>
      </c>
      <c r="G81" s="517">
        <v>2145815</v>
      </c>
      <c r="H81" s="517">
        <v>54185</v>
      </c>
      <c r="I81" s="517">
        <v>5097700</v>
      </c>
      <c r="J81" s="517">
        <v>39362</v>
      </c>
    </row>
    <row r="82" spans="1:10" x14ac:dyDescent="0.25">
      <c r="A82" s="516">
        <f t="shared" si="1"/>
        <v>44197</v>
      </c>
      <c r="B82" s="517">
        <v>3820887</v>
      </c>
      <c r="C82" s="517">
        <v>19473</v>
      </c>
      <c r="D82" s="517">
        <v>2006</v>
      </c>
      <c r="E82" s="517">
        <v>0</v>
      </c>
      <c r="F82" s="517">
        <v>0</v>
      </c>
      <c r="G82" s="517">
        <v>3084620</v>
      </c>
      <c r="H82" s="517">
        <v>45380</v>
      </c>
      <c r="I82" s="517">
        <v>6466594</v>
      </c>
      <c r="J82" s="517">
        <v>24349</v>
      </c>
    </row>
    <row r="83" spans="1:10" x14ac:dyDescent="0.25">
      <c r="A83" s="516">
        <f t="shared" si="1"/>
        <v>44228</v>
      </c>
      <c r="B83" s="517">
        <v>2486675</v>
      </c>
      <c r="C83" s="517">
        <v>22494</v>
      </c>
      <c r="D83" s="517">
        <v>1769</v>
      </c>
      <c r="E83" s="517">
        <v>0</v>
      </c>
      <c r="F83" s="517">
        <v>0</v>
      </c>
      <c r="G83" s="517">
        <v>2962523</v>
      </c>
      <c r="H83" s="517">
        <v>37477</v>
      </c>
      <c r="I83" s="517">
        <v>5047723</v>
      </c>
      <c r="J83" s="517">
        <v>26249</v>
      </c>
    </row>
    <row r="84" spans="1:10" x14ac:dyDescent="0.25">
      <c r="A84" s="516">
        <f t="shared" si="1"/>
        <v>44256</v>
      </c>
      <c r="B84" s="517">
        <v>2046291</v>
      </c>
      <c r="C84" s="517">
        <v>39599</v>
      </c>
      <c r="D84" s="517">
        <v>2226</v>
      </c>
      <c r="E84" s="517">
        <v>2125</v>
      </c>
      <c r="F84" s="517">
        <v>0</v>
      </c>
      <c r="G84" s="517">
        <v>2117711</v>
      </c>
      <c r="H84" s="517">
        <v>32289</v>
      </c>
      <c r="I84" s="517">
        <v>3876884</v>
      </c>
      <c r="J84" s="517">
        <v>23317</v>
      </c>
    </row>
    <row r="85" spans="1:10" x14ac:dyDescent="0.25">
      <c r="A85" s="516">
        <f t="shared" si="1"/>
        <v>44287</v>
      </c>
      <c r="B85" s="517">
        <v>1186950</v>
      </c>
      <c r="C85" s="517">
        <v>41731</v>
      </c>
      <c r="D85" s="517">
        <v>1039</v>
      </c>
      <c r="E85" s="517">
        <v>945</v>
      </c>
      <c r="F85" s="517">
        <v>0</v>
      </c>
      <c r="G85" s="517">
        <v>770940</v>
      </c>
      <c r="H85" s="517">
        <v>29060</v>
      </c>
      <c r="I85" s="517">
        <v>1807926</v>
      </c>
      <c r="J85" s="517">
        <v>22331</v>
      </c>
    </row>
    <row r="86" spans="1:10" x14ac:dyDescent="0.25">
      <c r="A86" s="516">
        <f t="shared" si="1"/>
        <v>44317</v>
      </c>
      <c r="B86" s="517">
        <v>897087</v>
      </c>
      <c r="C86" s="517">
        <v>41370</v>
      </c>
      <c r="D86" s="517">
        <v>362</v>
      </c>
      <c r="E86" s="517">
        <v>0</v>
      </c>
      <c r="F86" s="517">
        <v>0</v>
      </c>
      <c r="G86" s="517">
        <v>171919</v>
      </c>
      <c r="H86" s="517">
        <v>28081</v>
      </c>
      <c r="I86" s="517">
        <v>963877</v>
      </c>
      <c r="J86" s="517">
        <v>22331</v>
      </c>
    </row>
    <row r="87" spans="1:10" x14ac:dyDescent="0.25">
      <c r="A87" s="516">
        <f t="shared" si="1"/>
        <v>44348</v>
      </c>
      <c r="B87" s="517">
        <v>2210409</v>
      </c>
      <c r="C87" s="517">
        <v>42137</v>
      </c>
      <c r="D87" s="517">
        <v>282</v>
      </c>
      <c r="E87" s="517">
        <v>1543</v>
      </c>
      <c r="F87" s="517">
        <v>1492886</v>
      </c>
      <c r="G87" s="517">
        <v>0</v>
      </c>
      <c r="H87" s="517">
        <v>29886</v>
      </c>
      <c r="I87" s="517">
        <v>641098</v>
      </c>
      <c r="J87" s="517">
        <v>22331</v>
      </c>
    </row>
    <row r="88" spans="1:10" x14ac:dyDescent="0.25">
      <c r="A88" s="516">
        <f t="shared" si="1"/>
        <v>44378</v>
      </c>
      <c r="B88" s="517">
        <v>3368819</v>
      </c>
      <c r="C88" s="517">
        <v>34657</v>
      </c>
      <c r="D88" s="517">
        <v>149</v>
      </c>
      <c r="E88" s="517">
        <v>3527</v>
      </c>
      <c r="F88" s="517">
        <v>2733566</v>
      </c>
      <c r="G88" s="517">
        <v>0</v>
      </c>
      <c r="H88" s="517">
        <v>36566</v>
      </c>
      <c r="I88" s="517">
        <v>562469</v>
      </c>
      <c r="J88" s="517">
        <v>22331</v>
      </c>
    </row>
    <row r="89" spans="1:10" x14ac:dyDescent="0.25">
      <c r="A89" s="516">
        <f t="shared" si="1"/>
        <v>44409</v>
      </c>
      <c r="B89" s="517">
        <v>3418734</v>
      </c>
      <c r="C89" s="517">
        <v>44030</v>
      </c>
      <c r="D89" s="517">
        <v>101</v>
      </c>
      <c r="E89" s="517">
        <v>1763</v>
      </c>
      <c r="F89" s="517">
        <v>2772846</v>
      </c>
      <c r="G89" s="517">
        <v>0</v>
      </c>
      <c r="H89" s="517">
        <v>42846</v>
      </c>
      <c r="I89" s="517">
        <v>579871</v>
      </c>
      <c r="J89" s="517">
        <v>22331</v>
      </c>
    </row>
    <row r="90" spans="1:10" x14ac:dyDescent="0.25">
      <c r="A90" s="516">
        <f t="shared" si="1"/>
        <v>44440</v>
      </c>
      <c r="B90" s="517">
        <v>3388318</v>
      </c>
      <c r="C90" s="517">
        <v>56001</v>
      </c>
      <c r="D90" s="517">
        <v>92</v>
      </c>
      <c r="E90" s="517">
        <v>0</v>
      </c>
      <c r="F90" s="517">
        <v>2588088</v>
      </c>
      <c r="G90" s="517">
        <v>0</v>
      </c>
      <c r="H90" s="517">
        <v>48088</v>
      </c>
      <c r="I90" s="517">
        <v>742399</v>
      </c>
      <c r="J90" s="517">
        <v>19692</v>
      </c>
    </row>
    <row r="91" spans="1:10" x14ac:dyDescent="0.25">
      <c r="A91" s="516">
        <f t="shared" si="1"/>
        <v>44470</v>
      </c>
      <c r="B91" s="517">
        <v>3662012</v>
      </c>
      <c r="C91" s="517">
        <v>60160</v>
      </c>
      <c r="D91" s="517">
        <v>143</v>
      </c>
      <c r="E91" s="517">
        <v>1653</v>
      </c>
      <c r="F91" s="517">
        <v>2103097</v>
      </c>
      <c r="G91" s="517">
        <v>0</v>
      </c>
      <c r="H91" s="517">
        <v>53097</v>
      </c>
      <c r="I91" s="517">
        <v>1492868</v>
      </c>
      <c r="J91" s="517">
        <v>26739</v>
      </c>
    </row>
    <row r="92" spans="1:10" x14ac:dyDescent="0.25">
      <c r="A92" s="516">
        <f t="shared" si="1"/>
        <v>44501</v>
      </c>
      <c r="B92" s="518">
        <v>3386336</v>
      </c>
      <c r="C92" s="518">
        <v>65157</v>
      </c>
      <c r="D92" s="518">
        <v>636</v>
      </c>
      <c r="E92" s="518">
        <v>0</v>
      </c>
      <c r="F92" s="518">
        <v>253288</v>
      </c>
      <c r="G92" s="518">
        <v>200000</v>
      </c>
      <c r="H92" s="518">
        <v>53288</v>
      </c>
      <c r="I92" s="518">
        <v>3219568</v>
      </c>
      <c r="J92" s="518">
        <v>22347</v>
      </c>
    </row>
    <row r="93" spans="1:10" x14ac:dyDescent="0.25">
      <c r="A93" s="516">
        <f t="shared" si="1"/>
        <v>44531</v>
      </c>
      <c r="B93" s="518">
        <v>3238708</v>
      </c>
      <c r="C93" s="518">
        <v>51906</v>
      </c>
      <c r="D93" s="518">
        <v>1627</v>
      </c>
      <c r="E93" s="518">
        <v>0</v>
      </c>
      <c r="F93" s="518">
        <v>0</v>
      </c>
      <c r="G93" s="518">
        <v>2147584</v>
      </c>
      <c r="H93" s="518">
        <v>52416</v>
      </c>
      <c r="I93" s="518">
        <v>5117483</v>
      </c>
      <c r="J93" s="518">
        <v>19678</v>
      </c>
    </row>
    <row r="94" spans="1:10" x14ac:dyDescent="0.25">
      <c r="A94" s="516">
        <f t="shared" si="1"/>
        <v>44562</v>
      </c>
      <c r="B94" s="518">
        <v>3117301</v>
      </c>
      <c r="C94" s="518">
        <v>42306</v>
      </c>
      <c r="D94" s="518">
        <v>2006</v>
      </c>
      <c r="E94" s="518">
        <v>0</v>
      </c>
      <c r="F94" s="518">
        <v>0</v>
      </c>
      <c r="G94" s="518">
        <v>3375621</v>
      </c>
      <c r="H94" s="518">
        <v>44379</v>
      </c>
      <c r="I94" s="518">
        <v>6081812</v>
      </c>
      <c r="J94" s="518">
        <v>19233</v>
      </c>
    </row>
    <row r="95" spans="1:10" x14ac:dyDescent="0.25">
      <c r="A95" s="516">
        <f t="shared" si="1"/>
        <v>44593</v>
      </c>
      <c r="B95" s="518">
        <v>2396930</v>
      </c>
      <c r="C95" s="518">
        <v>43450</v>
      </c>
      <c r="D95" s="518">
        <v>1769</v>
      </c>
      <c r="E95" s="518">
        <v>0</v>
      </c>
      <c r="F95" s="518">
        <v>0</v>
      </c>
      <c r="G95" s="518">
        <v>3088247</v>
      </c>
      <c r="H95" s="518">
        <v>41753</v>
      </c>
      <c r="I95" s="518">
        <v>5108861</v>
      </c>
      <c r="J95" s="518">
        <v>22846</v>
      </c>
    </row>
    <row r="96" spans="1:10" x14ac:dyDescent="0.25">
      <c r="A96" s="516">
        <f t="shared" si="1"/>
        <v>44621</v>
      </c>
      <c r="B96" s="518">
        <v>2448478</v>
      </c>
      <c r="C96" s="518">
        <v>61771</v>
      </c>
      <c r="D96" s="518">
        <v>2226</v>
      </c>
      <c r="E96" s="518">
        <v>0</v>
      </c>
      <c r="F96" s="518">
        <v>0</v>
      </c>
      <c r="G96" s="518">
        <v>1856482</v>
      </c>
      <c r="H96" s="518">
        <v>33518</v>
      </c>
      <c r="I96" s="518">
        <v>4024853</v>
      </c>
      <c r="J96" s="518">
        <v>18361</v>
      </c>
    </row>
    <row r="97" spans="1:10" x14ac:dyDescent="0.25">
      <c r="A97" s="516">
        <f t="shared" si="1"/>
        <v>44652</v>
      </c>
      <c r="B97" s="518">
        <v>1476059</v>
      </c>
      <c r="C97" s="518">
        <v>69194</v>
      </c>
      <c r="D97" s="518">
        <v>1039</v>
      </c>
      <c r="E97" s="518">
        <v>0</v>
      </c>
      <c r="F97" s="518">
        <v>0</v>
      </c>
      <c r="G97" s="518">
        <v>769095</v>
      </c>
      <c r="H97" s="518">
        <v>30905</v>
      </c>
      <c r="I97" s="518">
        <v>2102071</v>
      </c>
      <c r="J97" s="518">
        <v>18471</v>
      </c>
    </row>
    <row r="98" spans="1:10" x14ac:dyDescent="0.25">
      <c r="A98" s="516">
        <f t="shared" si="1"/>
        <v>44682</v>
      </c>
      <c r="B98" s="518">
        <v>1121707</v>
      </c>
      <c r="C98" s="518">
        <v>74775</v>
      </c>
      <c r="D98" s="518">
        <v>362</v>
      </c>
      <c r="E98" s="518">
        <v>0</v>
      </c>
      <c r="F98" s="518">
        <v>0</v>
      </c>
      <c r="G98" s="518">
        <v>169546</v>
      </c>
      <c r="H98" s="518">
        <v>30454</v>
      </c>
      <c r="I98" s="518">
        <v>1191368</v>
      </c>
      <c r="J98" s="518">
        <v>17490</v>
      </c>
    </row>
    <row r="99" spans="1:10" x14ac:dyDescent="0.25">
      <c r="A99" s="516">
        <f t="shared" si="1"/>
        <v>44713</v>
      </c>
      <c r="B99" s="518">
        <v>2311942</v>
      </c>
      <c r="C99" s="518">
        <v>58510</v>
      </c>
      <c r="D99" s="518">
        <v>282</v>
      </c>
      <c r="E99" s="518">
        <v>0</v>
      </c>
      <c r="F99" s="518">
        <v>1505957</v>
      </c>
      <c r="G99" s="518">
        <v>0</v>
      </c>
      <c r="H99" s="518">
        <v>27990</v>
      </c>
      <c r="I99" s="518">
        <v>736290</v>
      </c>
      <c r="J99" s="518">
        <v>16509</v>
      </c>
    </row>
    <row r="100" spans="1:10" x14ac:dyDescent="0.25">
      <c r="A100" s="516">
        <f t="shared" si="1"/>
        <v>44743</v>
      </c>
      <c r="B100" s="518">
        <v>3528878</v>
      </c>
      <c r="C100" s="518">
        <v>55216</v>
      </c>
      <c r="D100" s="518">
        <v>149</v>
      </c>
      <c r="E100" s="518">
        <v>0</v>
      </c>
      <c r="F100" s="518">
        <v>2793849</v>
      </c>
      <c r="G100" s="518">
        <v>0</v>
      </c>
      <c r="H100" s="518">
        <v>37849</v>
      </c>
      <c r="I100" s="518">
        <v>670263</v>
      </c>
      <c r="J100" s="518">
        <v>17490</v>
      </c>
    </row>
    <row r="101" spans="1:10" x14ac:dyDescent="0.25">
      <c r="A101" s="516">
        <f t="shared" si="1"/>
        <v>44774</v>
      </c>
      <c r="B101" s="518">
        <v>3534449</v>
      </c>
      <c r="C101" s="518">
        <v>73156</v>
      </c>
      <c r="D101" s="518">
        <v>101</v>
      </c>
      <c r="E101" s="518">
        <v>0</v>
      </c>
      <c r="F101" s="518">
        <v>2157000</v>
      </c>
      <c r="G101" s="518">
        <v>0</v>
      </c>
      <c r="H101" s="518">
        <v>62543</v>
      </c>
      <c r="I101" s="518">
        <v>671507</v>
      </c>
      <c r="J101" s="518">
        <v>17490</v>
      </c>
    </row>
    <row r="102" spans="1:10" x14ac:dyDescent="0.25">
      <c r="A102" s="516">
        <f t="shared" si="1"/>
        <v>44805</v>
      </c>
      <c r="B102" s="518">
        <v>3462104</v>
      </c>
      <c r="C102" s="518">
        <v>74365</v>
      </c>
      <c r="D102" s="518">
        <v>92</v>
      </c>
      <c r="E102" s="518">
        <v>0</v>
      </c>
      <c r="F102" s="518">
        <v>2084000</v>
      </c>
      <c r="G102" s="518">
        <v>0</v>
      </c>
      <c r="H102" s="518">
        <v>47932</v>
      </c>
      <c r="I102" s="518">
        <v>783136</v>
      </c>
      <c r="J102" s="518">
        <v>15683</v>
      </c>
    </row>
    <row r="103" spans="1:10" x14ac:dyDescent="0.25">
      <c r="A103" s="516">
        <f t="shared" si="1"/>
        <v>44835</v>
      </c>
      <c r="B103" s="518">
        <v>3780533</v>
      </c>
      <c r="C103" s="518">
        <v>80684</v>
      </c>
      <c r="D103" s="518">
        <v>143</v>
      </c>
      <c r="E103" s="518">
        <v>0</v>
      </c>
      <c r="F103" s="518">
        <v>1800000</v>
      </c>
      <c r="G103" s="518">
        <v>0</v>
      </c>
      <c r="H103" s="518">
        <v>51814</v>
      </c>
      <c r="I103" s="518">
        <v>1580455</v>
      </c>
      <c r="J103" s="518">
        <v>16417</v>
      </c>
    </row>
    <row r="104" spans="1:10" x14ac:dyDescent="0.25">
      <c r="A104" s="516">
        <f t="shared" si="1"/>
        <v>44866</v>
      </c>
      <c r="B104" s="518">
        <v>3452225</v>
      </c>
      <c r="C104" s="518">
        <v>60350</v>
      </c>
      <c r="D104" s="518">
        <v>636</v>
      </c>
      <c r="E104" s="518">
        <v>0</v>
      </c>
      <c r="F104" s="518">
        <v>252894</v>
      </c>
      <c r="G104" s="518">
        <v>200000</v>
      </c>
      <c r="H104" s="518">
        <v>52894</v>
      </c>
      <c r="I104" s="518">
        <v>3284877</v>
      </c>
      <c r="J104" s="518">
        <v>23182</v>
      </c>
    </row>
    <row r="105" spans="1:10" x14ac:dyDescent="0.25">
      <c r="A105" s="516">
        <f t="shared" si="1"/>
        <v>44896</v>
      </c>
      <c r="B105" s="518">
        <v>3585772</v>
      </c>
      <c r="C105" s="518">
        <v>52336</v>
      </c>
      <c r="D105" s="518">
        <v>1627</v>
      </c>
      <c r="E105" s="518">
        <v>0</v>
      </c>
      <c r="F105" s="518">
        <v>0</v>
      </c>
      <c r="G105" s="518">
        <v>1791334</v>
      </c>
      <c r="H105" s="518">
        <v>54011</v>
      </c>
      <c r="I105" s="518">
        <v>5110180</v>
      </c>
      <c r="J105" s="518">
        <v>19340</v>
      </c>
    </row>
    <row r="106" spans="1:10" x14ac:dyDescent="0.25">
      <c r="A106" s="516">
        <f t="shared" si="1"/>
        <v>44927</v>
      </c>
      <c r="B106" s="518">
        <v>3813027</v>
      </c>
      <c r="C106" s="518">
        <v>49547</v>
      </c>
      <c r="D106" s="518">
        <v>2006</v>
      </c>
      <c r="E106" s="518">
        <v>0</v>
      </c>
      <c r="F106" s="518">
        <v>0</v>
      </c>
      <c r="G106" s="518">
        <v>2750220</v>
      </c>
      <c r="H106" s="518">
        <v>13530</v>
      </c>
      <c r="I106" s="518">
        <v>6151729</v>
      </c>
      <c r="J106" s="518">
        <v>17725</v>
      </c>
    </row>
    <row r="107" spans="1:10" x14ac:dyDescent="0.25">
      <c r="A107" s="516">
        <f t="shared" si="1"/>
        <v>44958</v>
      </c>
      <c r="B107" s="518">
        <v>2914569</v>
      </c>
      <c r="C107" s="518">
        <v>41439</v>
      </c>
      <c r="D107" s="518">
        <v>1769</v>
      </c>
      <c r="E107" s="518">
        <v>0</v>
      </c>
      <c r="F107" s="518">
        <v>0</v>
      </c>
      <c r="G107" s="518">
        <v>2609847</v>
      </c>
      <c r="H107" s="518">
        <v>13903</v>
      </c>
      <c r="I107" s="518">
        <v>5151024</v>
      </c>
      <c r="J107" s="518">
        <v>17443</v>
      </c>
    </row>
    <row r="108" spans="1:10" x14ac:dyDescent="0.25">
      <c r="A108" s="516">
        <f t="shared" si="1"/>
        <v>44986</v>
      </c>
      <c r="B108" s="518">
        <v>2788604</v>
      </c>
      <c r="C108" s="518">
        <v>61564</v>
      </c>
      <c r="D108" s="518">
        <v>2226</v>
      </c>
      <c r="E108" s="518">
        <v>0</v>
      </c>
      <c r="F108" s="518">
        <v>0</v>
      </c>
      <c r="G108" s="518">
        <v>1372058</v>
      </c>
      <c r="H108" s="518">
        <v>11692</v>
      </c>
      <c r="I108" s="518">
        <v>3881113</v>
      </c>
      <c r="J108" s="518">
        <v>18632</v>
      </c>
    </row>
    <row r="109" spans="1:10" x14ac:dyDescent="0.25">
      <c r="A109" s="516">
        <f t="shared" si="1"/>
        <v>45017</v>
      </c>
      <c r="B109" s="518">
        <v>1444082</v>
      </c>
      <c r="C109" s="518">
        <v>70312</v>
      </c>
      <c r="D109" s="518">
        <v>1039</v>
      </c>
      <c r="E109" s="518">
        <v>0</v>
      </c>
      <c r="F109" s="518">
        <v>0</v>
      </c>
      <c r="G109" s="518">
        <v>682828</v>
      </c>
      <c r="H109" s="518">
        <v>10922</v>
      </c>
      <c r="I109" s="518">
        <v>1985223</v>
      </c>
      <c r="J109" s="518">
        <v>17292</v>
      </c>
    </row>
    <row r="110" spans="1:10" x14ac:dyDescent="0.25">
      <c r="A110" s="516">
        <f t="shared" si="1"/>
        <v>45047</v>
      </c>
      <c r="B110" s="518">
        <v>917653</v>
      </c>
      <c r="C110" s="518">
        <v>64367</v>
      </c>
      <c r="D110" s="518">
        <v>362</v>
      </c>
      <c r="E110" s="518">
        <v>0</v>
      </c>
      <c r="F110" s="518">
        <v>0</v>
      </c>
      <c r="G110" s="518">
        <v>283869</v>
      </c>
      <c r="H110" s="518">
        <v>9881</v>
      </c>
      <c r="I110" s="518">
        <v>1099875</v>
      </c>
      <c r="J110" s="518">
        <v>19259</v>
      </c>
    </row>
    <row r="111" spans="1:10" x14ac:dyDescent="0.25">
      <c r="A111" s="516">
        <f t="shared" si="1"/>
        <v>45078</v>
      </c>
      <c r="B111" s="518">
        <v>2264177</v>
      </c>
      <c r="C111" s="518">
        <v>59256</v>
      </c>
      <c r="D111" s="518">
        <v>282</v>
      </c>
      <c r="E111" s="518">
        <v>0</v>
      </c>
      <c r="F111" s="518">
        <v>1462720</v>
      </c>
      <c r="G111" s="518">
        <v>0</v>
      </c>
      <c r="H111" s="518">
        <v>9570</v>
      </c>
      <c r="I111" s="518">
        <v>725702</v>
      </c>
      <c r="J111" s="518">
        <v>22537</v>
      </c>
    </row>
    <row r="112" spans="1:10" x14ac:dyDescent="0.25">
      <c r="A112" s="516">
        <f t="shared" si="1"/>
        <v>45108</v>
      </c>
      <c r="B112" s="518">
        <v>2944627</v>
      </c>
      <c r="C112" s="518">
        <v>54515</v>
      </c>
      <c r="D112" s="518">
        <v>149</v>
      </c>
      <c r="E112" s="518">
        <v>0</v>
      </c>
      <c r="F112" s="518">
        <v>2165482</v>
      </c>
      <c r="G112" s="518">
        <v>0</v>
      </c>
      <c r="H112" s="518">
        <v>9482</v>
      </c>
      <c r="I112" s="518">
        <v>715511</v>
      </c>
      <c r="J112" s="518">
        <v>16358</v>
      </c>
    </row>
    <row r="113" spans="1:10" x14ac:dyDescent="0.25">
      <c r="A113" s="516">
        <f t="shared" si="1"/>
        <v>45139</v>
      </c>
      <c r="B113" s="518">
        <v>2861296</v>
      </c>
      <c r="C113" s="518">
        <v>55430</v>
      </c>
      <c r="D113" s="518">
        <v>101</v>
      </c>
      <c r="E113" s="518">
        <v>0</v>
      </c>
      <c r="F113" s="518">
        <v>2129482</v>
      </c>
      <c r="G113" s="518">
        <v>0</v>
      </c>
      <c r="H113" s="518">
        <v>9482</v>
      </c>
      <c r="I113" s="518">
        <v>675736</v>
      </c>
      <c r="J113" s="518">
        <v>13169</v>
      </c>
    </row>
    <row r="114" spans="1:10" x14ac:dyDescent="0.25">
      <c r="A114" s="516">
        <f t="shared" si="1"/>
        <v>45170</v>
      </c>
      <c r="B114" s="518">
        <v>2797257</v>
      </c>
      <c r="C114" s="518">
        <v>61481</v>
      </c>
      <c r="D114" s="518">
        <v>92</v>
      </c>
      <c r="E114" s="518">
        <v>0</v>
      </c>
      <c r="F114" s="518">
        <v>1993823</v>
      </c>
      <c r="G114" s="518">
        <v>0</v>
      </c>
      <c r="H114" s="518">
        <v>9453</v>
      </c>
      <c r="I114" s="518">
        <v>744945</v>
      </c>
      <c r="J114" s="518">
        <v>17952</v>
      </c>
    </row>
    <row r="115" spans="1:10" x14ac:dyDescent="0.25">
      <c r="A115" s="516">
        <f t="shared" si="1"/>
        <v>45200</v>
      </c>
      <c r="B115" s="518">
        <v>2930174</v>
      </c>
      <c r="C115" s="518">
        <v>73931</v>
      </c>
      <c r="D115" s="518">
        <v>143</v>
      </c>
      <c r="E115" s="518">
        <v>0</v>
      </c>
      <c r="F115" s="518">
        <v>1336328</v>
      </c>
      <c r="G115" s="518">
        <v>0</v>
      </c>
      <c r="H115" s="518">
        <v>9879</v>
      </c>
      <c r="I115" s="518">
        <v>1542762</v>
      </c>
      <c r="J115" s="518">
        <v>9981</v>
      </c>
    </row>
    <row r="116" spans="1:10" x14ac:dyDescent="0.25">
      <c r="A116" s="516">
        <f t="shared" si="1"/>
        <v>45231</v>
      </c>
      <c r="B116" s="518">
        <v>3561525</v>
      </c>
      <c r="C116" s="518">
        <v>25786</v>
      </c>
      <c r="D116" s="518">
        <v>636</v>
      </c>
      <c r="E116" s="518">
        <v>0</v>
      </c>
      <c r="F116" s="518">
        <v>208123</v>
      </c>
      <c r="G116" s="518">
        <v>0</v>
      </c>
      <c r="H116" s="518">
        <v>10195</v>
      </c>
      <c r="I116" s="518">
        <v>3245624</v>
      </c>
      <c r="J116" s="518">
        <v>18291</v>
      </c>
    </row>
    <row r="117" spans="1:10" x14ac:dyDescent="0.25">
      <c r="A117" s="516">
        <f t="shared" si="1"/>
        <v>45261</v>
      </c>
      <c r="B117" s="518">
        <v>3677662</v>
      </c>
      <c r="C117" s="518">
        <v>15743</v>
      </c>
      <c r="D117" s="518">
        <v>1627</v>
      </c>
      <c r="E117" s="518">
        <v>0</v>
      </c>
      <c r="F117" s="519">
        <v>0</v>
      </c>
      <c r="G117" s="518">
        <v>1738800</v>
      </c>
      <c r="H117" s="518">
        <v>11200</v>
      </c>
      <c r="I117" s="518">
        <v>5151336</v>
      </c>
      <c r="J117" s="518">
        <v>19895</v>
      </c>
    </row>
    <row r="118" spans="1:10" x14ac:dyDescent="0.25">
      <c r="A118" s="516">
        <f t="shared" si="1"/>
        <v>45292</v>
      </c>
      <c r="B118" s="518">
        <v>3960067</v>
      </c>
      <c r="C118" s="518">
        <v>8122</v>
      </c>
      <c r="D118" s="518">
        <v>2006</v>
      </c>
      <c r="E118" s="518">
        <v>0</v>
      </c>
      <c r="F118" s="518">
        <v>0</v>
      </c>
      <c r="G118" s="518">
        <v>2656767</v>
      </c>
      <c r="H118" s="518">
        <v>13233</v>
      </c>
      <c r="I118" s="518">
        <v>6202516</v>
      </c>
      <c r="J118" s="518">
        <v>19319</v>
      </c>
    </row>
    <row r="119" spans="1:10" x14ac:dyDescent="0.25">
      <c r="A119" s="516">
        <f t="shared" si="1"/>
        <v>45323</v>
      </c>
      <c r="B119" s="518">
        <v>3190971</v>
      </c>
      <c r="C119" s="518">
        <v>11902</v>
      </c>
      <c r="D119" s="518">
        <v>1832</v>
      </c>
      <c r="E119" s="518">
        <v>0</v>
      </c>
      <c r="F119" s="518">
        <v>0</v>
      </c>
      <c r="G119" s="518">
        <v>2517091</v>
      </c>
      <c r="H119" s="518">
        <v>12909</v>
      </c>
      <c r="I119" s="518">
        <v>5321732</v>
      </c>
      <c r="J119" s="518">
        <v>21234</v>
      </c>
    </row>
    <row r="120" spans="1:10" x14ac:dyDescent="0.25">
      <c r="A120" s="516">
        <f t="shared" si="1"/>
        <v>45352</v>
      </c>
      <c r="B120" s="518">
        <v>2924010</v>
      </c>
      <c r="C120" s="518">
        <v>26482</v>
      </c>
      <c r="D120" s="518">
        <v>2226</v>
      </c>
      <c r="E120" s="518">
        <v>0</v>
      </c>
      <c r="F120" s="518">
        <v>0</v>
      </c>
      <c r="G120" s="518">
        <v>1278192</v>
      </c>
      <c r="H120" s="518">
        <v>11808</v>
      </c>
      <c r="I120" s="518">
        <v>3928319</v>
      </c>
      <c r="J120" s="520">
        <v>18136</v>
      </c>
    </row>
    <row r="121" spans="1:10" x14ac:dyDescent="0.25">
      <c r="A121" s="516">
        <f t="shared" si="1"/>
        <v>45383</v>
      </c>
      <c r="B121" s="518">
        <v>1871799</v>
      </c>
      <c r="C121" s="518">
        <v>33801</v>
      </c>
      <c r="D121" s="518">
        <v>1039</v>
      </c>
      <c r="E121" s="518">
        <v>0</v>
      </c>
      <c r="F121" s="518">
        <v>255126</v>
      </c>
      <c r="G121" s="518">
        <v>600000</v>
      </c>
      <c r="H121" s="518">
        <v>11126</v>
      </c>
      <c r="I121" s="518">
        <v>2068149</v>
      </c>
      <c r="J121" s="520">
        <v>26663</v>
      </c>
    </row>
    <row r="122" spans="1:10" x14ac:dyDescent="0.25">
      <c r="A122" s="516">
        <f t="shared" si="1"/>
        <v>45413</v>
      </c>
      <c r="B122" s="518">
        <v>2071935</v>
      </c>
      <c r="C122" s="518">
        <v>36384</v>
      </c>
      <c r="D122" s="518">
        <v>362</v>
      </c>
      <c r="E122" s="518">
        <v>0</v>
      </c>
      <c r="F122" s="518">
        <v>1073626</v>
      </c>
      <c r="G122" s="518">
        <v>200000</v>
      </c>
      <c r="H122" s="518">
        <v>11126</v>
      </c>
      <c r="I122" s="518">
        <v>1099855</v>
      </c>
      <c r="J122" s="520">
        <v>16141</v>
      </c>
    </row>
    <row r="123" spans="1:10" x14ac:dyDescent="0.25">
      <c r="A123" s="516">
        <f t="shared" si="1"/>
        <v>45444</v>
      </c>
      <c r="B123" s="518">
        <v>2190714</v>
      </c>
      <c r="C123" s="518">
        <v>33913</v>
      </c>
      <c r="D123" s="518">
        <v>282</v>
      </c>
      <c r="E123" s="518">
        <v>0</v>
      </c>
      <c r="F123" s="518">
        <v>1400118</v>
      </c>
      <c r="G123" s="518">
        <v>0</v>
      </c>
      <c r="H123" s="518">
        <v>9618</v>
      </c>
      <c r="I123" s="518">
        <v>721838</v>
      </c>
      <c r="J123" s="520">
        <v>14640</v>
      </c>
    </row>
    <row r="124" spans="1:10" x14ac:dyDescent="0.25">
      <c r="A124" s="516">
        <f t="shared" si="1"/>
        <v>45474</v>
      </c>
      <c r="B124" s="518">
        <v>2372648</v>
      </c>
      <c r="C124" s="518">
        <v>38083</v>
      </c>
      <c r="D124" s="518">
        <v>149</v>
      </c>
      <c r="E124" s="518">
        <v>0</v>
      </c>
      <c r="F124" s="518">
        <v>1657020</v>
      </c>
      <c r="G124" s="518">
        <v>0</v>
      </c>
      <c r="H124" s="518">
        <v>9520</v>
      </c>
      <c r="I124" s="518">
        <v>649192</v>
      </c>
      <c r="J124" s="520">
        <v>17511</v>
      </c>
    </row>
    <row r="125" spans="1:10" x14ac:dyDescent="0.25">
      <c r="A125" s="516">
        <f t="shared" si="1"/>
        <v>45505</v>
      </c>
      <c r="B125" s="518">
        <v>2360826</v>
      </c>
      <c r="C125" s="518">
        <v>40145</v>
      </c>
      <c r="D125" s="518">
        <v>101</v>
      </c>
      <c r="E125" s="518">
        <v>0</v>
      </c>
      <c r="F125" s="518">
        <v>1657038</v>
      </c>
      <c r="G125" s="518">
        <v>0</v>
      </c>
      <c r="H125" s="518">
        <v>9538</v>
      </c>
      <c r="I125" s="518">
        <v>642002</v>
      </c>
      <c r="J125" s="520">
        <v>16141</v>
      </c>
    </row>
    <row r="126" spans="1:10" x14ac:dyDescent="0.25">
      <c r="A126" s="516">
        <f t="shared" si="1"/>
        <v>45536</v>
      </c>
      <c r="B126" s="518">
        <v>2390987</v>
      </c>
      <c r="C126" s="518">
        <v>35186</v>
      </c>
      <c r="D126" s="518">
        <v>92</v>
      </c>
      <c r="E126" s="518">
        <v>0</v>
      </c>
      <c r="F126" s="518">
        <v>1622942</v>
      </c>
      <c r="G126" s="518">
        <v>0</v>
      </c>
      <c r="H126" s="518">
        <v>9442</v>
      </c>
      <c r="I126" s="518">
        <v>708296</v>
      </c>
      <c r="J126" s="520">
        <v>17642</v>
      </c>
    </row>
    <row r="127" spans="1:10" x14ac:dyDescent="0.25">
      <c r="A127" s="516">
        <f t="shared" si="1"/>
        <v>45566</v>
      </c>
      <c r="B127" s="518">
        <v>2813953</v>
      </c>
      <c r="C127" s="518">
        <v>35317</v>
      </c>
      <c r="D127" s="518">
        <v>143</v>
      </c>
      <c r="E127" s="518">
        <v>0</v>
      </c>
      <c r="F127" s="518">
        <v>1243941</v>
      </c>
      <c r="G127" s="518">
        <v>0</v>
      </c>
      <c r="H127" s="518">
        <v>9441</v>
      </c>
      <c r="I127" s="518">
        <v>1516819</v>
      </c>
      <c r="J127" s="520">
        <v>14183</v>
      </c>
    </row>
    <row r="128" spans="1:10" x14ac:dyDescent="0.25">
      <c r="A128" s="516">
        <f t="shared" si="1"/>
        <v>45597</v>
      </c>
      <c r="B128" s="518">
        <v>3610774</v>
      </c>
      <c r="C128" s="518">
        <v>34240</v>
      </c>
      <c r="D128" s="518">
        <v>636</v>
      </c>
      <c r="E128" s="518">
        <v>0</v>
      </c>
      <c r="F128" s="518">
        <v>300000</v>
      </c>
      <c r="G128" s="518">
        <v>0</v>
      </c>
      <c r="H128" s="518">
        <v>10742</v>
      </c>
      <c r="I128" s="518">
        <v>3202433</v>
      </c>
      <c r="J128" s="518">
        <v>19521</v>
      </c>
    </row>
    <row r="129" spans="1:10" x14ac:dyDescent="0.25">
      <c r="A129" s="516">
        <f t="shared" si="1"/>
        <v>45627</v>
      </c>
      <c r="B129" s="518">
        <v>3650393</v>
      </c>
      <c r="C129" s="518">
        <v>22559</v>
      </c>
      <c r="D129" s="518">
        <v>1627</v>
      </c>
      <c r="E129" s="518">
        <v>0</v>
      </c>
      <c r="F129" s="518">
        <v>0</v>
      </c>
      <c r="G129" s="518">
        <v>1738800</v>
      </c>
      <c r="H129" s="518">
        <v>12190</v>
      </c>
      <c r="I129" s="518">
        <v>5118215</v>
      </c>
      <c r="J129" s="518">
        <v>26469</v>
      </c>
    </row>
    <row r="130" spans="1:10" x14ac:dyDescent="0.25">
      <c r="A130" s="516">
        <f t="shared" si="1"/>
        <v>45658</v>
      </c>
      <c r="B130" s="518">
        <v>3898811</v>
      </c>
      <c r="C130" s="518">
        <v>11953</v>
      </c>
      <c r="D130" s="518">
        <v>2006</v>
      </c>
      <c r="E130" s="518">
        <v>0</v>
      </c>
      <c r="F130" s="518">
        <v>0</v>
      </c>
      <c r="G130" s="518">
        <v>2656767</v>
      </c>
      <c r="H130" s="518">
        <v>13364</v>
      </c>
      <c r="I130" s="518">
        <v>6146062</v>
      </c>
      <c r="J130" s="518">
        <v>16933</v>
      </c>
    </row>
    <row r="131" spans="1:10" x14ac:dyDescent="0.25">
      <c r="A131" s="516">
        <f t="shared" si="1"/>
        <v>45689</v>
      </c>
      <c r="B131" s="518">
        <v>3032937</v>
      </c>
      <c r="C131" s="518">
        <v>16115</v>
      </c>
      <c r="D131" s="518">
        <v>1769</v>
      </c>
      <c r="E131" s="518">
        <v>0</v>
      </c>
      <c r="F131" s="518">
        <v>0</v>
      </c>
      <c r="G131" s="518">
        <v>2517091</v>
      </c>
      <c r="H131" s="518">
        <v>12339</v>
      </c>
      <c r="I131" s="518">
        <v>5188094</v>
      </c>
      <c r="J131" s="518">
        <v>12749</v>
      </c>
    </row>
    <row r="132" spans="1:10" x14ac:dyDescent="0.25">
      <c r="A132" s="516">
        <f t="shared" si="1"/>
        <v>45717</v>
      </c>
      <c r="B132" s="518">
        <v>2878902</v>
      </c>
      <c r="C132" s="518">
        <v>31890</v>
      </c>
      <c r="D132" s="518">
        <v>2226</v>
      </c>
      <c r="E132" s="518">
        <v>0</v>
      </c>
      <c r="F132" s="518">
        <v>0</v>
      </c>
      <c r="G132" s="518">
        <v>1278192</v>
      </c>
      <c r="H132" s="518">
        <v>11257</v>
      </c>
      <c r="I132" s="518">
        <v>3882661</v>
      </c>
      <c r="J132" s="518">
        <v>20103</v>
      </c>
    </row>
    <row r="133" spans="1:10" x14ac:dyDescent="0.25">
      <c r="A133" s="516">
        <f t="shared" si="1"/>
        <v>45748</v>
      </c>
      <c r="B133" s="518">
        <v>1843886</v>
      </c>
      <c r="C133" s="518">
        <v>35936</v>
      </c>
      <c r="D133" s="518">
        <v>1039</v>
      </c>
      <c r="E133" s="518">
        <v>0</v>
      </c>
      <c r="F133" s="518">
        <v>255126</v>
      </c>
      <c r="G133" s="518">
        <v>601589</v>
      </c>
      <c r="H133" s="518">
        <v>10487</v>
      </c>
      <c r="I133" s="518">
        <v>2054417</v>
      </c>
      <c r="J133" s="518">
        <v>14502</v>
      </c>
    </row>
    <row r="134" spans="1:10" x14ac:dyDescent="0.25">
      <c r="A134" s="516">
        <f t="shared" si="1"/>
        <v>45778</v>
      </c>
      <c r="B134" s="518">
        <v>2072439</v>
      </c>
      <c r="C134" s="518">
        <v>39206</v>
      </c>
      <c r="D134" s="518">
        <v>362</v>
      </c>
      <c r="E134" s="518">
        <v>0</v>
      </c>
      <c r="F134" s="518">
        <v>1073626</v>
      </c>
      <c r="G134" s="518">
        <v>200000</v>
      </c>
      <c r="H134" s="518">
        <v>9552</v>
      </c>
      <c r="I134" s="518">
        <v>1094888</v>
      </c>
      <c r="J134" s="518">
        <v>21795</v>
      </c>
    </row>
    <row r="135" spans="1:10" x14ac:dyDescent="0.25">
      <c r="A135" s="516">
        <f t="shared" si="1"/>
        <v>45809</v>
      </c>
      <c r="B135" s="518">
        <v>2203012</v>
      </c>
      <c r="C135" s="518">
        <v>36149</v>
      </c>
      <c r="D135" s="518">
        <v>282</v>
      </c>
      <c r="E135" s="518">
        <v>0</v>
      </c>
      <c r="F135" s="518">
        <v>1400118</v>
      </c>
      <c r="G135" s="518">
        <v>0</v>
      </c>
      <c r="H135" s="518">
        <v>9500</v>
      </c>
      <c r="I135" s="518">
        <v>724806</v>
      </c>
      <c r="J135" s="518">
        <v>24226</v>
      </c>
    </row>
    <row r="136" spans="1:10" x14ac:dyDescent="0.25">
      <c r="A136" s="516">
        <f t="shared" si="1"/>
        <v>45839</v>
      </c>
      <c r="B136" s="518">
        <v>2372273</v>
      </c>
      <c r="C136" s="518">
        <v>41593</v>
      </c>
      <c r="D136" s="518">
        <v>149</v>
      </c>
      <c r="E136" s="518">
        <v>0</v>
      </c>
      <c r="F136" s="518">
        <v>1657020</v>
      </c>
      <c r="G136" s="518">
        <v>0</v>
      </c>
      <c r="H136" s="518">
        <v>9447</v>
      </c>
      <c r="I136" s="518">
        <v>649633</v>
      </c>
      <c r="J136" s="518">
        <v>16933</v>
      </c>
    </row>
    <row r="137" spans="1:10" x14ac:dyDescent="0.25">
      <c r="A137" s="516">
        <f t="shared" si="1"/>
        <v>45870</v>
      </c>
      <c r="B137" s="518">
        <v>2360764</v>
      </c>
      <c r="C137" s="518">
        <v>46864</v>
      </c>
      <c r="D137" s="518">
        <v>101</v>
      </c>
      <c r="E137" s="518">
        <v>0</v>
      </c>
      <c r="F137" s="518">
        <v>1657038</v>
      </c>
      <c r="G137" s="518">
        <v>0</v>
      </c>
      <c r="H137" s="518">
        <v>9404</v>
      </c>
      <c r="I137" s="518">
        <v>641344</v>
      </c>
      <c r="J137" s="518">
        <v>16933</v>
      </c>
    </row>
    <row r="138" spans="1:10" x14ac:dyDescent="0.25">
      <c r="A138" s="516">
        <f t="shared" si="1"/>
        <v>45901</v>
      </c>
      <c r="B138" s="518">
        <v>2399583</v>
      </c>
      <c r="C138" s="518">
        <v>41332</v>
      </c>
      <c r="D138" s="518">
        <v>92</v>
      </c>
      <c r="E138" s="518">
        <v>0</v>
      </c>
      <c r="F138" s="518">
        <v>1622942</v>
      </c>
      <c r="G138" s="518">
        <v>0</v>
      </c>
      <c r="H138" s="518">
        <v>9503</v>
      </c>
      <c r="I138" s="518">
        <v>709930</v>
      </c>
      <c r="J138" s="518">
        <v>24939</v>
      </c>
    </row>
    <row r="139" spans="1:10" x14ac:dyDescent="0.25">
      <c r="A139" s="516">
        <f t="shared" si="1"/>
        <v>45931</v>
      </c>
      <c r="B139" s="518">
        <v>2809198</v>
      </c>
      <c r="C139" s="518">
        <v>42162</v>
      </c>
      <c r="D139" s="518">
        <v>143</v>
      </c>
      <c r="E139" s="518">
        <v>0</v>
      </c>
      <c r="F139" s="518">
        <v>1243941</v>
      </c>
      <c r="G139" s="518">
        <v>0</v>
      </c>
      <c r="H139" s="518">
        <v>9782</v>
      </c>
      <c r="I139" s="518">
        <v>1509289</v>
      </c>
      <c r="J139" s="518">
        <v>17492</v>
      </c>
    </row>
    <row r="140" spans="1:10" x14ac:dyDescent="0.25">
      <c r="A140" s="538">
        <f t="shared" si="1"/>
        <v>45962</v>
      </c>
      <c r="B140" s="536">
        <v>3600805</v>
      </c>
      <c r="C140" s="536">
        <v>34274</v>
      </c>
      <c r="D140" s="536">
        <v>636</v>
      </c>
      <c r="E140" s="536">
        <v>0</v>
      </c>
      <c r="F140" s="536">
        <v>300000</v>
      </c>
      <c r="G140" s="536">
        <v>0</v>
      </c>
      <c r="H140" s="536">
        <v>10384</v>
      </c>
      <c r="I140" s="536">
        <v>3194095</v>
      </c>
      <c r="J140" s="536">
        <v>17998</v>
      </c>
    </row>
    <row r="141" spans="1:10" x14ac:dyDescent="0.25">
      <c r="A141" s="538">
        <f t="shared" si="1"/>
        <v>45992</v>
      </c>
      <c r="B141" s="536">
        <v>3600802</v>
      </c>
      <c r="C141" s="536">
        <v>22523</v>
      </c>
      <c r="D141" s="536">
        <v>1627</v>
      </c>
      <c r="E141" s="536">
        <v>0</v>
      </c>
      <c r="F141" s="536">
        <v>0</v>
      </c>
      <c r="G141" s="536">
        <v>1737433</v>
      </c>
      <c r="H141" s="536">
        <v>12567</v>
      </c>
      <c r="I141" s="536">
        <v>5078075</v>
      </c>
      <c r="J141" s="536">
        <v>15834</v>
      </c>
    </row>
    <row r="142" spans="1:10" x14ac:dyDescent="0.25">
      <c r="A142" s="538">
        <f t="shared" ref="A142:A163" si="2">EDATE(A141,1)</f>
        <v>46023</v>
      </c>
      <c r="B142" s="536">
        <v>3915764</v>
      </c>
      <c r="C142" s="536">
        <v>11955</v>
      </c>
      <c r="D142" s="536">
        <v>2006</v>
      </c>
      <c r="E142" s="536">
        <v>0</v>
      </c>
      <c r="F142" s="536">
        <v>0</v>
      </c>
      <c r="G142" s="536">
        <v>2656205</v>
      </c>
      <c r="H142" s="536">
        <v>13795</v>
      </c>
      <c r="I142" s="536">
        <v>6164197</v>
      </c>
      <c r="J142" s="536">
        <v>16375</v>
      </c>
    </row>
    <row r="143" spans="1:10" x14ac:dyDescent="0.25">
      <c r="A143" s="538">
        <f t="shared" si="2"/>
        <v>46054</v>
      </c>
      <c r="B143" s="536">
        <v>3028190</v>
      </c>
      <c r="C143" s="536">
        <v>16121</v>
      </c>
      <c r="D143" s="536">
        <v>1769</v>
      </c>
      <c r="E143" s="536">
        <v>0</v>
      </c>
      <c r="F143" s="536">
        <v>0</v>
      </c>
      <c r="G143" s="536">
        <v>2517509</v>
      </c>
      <c r="H143" s="536">
        <v>12491</v>
      </c>
      <c r="I143" s="536">
        <v>5177223</v>
      </c>
      <c r="J143" s="536">
        <v>16375</v>
      </c>
    </row>
    <row r="144" spans="1:10" x14ac:dyDescent="0.25">
      <c r="A144" s="538">
        <f t="shared" si="2"/>
        <v>46082</v>
      </c>
      <c r="B144" s="536">
        <v>2873971</v>
      </c>
      <c r="C144" s="536">
        <v>31846</v>
      </c>
      <c r="D144" s="536">
        <v>2226</v>
      </c>
      <c r="E144" s="536">
        <v>0</v>
      </c>
      <c r="F144" s="536">
        <v>0</v>
      </c>
      <c r="G144" s="536">
        <v>1278438</v>
      </c>
      <c r="H144" s="536">
        <v>11562</v>
      </c>
      <c r="I144" s="536">
        <v>3881333</v>
      </c>
      <c r="J144" s="536">
        <v>13657</v>
      </c>
    </row>
    <row r="145" spans="1:16" x14ac:dyDescent="0.25">
      <c r="A145" s="538">
        <f t="shared" si="2"/>
        <v>46113</v>
      </c>
      <c r="B145" s="536">
        <v>2323774</v>
      </c>
      <c r="C145" s="536">
        <v>36046</v>
      </c>
      <c r="D145" s="536">
        <v>1039</v>
      </c>
      <c r="E145" s="536">
        <v>0</v>
      </c>
      <c r="F145" s="536">
        <v>721340</v>
      </c>
      <c r="G145" s="536">
        <v>601589</v>
      </c>
      <c r="H145" s="536">
        <v>10340</v>
      </c>
      <c r="I145" s="536">
        <v>2063154</v>
      </c>
      <c r="J145" s="536">
        <v>18732</v>
      </c>
    </row>
    <row r="146" spans="1:16" x14ac:dyDescent="0.25">
      <c r="A146" s="538">
        <f t="shared" si="2"/>
        <v>46143</v>
      </c>
      <c r="B146" s="536">
        <v>2020694</v>
      </c>
      <c r="C146" s="536">
        <v>39280</v>
      </c>
      <c r="D146" s="536">
        <v>362</v>
      </c>
      <c r="E146" s="536">
        <v>0</v>
      </c>
      <c r="F146" s="536">
        <v>1020238</v>
      </c>
      <c r="G146" s="536">
        <v>200000</v>
      </c>
      <c r="H146" s="536">
        <v>9750</v>
      </c>
      <c r="I146" s="536">
        <v>1098578</v>
      </c>
      <c r="J146" s="536">
        <v>19754</v>
      </c>
    </row>
    <row r="147" spans="1:16" x14ac:dyDescent="0.25">
      <c r="A147" s="538">
        <f t="shared" si="2"/>
        <v>46174</v>
      </c>
      <c r="B147" s="536">
        <v>2257758</v>
      </c>
      <c r="C147" s="536">
        <v>36150</v>
      </c>
      <c r="D147" s="536">
        <v>282</v>
      </c>
      <c r="E147" s="536">
        <v>0</v>
      </c>
      <c r="F147" s="536">
        <v>1459510</v>
      </c>
      <c r="G147" s="536">
        <v>0</v>
      </c>
      <c r="H147" s="536">
        <v>9510</v>
      </c>
      <c r="I147" s="536">
        <v>724273</v>
      </c>
      <c r="J147" s="536">
        <v>20001</v>
      </c>
      <c r="P147" s="3">
        <v>2165884</v>
      </c>
    </row>
    <row r="148" spans="1:16" x14ac:dyDescent="0.25">
      <c r="A148" s="538">
        <f t="shared" si="2"/>
        <v>46204</v>
      </c>
      <c r="B148" s="536">
        <v>2173064</v>
      </c>
      <c r="C148" s="536">
        <v>41435</v>
      </c>
      <c r="D148" s="536">
        <v>149</v>
      </c>
      <c r="E148" s="536">
        <v>0</v>
      </c>
      <c r="F148" s="536">
        <v>1459510</v>
      </c>
      <c r="G148" s="536">
        <v>0</v>
      </c>
      <c r="H148" s="536">
        <v>9474</v>
      </c>
      <c r="I148" s="536">
        <v>647121</v>
      </c>
      <c r="J148" s="536">
        <v>17463</v>
      </c>
      <c r="P148" s="3" t="s">
        <v>852</v>
      </c>
    </row>
    <row r="149" spans="1:16" x14ac:dyDescent="0.25">
      <c r="A149" s="538">
        <f t="shared" si="2"/>
        <v>46235</v>
      </c>
      <c r="B149" s="536">
        <v>2165864</v>
      </c>
      <c r="C149" s="536">
        <v>46911</v>
      </c>
      <c r="D149" s="536">
        <v>101</v>
      </c>
      <c r="E149" s="536">
        <v>0</v>
      </c>
      <c r="F149" s="536">
        <v>1459510</v>
      </c>
      <c r="G149" s="536">
        <v>0</v>
      </c>
      <c r="H149" s="536">
        <v>9391</v>
      </c>
      <c r="I149" s="536">
        <v>642493</v>
      </c>
      <c r="J149" s="536">
        <v>18163</v>
      </c>
    </row>
    <row r="150" spans="1:16" x14ac:dyDescent="0.25">
      <c r="A150" s="538">
        <f t="shared" si="2"/>
        <v>46266</v>
      </c>
      <c r="B150" s="536">
        <v>2229034</v>
      </c>
      <c r="C150" s="536">
        <v>41303</v>
      </c>
      <c r="D150" s="536">
        <v>92</v>
      </c>
      <c r="E150" s="536">
        <v>0</v>
      </c>
      <c r="F150" s="536">
        <v>1459510</v>
      </c>
      <c r="G150" s="536">
        <v>0</v>
      </c>
      <c r="H150" s="536">
        <v>9564</v>
      </c>
      <c r="I150" s="536">
        <v>709748</v>
      </c>
      <c r="J150" s="536">
        <v>17463</v>
      </c>
    </row>
    <row r="151" spans="1:16" x14ac:dyDescent="0.25">
      <c r="A151" s="538">
        <f t="shared" si="2"/>
        <v>46296</v>
      </c>
      <c r="B151" s="536">
        <v>2798009</v>
      </c>
      <c r="C151" s="536">
        <v>42157</v>
      </c>
      <c r="D151" s="536">
        <v>143</v>
      </c>
      <c r="E151" s="536">
        <v>0</v>
      </c>
      <c r="F151" s="536">
        <v>1229745</v>
      </c>
      <c r="G151" s="536">
        <v>0</v>
      </c>
      <c r="H151" s="536">
        <v>9745</v>
      </c>
      <c r="I151" s="536">
        <v>1510796</v>
      </c>
      <c r="J151" s="536">
        <v>18198</v>
      </c>
    </row>
    <row r="152" spans="1:16" x14ac:dyDescent="0.25">
      <c r="A152" s="537">
        <f t="shared" si="2"/>
        <v>46327</v>
      </c>
      <c r="B152" s="534">
        <v>3619692</v>
      </c>
      <c r="C152" s="534">
        <v>34274</v>
      </c>
      <c r="D152" s="534">
        <v>636</v>
      </c>
      <c r="E152" s="534">
        <v>0</v>
      </c>
      <c r="F152" s="534">
        <v>310384</v>
      </c>
      <c r="G152" s="534">
        <v>0</v>
      </c>
      <c r="H152" s="534">
        <v>10384</v>
      </c>
      <c r="I152" s="534">
        <v>3200076</v>
      </c>
      <c r="J152" s="534">
        <v>20507</v>
      </c>
    </row>
    <row r="153" spans="1:16" x14ac:dyDescent="0.25">
      <c r="A153" s="537">
        <f t="shared" si="2"/>
        <v>46357</v>
      </c>
      <c r="B153" s="534">
        <v>3612112</v>
      </c>
      <c r="C153" s="534">
        <v>22523</v>
      </c>
      <c r="D153" s="534">
        <v>1627</v>
      </c>
      <c r="E153" s="534">
        <v>0</v>
      </c>
      <c r="F153" s="534">
        <v>0</v>
      </c>
      <c r="G153" s="534">
        <v>1737483</v>
      </c>
      <c r="H153" s="534">
        <v>12567</v>
      </c>
      <c r="I153" s="534">
        <v>5086307</v>
      </c>
      <c r="J153" s="534">
        <v>18913</v>
      </c>
    </row>
    <row r="154" spans="1:16" x14ac:dyDescent="0.25">
      <c r="A154" s="537">
        <f t="shared" si="2"/>
        <v>46388</v>
      </c>
      <c r="B154" s="534">
        <v>3926602</v>
      </c>
      <c r="C154" s="534">
        <v>11955</v>
      </c>
      <c r="D154" s="534">
        <v>2006</v>
      </c>
      <c r="E154" s="534">
        <v>0</v>
      </c>
      <c r="F154" s="534">
        <v>0</v>
      </c>
      <c r="G154" s="534">
        <v>2656205</v>
      </c>
      <c r="H154" s="534">
        <v>13795</v>
      </c>
      <c r="I154" s="534">
        <v>6175111</v>
      </c>
      <c r="J154" s="534">
        <v>16555</v>
      </c>
    </row>
    <row r="155" spans="1:16" x14ac:dyDescent="0.25">
      <c r="A155" s="537">
        <f t="shared" si="2"/>
        <v>46419</v>
      </c>
      <c r="B155" s="534">
        <v>3041942</v>
      </c>
      <c r="C155" s="534">
        <v>16121</v>
      </c>
      <c r="D155" s="534">
        <v>1769</v>
      </c>
      <c r="E155" s="534">
        <v>0</v>
      </c>
      <c r="F155" s="534">
        <v>0</v>
      </c>
      <c r="G155" s="534">
        <v>2517509</v>
      </c>
      <c r="H155" s="534">
        <v>12491</v>
      </c>
      <c r="I155" s="534">
        <v>5190795</v>
      </c>
      <c r="J155" s="534">
        <v>16555</v>
      </c>
    </row>
    <row r="156" spans="1:16" x14ac:dyDescent="0.25">
      <c r="A156" s="537">
        <f t="shared" si="2"/>
        <v>46447</v>
      </c>
      <c r="B156" s="534">
        <v>2886124</v>
      </c>
      <c r="C156" s="534">
        <v>31846</v>
      </c>
      <c r="D156" s="534">
        <v>2226</v>
      </c>
      <c r="E156" s="534">
        <v>0</v>
      </c>
      <c r="F156" s="534">
        <v>0</v>
      </c>
      <c r="G156" s="534">
        <v>1278438</v>
      </c>
      <c r="H156" s="534">
        <v>11562</v>
      </c>
      <c r="I156" s="534">
        <v>3896436</v>
      </c>
      <c r="J156" s="534">
        <v>8651</v>
      </c>
    </row>
    <row r="157" spans="1:16" x14ac:dyDescent="0.25">
      <c r="A157" s="537">
        <f t="shared" si="2"/>
        <v>46478</v>
      </c>
      <c r="B157" s="534">
        <v>2321145</v>
      </c>
      <c r="C157" s="534">
        <v>36046</v>
      </c>
      <c r="D157" s="534">
        <v>1039</v>
      </c>
      <c r="E157" s="534">
        <v>0</v>
      </c>
      <c r="F157" s="534">
        <v>721340</v>
      </c>
      <c r="G157" s="534">
        <v>601589</v>
      </c>
      <c r="H157" s="534">
        <v>10340</v>
      </c>
      <c r="I157" s="534">
        <v>2076080</v>
      </c>
      <c r="J157" s="534">
        <v>2538</v>
      </c>
    </row>
    <row r="158" spans="1:16" x14ac:dyDescent="0.25">
      <c r="A158" s="537">
        <f t="shared" si="2"/>
        <v>46508</v>
      </c>
      <c r="B158" s="534">
        <v>2031185</v>
      </c>
      <c r="C158" s="534">
        <v>39280</v>
      </c>
      <c r="D158" s="534">
        <v>362</v>
      </c>
      <c r="E158" s="534">
        <v>0</v>
      </c>
      <c r="F158" s="534">
        <v>1020238</v>
      </c>
      <c r="G158" s="534">
        <v>200000</v>
      </c>
      <c r="H158" s="534">
        <v>9750</v>
      </c>
      <c r="I158" s="534">
        <v>1106169</v>
      </c>
      <c r="J158" s="534">
        <v>22666</v>
      </c>
    </row>
    <row r="159" spans="1:16" x14ac:dyDescent="0.25">
      <c r="A159" s="537">
        <f t="shared" si="2"/>
        <v>46539</v>
      </c>
      <c r="B159" s="534">
        <v>2252620</v>
      </c>
      <c r="C159" s="534">
        <v>36150</v>
      </c>
      <c r="D159" s="534">
        <v>282</v>
      </c>
      <c r="E159" s="534">
        <v>0</v>
      </c>
      <c r="F159" s="534">
        <v>1459510</v>
      </c>
      <c r="G159" s="534">
        <v>0</v>
      </c>
      <c r="H159" s="534">
        <v>9510</v>
      </c>
      <c r="I159" s="534">
        <v>726971</v>
      </c>
      <c r="J159" s="534">
        <v>12227</v>
      </c>
    </row>
    <row r="160" spans="1:16" x14ac:dyDescent="0.25">
      <c r="A160" s="537">
        <f t="shared" si="2"/>
        <v>46569</v>
      </c>
      <c r="B160" s="534">
        <v>2169624</v>
      </c>
      <c r="C160" s="534">
        <v>41435</v>
      </c>
      <c r="D160" s="534">
        <v>149</v>
      </c>
      <c r="E160" s="534">
        <v>0</v>
      </c>
      <c r="F160" s="534">
        <v>1459510</v>
      </c>
      <c r="G160" s="534">
        <v>0</v>
      </c>
      <c r="H160" s="534">
        <v>9474</v>
      </c>
      <c r="I160" s="534">
        <v>648883</v>
      </c>
      <c r="J160" s="534">
        <v>12227</v>
      </c>
    </row>
    <row r="161" spans="1:10" x14ac:dyDescent="0.25">
      <c r="A161" s="537">
        <f t="shared" si="2"/>
        <v>46600</v>
      </c>
      <c r="B161" s="534">
        <v>2167049</v>
      </c>
      <c r="C161" s="534">
        <v>46911</v>
      </c>
      <c r="D161" s="534">
        <v>101</v>
      </c>
      <c r="E161" s="534">
        <v>0</v>
      </c>
      <c r="F161" s="534">
        <v>1459510</v>
      </c>
      <c r="G161" s="534">
        <v>0</v>
      </c>
      <c r="H161" s="534">
        <v>9391</v>
      </c>
      <c r="I161" s="534">
        <v>644075</v>
      </c>
      <c r="J161" s="534">
        <v>17821</v>
      </c>
    </row>
    <row r="162" spans="1:10" x14ac:dyDescent="0.25">
      <c r="A162" s="537">
        <f t="shared" si="2"/>
        <v>46631</v>
      </c>
      <c r="B162" s="534">
        <v>2226909</v>
      </c>
      <c r="C162" s="534">
        <v>41303</v>
      </c>
      <c r="D162" s="534">
        <v>92</v>
      </c>
      <c r="E162" s="534">
        <v>0</v>
      </c>
      <c r="F162" s="534">
        <v>1459510</v>
      </c>
      <c r="G162" s="534">
        <v>0</v>
      </c>
      <c r="H162" s="534">
        <v>9564</v>
      </c>
      <c r="I162" s="534">
        <v>712578</v>
      </c>
      <c r="J162" s="534">
        <v>12227</v>
      </c>
    </row>
    <row r="163" spans="1:10" x14ac:dyDescent="0.25">
      <c r="A163" s="537">
        <f t="shared" si="2"/>
        <v>46661</v>
      </c>
      <c r="B163" s="534">
        <v>2795769</v>
      </c>
      <c r="C163" s="534">
        <v>42157</v>
      </c>
      <c r="D163" s="534">
        <v>143</v>
      </c>
      <c r="E163" s="534">
        <v>0</v>
      </c>
      <c r="F163" s="534">
        <v>1229745</v>
      </c>
      <c r="G163" s="534">
        <v>0</v>
      </c>
      <c r="H163" s="534">
        <v>9745</v>
      </c>
      <c r="I163" s="534">
        <v>1517327</v>
      </c>
      <c r="J163" s="534">
        <v>8651</v>
      </c>
    </row>
  </sheetData>
  <mergeCells count="5">
    <mergeCell ref="A3:J3"/>
    <mergeCell ref="A4:J4"/>
    <mergeCell ref="A7:C7"/>
    <mergeCell ref="D7:J7"/>
    <mergeCell ref="A1:J1"/>
  </mergeCells>
  <pageMargins left="0.7" right="0.7" top="0.75" bottom="0.75" header="0.3" footer="0.3"/>
  <pageSetup orientation="portrait" r:id="rId1"/>
  <headerFooter>
    <oddFooter>&amp;L_x000D_&amp;1#&amp;"Calibri"&amp;14&amp;K000000 Business Use</oddFooter>
  </headerFooter>
  <customProperties>
    <customPr name="_pios_id" r:id="rId2"/>
  </customProperties>
  <ignoredErrors>
    <ignoredError sqref="A9:J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5">
    <tabColor rgb="FF92D050"/>
    <pageSetUpPr fitToPage="1"/>
  </sheetPr>
  <dimension ref="A1:M158"/>
  <sheetViews>
    <sheetView zoomScaleNormal="100" workbookViewId="0">
      <pane xSplit="1" ySplit="3" topLeftCell="B131" activePane="bottomRight" state="frozen"/>
      <selection activeCell="C116" sqref="C116"/>
      <selection pane="topRight" activeCell="C116" sqref="C116"/>
      <selection pane="bottomLeft" activeCell="C116" sqref="C116"/>
      <selection pane="bottomRight" activeCell="B151" sqref="B151"/>
    </sheetView>
  </sheetViews>
  <sheetFormatPr defaultColWidth="8.88671875" defaultRowHeight="15.75" x14ac:dyDescent="0.25"/>
  <cols>
    <col min="1" max="1" width="14.21875" style="3" customWidth="1"/>
    <col min="2" max="2" width="14.109375" style="3" customWidth="1"/>
    <col min="3" max="4" width="17.109375" style="3" customWidth="1"/>
    <col min="5" max="5" width="13.33203125" style="3" customWidth="1"/>
    <col min="6" max="6" width="15.5546875" style="3" customWidth="1"/>
    <col min="7" max="7" width="15.88671875" style="3" customWidth="1"/>
    <col min="8" max="8" width="14.5546875" style="3" customWidth="1"/>
    <col min="9" max="9" width="4.44140625" customWidth="1"/>
    <col min="10" max="10" width="10.77734375" customWidth="1"/>
    <col min="11" max="11" width="12" style="3" customWidth="1"/>
    <col min="12" max="12" width="11.44140625" style="3" customWidth="1"/>
    <col min="13" max="16384" width="8.88671875" style="3"/>
  </cols>
  <sheetData>
    <row r="1" spans="1:13" x14ac:dyDescent="0.25">
      <c r="A1" s="39" t="s">
        <v>60</v>
      </c>
      <c r="B1" s="39" t="s">
        <v>61</v>
      </c>
      <c r="C1" s="39" t="s">
        <v>62</v>
      </c>
      <c r="D1" s="39" t="s">
        <v>63</v>
      </c>
      <c r="E1" s="39" t="s">
        <v>64</v>
      </c>
      <c r="F1" s="39" t="s">
        <v>65</v>
      </c>
      <c r="G1" s="39" t="s">
        <v>66</v>
      </c>
      <c r="H1" s="39" t="s">
        <v>111</v>
      </c>
    </row>
    <row r="2" spans="1:13" x14ac:dyDescent="0.25">
      <c r="A2" s="13"/>
      <c r="B2" s="101" t="s">
        <v>392</v>
      </c>
      <c r="C2" s="101" t="s">
        <v>384</v>
      </c>
      <c r="D2" s="101" t="s">
        <v>384</v>
      </c>
      <c r="E2" s="101" t="s">
        <v>392</v>
      </c>
      <c r="F2" s="101" t="s">
        <v>387</v>
      </c>
      <c r="G2" s="101" t="s">
        <v>387</v>
      </c>
      <c r="H2" s="101" t="s">
        <v>392</v>
      </c>
    </row>
    <row r="3" spans="1:13" x14ac:dyDescent="0.25">
      <c r="A3" s="100" t="s">
        <v>261</v>
      </c>
      <c r="B3" s="102" t="s">
        <v>379</v>
      </c>
      <c r="C3" s="102" t="s">
        <v>385</v>
      </c>
      <c r="D3" s="102" t="s">
        <v>386</v>
      </c>
      <c r="E3" s="102" t="s">
        <v>380</v>
      </c>
      <c r="F3" s="102" t="s">
        <v>385</v>
      </c>
      <c r="G3" s="102" t="s">
        <v>386</v>
      </c>
      <c r="H3" s="102" t="s">
        <v>381</v>
      </c>
    </row>
    <row r="4" spans="1:13" x14ac:dyDescent="0.25">
      <c r="A4" s="103">
        <v>41640</v>
      </c>
      <c r="B4" s="106">
        <v>7164339.5999999996</v>
      </c>
      <c r="C4" s="344">
        <v>7161740.0999999996</v>
      </c>
      <c r="D4" s="344">
        <v>2599.5</v>
      </c>
      <c r="E4" s="365">
        <v>18227.7</v>
      </c>
      <c r="F4" s="104" t="s">
        <v>382</v>
      </c>
      <c r="G4" s="104" t="s">
        <v>382</v>
      </c>
      <c r="H4" s="366">
        <v>1502937.7</v>
      </c>
      <c r="J4" s="182" t="s">
        <v>431</v>
      </c>
      <c r="K4" s="108"/>
      <c r="L4" s="108"/>
      <c r="M4" s="108"/>
    </row>
    <row r="5" spans="1:13" x14ac:dyDescent="0.25">
      <c r="A5" s="103">
        <v>41671</v>
      </c>
      <c r="B5" s="106">
        <v>7414286.9000000004</v>
      </c>
      <c r="C5" s="344">
        <v>3765480.4</v>
      </c>
      <c r="D5" s="344">
        <v>3648806.5</v>
      </c>
      <c r="E5" s="365">
        <v>25147</v>
      </c>
      <c r="F5" s="104" t="s">
        <v>382</v>
      </c>
      <c r="G5" s="104" t="s">
        <v>382</v>
      </c>
      <c r="H5" s="366">
        <v>1308586.3</v>
      </c>
      <c r="J5" s="182" t="s">
        <v>432</v>
      </c>
      <c r="K5" s="108"/>
      <c r="L5" s="108"/>
      <c r="M5" s="108"/>
    </row>
    <row r="6" spans="1:13" x14ac:dyDescent="0.25">
      <c r="A6" s="195">
        <v>41699</v>
      </c>
      <c r="B6" s="106">
        <f>SUM(C6:D6)</f>
        <v>5630919.2999999998</v>
      </c>
      <c r="C6" s="344">
        <f>1416256/10</f>
        <v>141625.60000000001</v>
      </c>
      <c r="D6" s="344">
        <f>54892937/10</f>
        <v>5489293.7000000002</v>
      </c>
      <c r="E6" s="365">
        <v>17207.599999999999</v>
      </c>
      <c r="F6" s="104" t="s">
        <v>382</v>
      </c>
      <c r="G6" s="104" t="s">
        <v>382</v>
      </c>
      <c r="H6" s="366">
        <v>1232291</v>
      </c>
    </row>
    <row r="7" spans="1:13" x14ac:dyDescent="0.25">
      <c r="A7" s="195">
        <v>41730</v>
      </c>
      <c r="B7" s="106">
        <f t="shared" ref="B7:B44" si="0">SUM(C7:D7)</f>
        <v>2981427.6999999997</v>
      </c>
      <c r="C7" s="344">
        <f>875463/10</f>
        <v>87546.3</v>
      </c>
      <c r="D7" s="344">
        <f>28938814/10</f>
        <v>2893881.4</v>
      </c>
      <c r="E7" s="365">
        <v>10919</v>
      </c>
      <c r="F7" s="104" t="s">
        <v>382</v>
      </c>
      <c r="G7" s="104" t="s">
        <v>382</v>
      </c>
      <c r="H7" s="366">
        <v>1505681.6</v>
      </c>
    </row>
    <row r="8" spans="1:13" x14ac:dyDescent="0.25">
      <c r="A8" s="195">
        <v>41760</v>
      </c>
      <c r="B8" s="106">
        <f t="shared" si="0"/>
        <v>1395749.3</v>
      </c>
      <c r="C8" s="344">
        <f>7230635/10</f>
        <v>723063.5</v>
      </c>
      <c r="D8" s="344">
        <f>6726858/10</f>
        <v>672685.8</v>
      </c>
      <c r="E8" s="365">
        <v>8074.3</v>
      </c>
      <c r="F8" s="104" t="s">
        <v>382</v>
      </c>
      <c r="G8" s="104" t="s">
        <v>382</v>
      </c>
      <c r="H8" s="366">
        <v>844881.1</v>
      </c>
    </row>
    <row r="9" spans="1:13" x14ac:dyDescent="0.25">
      <c r="A9" s="195">
        <v>41791</v>
      </c>
      <c r="B9" s="106">
        <f t="shared" si="0"/>
        <v>962563.8</v>
      </c>
      <c r="C9" s="344">
        <f>214409/10</f>
        <v>21440.9</v>
      </c>
      <c r="D9" s="344">
        <f>9411229/10</f>
        <v>941122.9</v>
      </c>
      <c r="E9" s="365">
        <v>7166.2</v>
      </c>
      <c r="F9" s="104" t="s">
        <v>382</v>
      </c>
      <c r="G9" s="104" t="s">
        <v>382</v>
      </c>
      <c r="H9" s="366">
        <v>837693.3</v>
      </c>
    </row>
    <row r="10" spans="1:13" x14ac:dyDescent="0.25">
      <c r="A10" s="195">
        <v>41821</v>
      </c>
      <c r="B10" s="106">
        <f t="shared" si="0"/>
        <v>828655.5</v>
      </c>
      <c r="C10" s="344">
        <v>-1048.0999999999999</v>
      </c>
      <c r="D10" s="344">
        <f>8297036/10</f>
        <v>829703.6</v>
      </c>
      <c r="E10" s="365">
        <v>9236.6</v>
      </c>
      <c r="F10" s="104" t="s">
        <v>382</v>
      </c>
      <c r="G10" s="104" t="s">
        <v>382</v>
      </c>
      <c r="H10" s="366">
        <v>755229.6</v>
      </c>
    </row>
    <row r="11" spans="1:13" x14ac:dyDescent="0.25">
      <c r="A11" s="195">
        <v>41852</v>
      </c>
      <c r="B11" s="106">
        <f t="shared" si="0"/>
        <v>779547.2</v>
      </c>
      <c r="C11" s="344">
        <f>3874807/10</f>
        <v>387480.7</v>
      </c>
      <c r="D11" s="344">
        <f>3920665/10</f>
        <v>392066.5</v>
      </c>
      <c r="E11" s="365">
        <v>10480.9</v>
      </c>
      <c r="F11" s="104" t="s">
        <v>382</v>
      </c>
      <c r="G11" s="104" t="s">
        <v>382</v>
      </c>
      <c r="H11" s="366">
        <v>778283.2</v>
      </c>
    </row>
    <row r="12" spans="1:13" x14ac:dyDescent="0.25">
      <c r="A12" s="195">
        <v>41883</v>
      </c>
      <c r="B12" s="106">
        <f t="shared" si="0"/>
        <v>782497.5</v>
      </c>
      <c r="C12" s="344">
        <v>6672.3</v>
      </c>
      <c r="D12" s="344">
        <v>775825.2</v>
      </c>
      <c r="E12" s="365">
        <v>13776.4</v>
      </c>
      <c r="F12" s="104" t="s">
        <v>382</v>
      </c>
      <c r="G12" s="104" t="s">
        <v>382</v>
      </c>
      <c r="H12" s="366">
        <v>781340.4</v>
      </c>
    </row>
    <row r="13" spans="1:13" x14ac:dyDescent="0.25">
      <c r="A13" s="195">
        <v>41913</v>
      </c>
      <c r="B13" s="106">
        <f t="shared" si="0"/>
        <v>1071670.6000000001</v>
      </c>
      <c r="C13" s="344">
        <v>88.1</v>
      </c>
      <c r="D13" s="344">
        <v>1071582.5</v>
      </c>
      <c r="E13" s="365">
        <v>17344.400000000001</v>
      </c>
      <c r="F13" s="104" t="s">
        <v>382</v>
      </c>
      <c r="G13" s="104" t="s">
        <v>382</v>
      </c>
      <c r="H13" s="366">
        <v>916848</v>
      </c>
    </row>
    <row r="14" spans="1:13" x14ac:dyDescent="0.25">
      <c r="A14" s="195">
        <v>41944</v>
      </c>
      <c r="B14" s="106">
        <f t="shared" si="0"/>
        <v>2590842.9</v>
      </c>
      <c r="C14" s="344">
        <v>1350252.7</v>
      </c>
      <c r="D14" s="344">
        <v>1240590.2</v>
      </c>
      <c r="E14" s="365">
        <v>33796.6</v>
      </c>
      <c r="F14" s="104" t="s">
        <v>382</v>
      </c>
      <c r="G14" s="104" t="s">
        <v>382</v>
      </c>
      <c r="H14" s="366">
        <v>1210206.7</v>
      </c>
    </row>
    <row r="15" spans="1:13" x14ac:dyDescent="0.25">
      <c r="A15" s="195">
        <v>41974</v>
      </c>
      <c r="B15" s="106">
        <f t="shared" si="0"/>
        <v>5040088</v>
      </c>
      <c r="C15" s="344">
        <v>48201</v>
      </c>
      <c r="D15" s="344">
        <v>4991887</v>
      </c>
      <c r="E15" s="365">
        <v>31458.2</v>
      </c>
      <c r="F15" s="104" t="s">
        <v>382</v>
      </c>
      <c r="G15" s="104" t="s">
        <v>382</v>
      </c>
      <c r="H15" s="366">
        <v>1222531</v>
      </c>
    </row>
    <row r="16" spans="1:13" x14ac:dyDescent="0.25">
      <c r="A16" s="195">
        <v>42005</v>
      </c>
      <c r="B16" s="106">
        <f t="shared" si="0"/>
        <v>6463268</v>
      </c>
      <c r="C16" s="344">
        <v>8915</v>
      </c>
      <c r="D16" s="344">
        <v>6454353</v>
      </c>
      <c r="E16" s="365">
        <v>29614.799999999999</v>
      </c>
      <c r="F16" s="104" t="s">
        <v>382</v>
      </c>
      <c r="G16" s="104" t="s">
        <v>382</v>
      </c>
      <c r="H16" s="366">
        <v>1466206.1</v>
      </c>
    </row>
    <row r="17" spans="1:8" x14ac:dyDescent="0.25">
      <c r="A17" s="195">
        <v>42036</v>
      </c>
      <c r="B17" s="106">
        <f t="shared" si="0"/>
        <v>6355917.5</v>
      </c>
      <c r="C17" s="344">
        <v>3140562.6</v>
      </c>
      <c r="D17" s="344">
        <v>3215354.9</v>
      </c>
      <c r="E17" s="365">
        <v>40053</v>
      </c>
      <c r="F17" s="104" t="s">
        <v>382</v>
      </c>
      <c r="G17" s="104" t="s">
        <v>382</v>
      </c>
      <c r="H17" s="366">
        <v>1420264.1</v>
      </c>
    </row>
    <row r="18" spans="1:8" x14ac:dyDescent="0.25">
      <c r="A18" s="195">
        <v>42064</v>
      </c>
      <c r="B18" s="106">
        <f t="shared" si="0"/>
        <v>6227552.2000000002</v>
      </c>
      <c r="C18" s="344">
        <v>66704.3</v>
      </c>
      <c r="D18" s="344">
        <v>6160847.9000000004</v>
      </c>
      <c r="E18" s="365">
        <v>46083.4</v>
      </c>
      <c r="F18" s="104" t="s">
        <v>382</v>
      </c>
      <c r="G18" s="104" t="s">
        <v>382</v>
      </c>
      <c r="H18" s="366">
        <v>1456559.9</v>
      </c>
    </row>
    <row r="19" spans="1:8" x14ac:dyDescent="0.25">
      <c r="A19" s="195">
        <v>42095</v>
      </c>
      <c r="B19" s="106">
        <f t="shared" si="0"/>
        <v>2395537.1</v>
      </c>
      <c r="C19" s="344">
        <v>5837.9</v>
      </c>
      <c r="D19" s="344">
        <v>2389699.2000000002</v>
      </c>
      <c r="E19" s="365">
        <v>62130.400000000001</v>
      </c>
      <c r="F19" s="104" t="s">
        <v>382</v>
      </c>
      <c r="G19" s="104" t="s">
        <v>382</v>
      </c>
      <c r="H19" s="366">
        <v>1308898.8999999999</v>
      </c>
    </row>
    <row r="20" spans="1:8" x14ac:dyDescent="0.25">
      <c r="A20" s="195">
        <v>42125</v>
      </c>
      <c r="B20" s="106">
        <f t="shared" si="0"/>
        <v>1228564.8999999999</v>
      </c>
      <c r="C20" s="344">
        <v>680294.9</v>
      </c>
      <c r="D20" s="344">
        <v>548270</v>
      </c>
      <c r="E20" s="365">
        <v>38797.800000000003</v>
      </c>
      <c r="F20" s="104" t="s">
        <v>382</v>
      </c>
      <c r="G20" s="104" t="s">
        <v>382</v>
      </c>
      <c r="H20" s="366">
        <v>684381.7</v>
      </c>
    </row>
    <row r="21" spans="1:8" x14ac:dyDescent="0.25">
      <c r="A21" s="195">
        <v>42156</v>
      </c>
      <c r="B21" s="106">
        <f t="shared" si="0"/>
        <v>874302.5</v>
      </c>
      <c r="C21" s="344">
        <v>3999</v>
      </c>
      <c r="D21" s="344">
        <v>870303.5</v>
      </c>
      <c r="E21" s="365">
        <v>46645.7</v>
      </c>
      <c r="F21" s="104" t="s">
        <v>382</v>
      </c>
      <c r="G21" s="104" t="s">
        <v>382</v>
      </c>
      <c r="H21" s="366">
        <v>790511.9</v>
      </c>
    </row>
    <row r="22" spans="1:8" x14ac:dyDescent="0.25">
      <c r="A22" s="195">
        <v>42186</v>
      </c>
      <c r="B22" s="106">
        <f t="shared" si="0"/>
        <v>712691.29999999993</v>
      </c>
      <c r="C22" s="344">
        <v>2010.2</v>
      </c>
      <c r="D22" s="344">
        <v>710681.1</v>
      </c>
      <c r="E22" s="365">
        <v>52580.5</v>
      </c>
      <c r="F22" s="104" t="s">
        <v>382</v>
      </c>
      <c r="G22" s="104" t="s">
        <v>382</v>
      </c>
      <c r="H22" s="366">
        <v>811242.6</v>
      </c>
    </row>
    <row r="23" spans="1:8" x14ac:dyDescent="0.25">
      <c r="A23" s="195">
        <v>42217</v>
      </c>
      <c r="B23" s="106">
        <f t="shared" si="0"/>
        <v>755644</v>
      </c>
      <c r="C23" s="344">
        <v>388882.7</v>
      </c>
      <c r="D23" s="344">
        <v>366761.3</v>
      </c>
      <c r="E23" s="365">
        <v>48097.8</v>
      </c>
      <c r="F23" s="104" t="s">
        <v>382</v>
      </c>
      <c r="G23" s="104" t="s">
        <v>382</v>
      </c>
      <c r="H23" s="366">
        <v>870918.5</v>
      </c>
    </row>
    <row r="24" spans="1:8" x14ac:dyDescent="0.25">
      <c r="A24" s="195">
        <v>42248</v>
      </c>
      <c r="B24" s="106">
        <f t="shared" si="0"/>
        <v>780404.8</v>
      </c>
      <c r="C24" s="344">
        <v>37369.5</v>
      </c>
      <c r="D24" s="344">
        <v>743035.3</v>
      </c>
      <c r="E24" s="365">
        <v>48747.6</v>
      </c>
      <c r="F24" s="360" t="s">
        <v>382</v>
      </c>
      <c r="G24" s="360" t="s">
        <v>382</v>
      </c>
      <c r="H24" s="366">
        <v>839279.3</v>
      </c>
    </row>
    <row r="25" spans="1:8" x14ac:dyDescent="0.25">
      <c r="A25" s="195">
        <v>42278</v>
      </c>
      <c r="B25" s="106">
        <f t="shared" si="0"/>
        <v>939620.8</v>
      </c>
      <c r="C25" s="344">
        <v>-195.5</v>
      </c>
      <c r="D25" s="344">
        <v>939816.3</v>
      </c>
      <c r="E25" s="365">
        <v>48234.400000000001</v>
      </c>
      <c r="F25" s="360" t="s">
        <v>382</v>
      </c>
      <c r="G25" s="360" t="s">
        <v>382</v>
      </c>
      <c r="H25" s="366">
        <v>1243523.6000000001</v>
      </c>
    </row>
    <row r="26" spans="1:8" x14ac:dyDescent="0.25">
      <c r="A26" s="195">
        <v>42309</v>
      </c>
      <c r="B26" s="106">
        <f t="shared" si="0"/>
        <v>1706623.8</v>
      </c>
      <c r="C26" s="344">
        <v>911151.5</v>
      </c>
      <c r="D26" s="344">
        <v>795472.3</v>
      </c>
      <c r="E26" s="365">
        <v>59109.5</v>
      </c>
      <c r="F26" s="360" t="s">
        <v>382</v>
      </c>
      <c r="G26" s="360" t="s">
        <v>382</v>
      </c>
      <c r="H26" s="366">
        <v>1213142.5</v>
      </c>
    </row>
    <row r="27" spans="1:8" x14ac:dyDescent="0.25">
      <c r="A27" s="195">
        <v>42339</v>
      </c>
      <c r="B27" s="106">
        <f t="shared" si="0"/>
        <v>3396567.1000000006</v>
      </c>
      <c r="C27" s="344">
        <v>30017.49</v>
      </c>
      <c r="D27" s="344">
        <v>3366549.6100000003</v>
      </c>
      <c r="E27" s="365">
        <v>51325.4</v>
      </c>
      <c r="F27" s="360" t="s">
        <v>382</v>
      </c>
      <c r="G27" s="360" t="s">
        <v>382</v>
      </c>
      <c r="H27" s="366">
        <v>1139582</v>
      </c>
    </row>
    <row r="28" spans="1:8" x14ac:dyDescent="0.25">
      <c r="A28" s="195">
        <v>42370</v>
      </c>
      <c r="B28" s="106">
        <f t="shared" si="0"/>
        <v>5101869.9999999991</v>
      </c>
      <c r="C28" s="344">
        <v>1851.5433333333101</v>
      </c>
      <c r="D28" s="344">
        <v>5100018.4566666661</v>
      </c>
      <c r="E28" s="365">
        <v>38913.599999999999</v>
      </c>
      <c r="F28" s="360" t="s">
        <v>382</v>
      </c>
      <c r="G28" s="360" t="s">
        <v>382</v>
      </c>
      <c r="H28" s="366">
        <v>1550541.1</v>
      </c>
    </row>
    <row r="29" spans="1:8" x14ac:dyDescent="0.25">
      <c r="A29" s="195">
        <v>42401</v>
      </c>
      <c r="B29" s="106">
        <f t="shared" si="0"/>
        <v>5755793.8000000007</v>
      </c>
      <c r="C29" s="344">
        <v>2948636.3137931032</v>
      </c>
      <c r="D29" s="344">
        <v>2807157.4862068971</v>
      </c>
      <c r="E29" s="365">
        <v>44357.599999999999</v>
      </c>
      <c r="F29" s="360" t="s">
        <v>382</v>
      </c>
      <c r="G29" s="360" t="s">
        <v>382</v>
      </c>
      <c r="H29" s="366">
        <v>1334142.3999999999</v>
      </c>
    </row>
    <row r="30" spans="1:8" x14ac:dyDescent="0.25">
      <c r="A30" s="195">
        <v>42430</v>
      </c>
      <c r="B30" s="106">
        <f t="shared" si="0"/>
        <v>3951842.2</v>
      </c>
      <c r="C30" s="344">
        <v>21564.2</v>
      </c>
      <c r="D30" s="344">
        <v>3930278</v>
      </c>
      <c r="E30" s="344">
        <v>62703.9</v>
      </c>
      <c r="F30" s="360" t="s">
        <v>382</v>
      </c>
      <c r="G30" s="360" t="s">
        <v>382</v>
      </c>
      <c r="H30" s="366">
        <v>1149144.5</v>
      </c>
    </row>
    <row r="31" spans="1:8" x14ac:dyDescent="0.25">
      <c r="A31" s="195">
        <v>42461</v>
      </c>
      <c r="B31" s="106">
        <f t="shared" si="0"/>
        <v>2284040.8000000003</v>
      </c>
      <c r="C31" s="344">
        <v>-192.9</v>
      </c>
      <c r="D31" s="344">
        <v>2284233.7000000002</v>
      </c>
      <c r="E31" s="344">
        <v>48217.2</v>
      </c>
      <c r="F31" s="360" t="s">
        <v>382</v>
      </c>
      <c r="G31" s="360" t="s">
        <v>382</v>
      </c>
      <c r="H31" s="366">
        <v>946160.2</v>
      </c>
    </row>
    <row r="32" spans="1:8" x14ac:dyDescent="0.25">
      <c r="A32" s="195">
        <v>42491</v>
      </c>
      <c r="B32" s="106">
        <f t="shared" si="0"/>
        <v>1293125.8999999999</v>
      </c>
      <c r="C32" s="344">
        <v>761452.1</v>
      </c>
      <c r="D32" s="344">
        <v>531673.80000000005</v>
      </c>
      <c r="E32" s="344">
        <v>60031.700000000004</v>
      </c>
      <c r="F32" s="105"/>
      <c r="G32" s="105"/>
      <c r="H32" s="344">
        <v>997249.19999999949</v>
      </c>
    </row>
    <row r="33" spans="1:10" x14ac:dyDescent="0.25">
      <c r="A33" s="195">
        <v>42522</v>
      </c>
      <c r="B33" s="106">
        <f t="shared" si="0"/>
        <v>985404.8</v>
      </c>
      <c r="C33" s="344">
        <v>-24004</v>
      </c>
      <c r="D33" s="344">
        <v>1009408.8</v>
      </c>
      <c r="E33" s="344">
        <v>63204.2</v>
      </c>
      <c r="F33" s="105"/>
      <c r="G33" s="105"/>
      <c r="H33" s="344">
        <v>1003164.8000000003</v>
      </c>
    </row>
    <row r="34" spans="1:10" x14ac:dyDescent="0.25">
      <c r="A34" s="195">
        <v>42552</v>
      </c>
      <c r="B34" s="106">
        <f t="shared" si="0"/>
        <v>733329.6</v>
      </c>
      <c r="C34" s="344">
        <v>-2543.8000000000002</v>
      </c>
      <c r="D34" s="344">
        <v>735873.4</v>
      </c>
      <c r="E34" s="344">
        <v>66386.900000000009</v>
      </c>
      <c r="F34" s="105"/>
      <c r="G34" s="105"/>
      <c r="H34" s="344">
        <v>955069.90000000037</v>
      </c>
    </row>
    <row r="35" spans="1:10" x14ac:dyDescent="0.25">
      <c r="A35" s="195">
        <v>42583</v>
      </c>
      <c r="B35" s="106">
        <f t="shared" si="0"/>
        <v>692908.5</v>
      </c>
      <c r="C35" s="344">
        <v>331185.3</v>
      </c>
      <c r="D35" s="344">
        <v>361723.2</v>
      </c>
      <c r="E35" s="344">
        <v>68114.100000000006</v>
      </c>
      <c r="F35" s="105"/>
      <c r="G35" s="105"/>
      <c r="H35" s="344">
        <v>876335.09999999986</v>
      </c>
    </row>
    <row r="36" spans="1:10" x14ac:dyDescent="0.25">
      <c r="A36" s="195">
        <v>42614</v>
      </c>
      <c r="B36" s="106">
        <f t="shared" si="0"/>
        <v>743780.79999999993</v>
      </c>
      <c r="C36" s="344">
        <v>38101.599999999999</v>
      </c>
      <c r="D36" s="344">
        <v>705679.2</v>
      </c>
      <c r="E36" s="344">
        <v>57661.3</v>
      </c>
      <c r="F36" s="105"/>
      <c r="G36" s="105"/>
      <c r="H36" s="344">
        <v>919238.3000000004</v>
      </c>
    </row>
    <row r="37" spans="1:10" x14ac:dyDescent="0.25">
      <c r="A37" s="195">
        <v>42644</v>
      </c>
      <c r="B37" s="106">
        <f t="shared" si="0"/>
        <v>756617.3</v>
      </c>
      <c r="C37" s="344">
        <v>-1307.7</v>
      </c>
      <c r="D37" s="344">
        <v>757925</v>
      </c>
      <c r="E37" s="344">
        <v>57444.7</v>
      </c>
      <c r="F37" s="105"/>
      <c r="G37" s="105"/>
      <c r="H37" s="344">
        <v>946073.50000000012</v>
      </c>
    </row>
    <row r="38" spans="1:10" x14ac:dyDescent="0.25">
      <c r="A38" s="195">
        <v>42675</v>
      </c>
      <c r="B38" s="106">
        <f t="shared" si="0"/>
        <v>1530329.5</v>
      </c>
      <c r="C38" s="344">
        <v>725498.4</v>
      </c>
      <c r="D38" s="344">
        <v>804831.1</v>
      </c>
      <c r="E38" s="344">
        <v>55279.3</v>
      </c>
      <c r="H38" s="344">
        <v>1104299.3</v>
      </c>
      <c r="J38" s="3"/>
    </row>
    <row r="39" spans="1:10" x14ac:dyDescent="0.25">
      <c r="A39" s="195">
        <v>42705</v>
      </c>
      <c r="B39" s="106">
        <f t="shared" si="0"/>
        <v>4306093.4000000004</v>
      </c>
      <c r="C39" s="344">
        <v>80981.2</v>
      </c>
      <c r="D39" s="344">
        <v>4225112.2</v>
      </c>
      <c r="E39" s="344">
        <v>48387</v>
      </c>
      <c r="H39" s="344">
        <v>1438293.6</v>
      </c>
      <c r="J39" s="3"/>
    </row>
    <row r="40" spans="1:10" x14ac:dyDescent="0.25">
      <c r="A40" s="195">
        <v>42736</v>
      </c>
      <c r="B40" s="106">
        <f t="shared" si="0"/>
        <v>5551143</v>
      </c>
      <c r="C40" s="344">
        <v>13960.5</v>
      </c>
      <c r="D40" s="344">
        <v>5537182.5</v>
      </c>
      <c r="E40" s="344">
        <v>39568.300000000003</v>
      </c>
      <c r="H40" s="344">
        <v>1414213.5</v>
      </c>
      <c r="J40" s="3"/>
    </row>
    <row r="41" spans="1:10" x14ac:dyDescent="0.25">
      <c r="A41" s="195">
        <v>42767</v>
      </c>
      <c r="B41" s="106">
        <f t="shared" si="0"/>
        <v>4168435</v>
      </c>
      <c r="C41" s="364">
        <v>2245129.2000000002</v>
      </c>
      <c r="D41" s="364">
        <v>1923305.8</v>
      </c>
      <c r="E41" s="344">
        <v>36948.399999999994</v>
      </c>
      <c r="H41" s="344">
        <v>1144202.1999999997</v>
      </c>
    </row>
    <row r="42" spans="1:10" x14ac:dyDescent="0.25">
      <c r="A42" s="195">
        <v>42795</v>
      </c>
      <c r="B42" s="106">
        <f t="shared" si="0"/>
        <v>3270421.2392857103</v>
      </c>
      <c r="C42" s="365">
        <v>32074.6</v>
      </c>
      <c r="D42" s="365">
        <v>3238346.6392857102</v>
      </c>
      <c r="E42" s="344">
        <v>40814.300000000003</v>
      </c>
      <c r="H42" s="344">
        <v>1315531.9000000004</v>
      </c>
    </row>
    <row r="43" spans="1:10" x14ac:dyDescent="0.25">
      <c r="A43" s="195">
        <v>42826</v>
      </c>
      <c r="B43" s="106">
        <f t="shared" si="0"/>
        <v>2342627.1</v>
      </c>
      <c r="C43" s="365">
        <v>12936.7</v>
      </c>
      <c r="D43" s="365">
        <v>2329690.4</v>
      </c>
      <c r="E43" s="344">
        <v>40503.400000000009</v>
      </c>
      <c r="H43" s="344">
        <v>921728.1999999996</v>
      </c>
    </row>
    <row r="44" spans="1:10" x14ac:dyDescent="0.25">
      <c r="A44" s="195">
        <v>42856</v>
      </c>
      <c r="B44" s="106">
        <f t="shared" si="0"/>
        <v>1213560</v>
      </c>
      <c r="C44" s="365">
        <v>686289</v>
      </c>
      <c r="D44" s="365">
        <v>527271</v>
      </c>
      <c r="E44" s="344">
        <v>43878.400000000001</v>
      </c>
      <c r="H44" s="344">
        <v>915798.99999999965</v>
      </c>
    </row>
    <row r="45" spans="1:10" x14ac:dyDescent="0.25">
      <c r="A45" s="195">
        <v>42887</v>
      </c>
      <c r="B45" s="106">
        <f t="shared" ref="B45:B65" si="1">SUM(C45:D45)</f>
        <v>953320.2</v>
      </c>
      <c r="C45" s="365">
        <v>-29289.8</v>
      </c>
      <c r="D45" s="365">
        <v>982610</v>
      </c>
      <c r="E45" s="344">
        <v>54708.800000000003</v>
      </c>
      <c r="H45" s="344">
        <v>756321.6</v>
      </c>
    </row>
    <row r="46" spans="1:10" x14ac:dyDescent="0.25">
      <c r="A46" s="195">
        <v>42917</v>
      </c>
      <c r="B46" s="106">
        <f t="shared" si="1"/>
        <v>690751.8</v>
      </c>
      <c r="C46" s="365">
        <v>-16222.5</v>
      </c>
      <c r="D46" s="365">
        <v>706974.3</v>
      </c>
      <c r="E46" s="344">
        <v>48362.000000000007</v>
      </c>
      <c r="H46" s="344">
        <v>716804.49999999977</v>
      </c>
    </row>
    <row r="47" spans="1:10" x14ac:dyDescent="0.25">
      <c r="A47" s="195">
        <v>42948</v>
      </c>
      <c r="B47" s="106">
        <f t="shared" si="1"/>
        <v>718478.3</v>
      </c>
      <c r="C47" s="365">
        <v>355634.1</v>
      </c>
      <c r="D47" s="365">
        <v>362844.2</v>
      </c>
      <c r="E47" s="344">
        <v>45766</v>
      </c>
      <c r="H47" s="344">
        <v>840284.59999999974</v>
      </c>
    </row>
    <row r="48" spans="1:10" x14ac:dyDescent="0.25">
      <c r="A48" s="195">
        <v>42979</v>
      </c>
      <c r="B48" s="106">
        <f t="shared" si="1"/>
        <v>744894.2</v>
      </c>
      <c r="C48" s="365">
        <v>1356</v>
      </c>
      <c r="D48" s="365">
        <v>743538.2</v>
      </c>
      <c r="E48" s="365">
        <v>35794.299999999996</v>
      </c>
      <c r="H48" s="344">
        <v>772573.20000000042</v>
      </c>
    </row>
    <row r="49" spans="1:8" x14ac:dyDescent="0.25">
      <c r="A49" s="195">
        <v>43009</v>
      </c>
      <c r="B49" s="106">
        <f t="shared" si="1"/>
        <v>840387.5</v>
      </c>
      <c r="C49" s="365">
        <v>775.5</v>
      </c>
      <c r="D49" s="365">
        <v>839612</v>
      </c>
      <c r="E49" s="365">
        <v>46965.4</v>
      </c>
      <c r="H49" s="344">
        <v>953232.1</v>
      </c>
    </row>
    <row r="50" spans="1:8" x14ac:dyDescent="0.25">
      <c r="A50" s="195">
        <v>43040</v>
      </c>
      <c r="B50" s="106">
        <f t="shared" si="1"/>
        <v>2259484.9000000004</v>
      </c>
      <c r="C50" s="365">
        <v>1001146.8</v>
      </c>
      <c r="D50" s="365">
        <v>1258338.1000000001</v>
      </c>
      <c r="E50" s="365">
        <v>71898.899999999994</v>
      </c>
      <c r="H50" s="344">
        <v>1247351.9999999995</v>
      </c>
    </row>
    <row r="51" spans="1:8" x14ac:dyDescent="0.25">
      <c r="A51" s="195">
        <v>43070</v>
      </c>
      <c r="B51" s="106">
        <f t="shared" si="1"/>
        <v>4228872.7</v>
      </c>
      <c r="C51" s="365">
        <v>190745.5</v>
      </c>
      <c r="D51" s="365">
        <v>4038127.2</v>
      </c>
      <c r="E51" s="365">
        <v>64229.900000000009</v>
      </c>
      <c r="H51" s="344">
        <v>1431459</v>
      </c>
    </row>
    <row r="52" spans="1:8" x14ac:dyDescent="0.25">
      <c r="A52" s="195">
        <v>43101</v>
      </c>
      <c r="B52" s="106">
        <f t="shared" si="1"/>
        <v>7315147.2000000002</v>
      </c>
      <c r="C52" s="365">
        <v>28073.3</v>
      </c>
      <c r="D52" s="365">
        <v>7287073.9000000004</v>
      </c>
      <c r="E52" s="365">
        <v>43872.100000000006</v>
      </c>
      <c r="H52" s="344">
        <v>1669754.7000000002</v>
      </c>
    </row>
    <row r="53" spans="1:8" x14ac:dyDescent="0.25">
      <c r="A53" s="195">
        <v>43132</v>
      </c>
      <c r="B53" s="106">
        <f t="shared" si="1"/>
        <v>5484180.5999999996</v>
      </c>
      <c r="C53" s="365">
        <v>2955290.3</v>
      </c>
      <c r="D53" s="365">
        <v>2528890.2999999998</v>
      </c>
      <c r="E53" s="365">
        <v>25385.3</v>
      </c>
      <c r="H53" s="344">
        <v>1268158.8</v>
      </c>
    </row>
    <row r="54" spans="1:8" x14ac:dyDescent="0.25">
      <c r="A54" s="195">
        <v>43160</v>
      </c>
      <c r="B54" s="106">
        <f t="shared" si="1"/>
        <v>3758171.9</v>
      </c>
      <c r="C54" s="365">
        <v>18600.099999999999</v>
      </c>
      <c r="D54" s="365">
        <v>3739571.8</v>
      </c>
      <c r="E54" s="365">
        <v>47315.5</v>
      </c>
      <c r="H54" s="344">
        <v>1432002.6</v>
      </c>
    </row>
    <row r="55" spans="1:8" x14ac:dyDescent="0.25">
      <c r="A55" s="195">
        <v>43191</v>
      </c>
      <c r="B55" s="106">
        <f t="shared" si="1"/>
        <v>3574415.6</v>
      </c>
      <c r="C55" s="365">
        <v>13452</v>
      </c>
      <c r="D55" s="365">
        <v>3560963.6</v>
      </c>
      <c r="E55" s="365">
        <v>49975.5</v>
      </c>
      <c r="H55" s="344">
        <v>1183734.8000000003</v>
      </c>
    </row>
    <row r="56" spans="1:8" x14ac:dyDescent="0.25">
      <c r="A56" s="195">
        <v>43221</v>
      </c>
      <c r="B56" s="106">
        <f t="shared" si="1"/>
        <v>1717818.4</v>
      </c>
      <c r="C56" s="365">
        <v>999212.2</v>
      </c>
      <c r="D56" s="365">
        <v>718606.2</v>
      </c>
      <c r="E56" s="365">
        <v>58553.2</v>
      </c>
      <c r="H56" s="344">
        <v>904837.89999999944</v>
      </c>
    </row>
    <row r="57" spans="1:8" x14ac:dyDescent="0.25">
      <c r="A57" s="195">
        <v>43252</v>
      </c>
      <c r="B57" s="106">
        <f t="shared" si="1"/>
        <v>804407.9</v>
      </c>
      <c r="C57" s="365">
        <v>17672.5</v>
      </c>
      <c r="D57" s="365">
        <v>786735.4</v>
      </c>
      <c r="E57" s="365">
        <v>55149.7</v>
      </c>
      <c r="H57" s="344">
        <v>821425.50000000035</v>
      </c>
    </row>
    <row r="58" spans="1:8" x14ac:dyDescent="0.25">
      <c r="A58" s="195">
        <v>43282</v>
      </c>
      <c r="B58" s="106">
        <f t="shared" si="1"/>
        <v>711177.6</v>
      </c>
      <c r="C58" s="365">
        <v>691707.5</v>
      </c>
      <c r="D58" s="365">
        <v>19470.099999999999</v>
      </c>
      <c r="E58" s="365">
        <v>47377.000000000007</v>
      </c>
      <c r="H58" s="344">
        <v>788728.29999999981</v>
      </c>
    </row>
    <row r="59" spans="1:8" x14ac:dyDescent="0.25">
      <c r="A59" s="195">
        <v>43313</v>
      </c>
      <c r="B59" s="106">
        <f t="shared" si="1"/>
        <v>685611.4</v>
      </c>
      <c r="C59" s="365">
        <v>310354.90000000002</v>
      </c>
      <c r="D59" s="365">
        <v>375256.5</v>
      </c>
      <c r="E59" s="365">
        <v>60415.3</v>
      </c>
      <c r="H59" s="344">
        <v>775443.69999999984</v>
      </c>
    </row>
    <row r="60" spans="1:8" x14ac:dyDescent="0.25">
      <c r="A60" s="195">
        <v>43344</v>
      </c>
      <c r="B60" s="106">
        <f t="shared" si="1"/>
        <v>715644</v>
      </c>
      <c r="C60" s="365">
        <v>9481.6</v>
      </c>
      <c r="D60" s="365">
        <v>706162.4</v>
      </c>
      <c r="E60" s="365">
        <v>62054.6</v>
      </c>
      <c r="H60" s="344">
        <v>803754.6</v>
      </c>
    </row>
    <row r="61" spans="1:8" x14ac:dyDescent="0.25">
      <c r="A61" s="195">
        <v>43374</v>
      </c>
      <c r="B61" s="106">
        <f t="shared" si="1"/>
        <v>1074864.5999999999</v>
      </c>
      <c r="C61" s="365">
        <v>2196.1999999999998</v>
      </c>
      <c r="D61" s="365">
        <v>1072668.3999999999</v>
      </c>
      <c r="E61" s="365">
        <v>71891.399999999994</v>
      </c>
      <c r="H61" s="344">
        <v>1080228.7</v>
      </c>
    </row>
    <row r="62" spans="1:8" x14ac:dyDescent="0.25">
      <c r="A62" s="195">
        <v>43405</v>
      </c>
      <c r="B62" s="106">
        <f t="shared" si="1"/>
        <v>2736023.9</v>
      </c>
      <c r="C62" s="365">
        <v>1167553.5</v>
      </c>
      <c r="D62" s="365">
        <v>1568470.4</v>
      </c>
      <c r="E62" s="365">
        <v>42525</v>
      </c>
      <c r="H62" s="344">
        <v>1394920.4999999998</v>
      </c>
    </row>
    <row r="63" spans="1:8" x14ac:dyDescent="0.25">
      <c r="A63" s="195">
        <v>43435</v>
      </c>
      <c r="B63" s="106">
        <f t="shared" si="1"/>
        <v>4747676.1000000006</v>
      </c>
      <c r="C63" s="365">
        <v>58966.400000000001</v>
      </c>
      <c r="D63" s="365">
        <v>4688709.7</v>
      </c>
      <c r="E63" s="365">
        <v>29030.399999999998</v>
      </c>
      <c r="H63" s="344">
        <v>1418792.7000000002</v>
      </c>
    </row>
    <row r="64" spans="1:8" x14ac:dyDescent="0.25">
      <c r="A64" s="195">
        <v>43466</v>
      </c>
      <c r="B64" s="106">
        <f t="shared" si="1"/>
        <v>5209144.6000000006</v>
      </c>
      <c r="C64" s="365">
        <v>19312.2</v>
      </c>
      <c r="D64" s="365">
        <v>5189832.4000000004</v>
      </c>
      <c r="E64" s="365">
        <v>12021.099999999999</v>
      </c>
      <c r="H64" s="344">
        <v>1678701.0999999996</v>
      </c>
    </row>
    <row r="65" spans="1:8" x14ac:dyDescent="0.25">
      <c r="A65" s="195">
        <v>43497</v>
      </c>
      <c r="B65" s="106">
        <f t="shared" si="1"/>
        <v>5879594.9000000004</v>
      </c>
      <c r="C65" s="365">
        <v>2943537.6</v>
      </c>
      <c r="D65" s="365">
        <v>2936057.3</v>
      </c>
      <c r="E65" s="365">
        <v>4909</v>
      </c>
      <c r="H65" s="344">
        <v>1421391.6</v>
      </c>
    </row>
    <row r="66" spans="1:8" x14ac:dyDescent="0.25">
      <c r="A66" s="195">
        <v>43525</v>
      </c>
      <c r="B66" s="106">
        <f t="shared" ref="B66:B86" si="2">SUM(C66:D66)</f>
        <v>4866844.2</v>
      </c>
      <c r="C66" s="365">
        <v>5396.7</v>
      </c>
      <c r="D66" s="365">
        <v>4861447.5</v>
      </c>
      <c r="E66" s="365">
        <v>13299.199999999999</v>
      </c>
      <c r="H66" s="344">
        <v>1444982.8000000003</v>
      </c>
    </row>
    <row r="67" spans="1:8" x14ac:dyDescent="0.25">
      <c r="A67" s="195">
        <v>43556</v>
      </c>
      <c r="B67" s="106">
        <f t="shared" si="2"/>
        <v>2742152.5</v>
      </c>
      <c r="C67" s="365">
        <v>1167</v>
      </c>
      <c r="D67" s="365">
        <v>2740985.5</v>
      </c>
      <c r="E67" s="365">
        <v>36260.5</v>
      </c>
      <c r="H67" s="344">
        <v>1088354.5000000002</v>
      </c>
    </row>
    <row r="68" spans="1:8" x14ac:dyDescent="0.25">
      <c r="A68" s="195">
        <v>43586</v>
      </c>
      <c r="B68" s="106">
        <f t="shared" si="2"/>
        <v>1295028.3999999999</v>
      </c>
      <c r="C68" s="365">
        <v>712344.8</v>
      </c>
      <c r="D68" s="365">
        <v>582683.6</v>
      </c>
      <c r="E68" s="365">
        <v>36467</v>
      </c>
      <c r="H68" s="344">
        <v>981057.20000000019</v>
      </c>
    </row>
    <row r="69" spans="1:8" x14ac:dyDescent="0.25">
      <c r="A69" s="195">
        <v>43617</v>
      </c>
      <c r="B69" s="106">
        <f t="shared" si="2"/>
        <v>825371.1</v>
      </c>
      <c r="C69" s="365">
        <v>12729.2</v>
      </c>
      <c r="D69" s="365">
        <v>812641.9</v>
      </c>
      <c r="E69" s="365">
        <v>33022.6</v>
      </c>
      <c r="H69" s="344">
        <v>897842.49999999965</v>
      </c>
    </row>
    <row r="70" spans="1:8" x14ac:dyDescent="0.25">
      <c r="A70" s="195">
        <v>43647</v>
      </c>
      <c r="B70" s="106">
        <f t="shared" si="2"/>
        <v>702726.8</v>
      </c>
      <c r="C70" s="365">
        <v>-1864.5</v>
      </c>
      <c r="D70" s="365">
        <v>704591.3</v>
      </c>
      <c r="E70" s="365">
        <v>29285.5</v>
      </c>
      <c r="H70" s="344">
        <v>826414.2</v>
      </c>
    </row>
    <row r="71" spans="1:8" x14ac:dyDescent="0.25">
      <c r="A71" s="195">
        <v>43678</v>
      </c>
      <c r="B71" s="106">
        <f t="shared" si="2"/>
        <v>645750.69999999995</v>
      </c>
      <c r="C71" s="365">
        <v>336861.2</v>
      </c>
      <c r="D71" s="365">
        <v>308889.5</v>
      </c>
      <c r="E71" s="365">
        <v>44427.100000000006</v>
      </c>
      <c r="H71" s="344">
        <v>812061.09999999986</v>
      </c>
    </row>
    <row r="72" spans="1:8" x14ac:dyDescent="0.25">
      <c r="A72" s="195">
        <v>43709</v>
      </c>
      <c r="B72" s="106">
        <f t="shared" si="2"/>
        <v>665202.89999999991</v>
      </c>
      <c r="C72" s="365">
        <v>1232.7</v>
      </c>
      <c r="D72" s="365">
        <v>663970.19999999995</v>
      </c>
      <c r="E72" s="365">
        <v>62264.80000000001</v>
      </c>
      <c r="H72" s="344">
        <v>850497.50000000023</v>
      </c>
    </row>
    <row r="73" spans="1:8" x14ac:dyDescent="0.25">
      <c r="A73" s="195">
        <v>43739</v>
      </c>
      <c r="B73" s="106">
        <f t="shared" si="2"/>
        <v>819786</v>
      </c>
      <c r="C73" s="365">
        <v>-1112.7</v>
      </c>
      <c r="D73" s="365">
        <v>820898.7</v>
      </c>
      <c r="E73" s="365">
        <v>63703.9</v>
      </c>
      <c r="H73" s="344">
        <v>1127313.6000000001</v>
      </c>
    </row>
    <row r="74" spans="1:8" x14ac:dyDescent="0.25">
      <c r="A74" s="195">
        <v>43770</v>
      </c>
      <c r="B74" s="106">
        <f t="shared" si="2"/>
        <v>2484181.5</v>
      </c>
      <c r="C74" s="365">
        <v>1196569.1000000001</v>
      </c>
      <c r="D74" s="365">
        <v>1287612.3999999999</v>
      </c>
      <c r="E74" s="365">
        <v>53399.9</v>
      </c>
      <c r="H74" s="344">
        <v>1347937.3000000003</v>
      </c>
    </row>
    <row r="75" spans="1:8" x14ac:dyDescent="0.25">
      <c r="A75" s="195">
        <v>43800</v>
      </c>
      <c r="B75" s="106">
        <f t="shared" si="2"/>
        <v>4914992.7</v>
      </c>
      <c r="C75" s="365">
        <v>130919.4</v>
      </c>
      <c r="D75" s="365">
        <v>4784073.3</v>
      </c>
      <c r="E75" s="365">
        <v>36610</v>
      </c>
      <c r="H75" s="344">
        <v>1430878.8</v>
      </c>
    </row>
    <row r="76" spans="1:8" x14ac:dyDescent="0.25">
      <c r="A76" s="195">
        <v>43831</v>
      </c>
      <c r="B76" s="106">
        <f t="shared" si="2"/>
        <v>4666287.8</v>
      </c>
      <c r="C76" s="365">
        <v>846.5</v>
      </c>
      <c r="D76" s="365">
        <v>4665441.3</v>
      </c>
      <c r="E76" s="365">
        <v>48318.1</v>
      </c>
      <c r="H76" s="344">
        <v>1497866.7</v>
      </c>
    </row>
    <row r="77" spans="1:8" x14ac:dyDescent="0.25">
      <c r="A77" s="195">
        <v>43862</v>
      </c>
      <c r="B77" s="106">
        <f t="shared" si="2"/>
        <v>4895025.5999999996</v>
      </c>
      <c r="C77" s="365">
        <v>2534081.5</v>
      </c>
      <c r="D77" s="365">
        <v>2360944.1</v>
      </c>
      <c r="E77" s="365">
        <v>24878.199999999997</v>
      </c>
      <c r="H77" s="344">
        <v>1485084.9000000004</v>
      </c>
    </row>
    <row r="78" spans="1:8" x14ac:dyDescent="0.25">
      <c r="A78" s="195">
        <v>43891</v>
      </c>
      <c r="B78" s="106">
        <f t="shared" si="2"/>
        <v>4167631.8</v>
      </c>
      <c r="C78" s="365">
        <v>13828.5</v>
      </c>
      <c r="D78" s="365">
        <v>4153803.3</v>
      </c>
      <c r="E78" s="365">
        <v>30252.1</v>
      </c>
      <c r="H78" s="344">
        <v>1184225</v>
      </c>
    </row>
    <row r="79" spans="1:8" x14ac:dyDescent="0.25">
      <c r="A79" s="195">
        <v>43922</v>
      </c>
      <c r="B79" s="106">
        <f t="shared" si="2"/>
        <v>2380089.7000000002</v>
      </c>
      <c r="C79" s="365">
        <v>140</v>
      </c>
      <c r="D79" s="365">
        <v>2379949.7000000002</v>
      </c>
      <c r="E79" s="365">
        <v>55664.100000000006</v>
      </c>
      <c r="H79" s="344">
        <v>832221</v>
      </c>
    </row>
    <row r="80" spans="1:8" x14ac:dyDescent="0.25">
      <c r="A80" s="195">
        <v>43952</v>
      </c>
      <c r="B80" s="106">
        <f t="shared" si="2"/>
        <v>1668456.8</v>
      </c>
      <c r="C80" s="365">
        <v>957976.3</v>
      </c>
      <c r="D80" s="365">
        <v>710480.5</v>
      </c>
      <c r="E80" s="365">
        <v>39270.19999999999</v>
      </c>
      <c r="H80" s="344">
        <v>837007.4</v>
      </c>
    </row>
    <row r="81" spans="1:8" x14ac:dyDescent="0.25">
      <c r="A81" s="195">
        <v>43983</v>
      </c>
      <c r="B81" s="106">
        <f t="shared" si="2"/>
        <v>937602.9</v>
      </c>
      <c r="C81" s="365">
        <v>-908.6</v>
      </c>
      <c r="D81" s="365">
        <v>938511.5</v>
      </c>
      <c r="E81" s="365">
        <v>49416.5</v>
      </c>
      <c r="H81" s="344">
        <v>811277.5</v>
      </c>
    </row>
    <row r="82" spans="1:8" x14ac:dyDescent="0.25">
      <c r="A82" s="195">
        <v>44013</v>
      </c>
      <c r="B82" s="106">
        <f t="shared" si="2"/>
        <v>687225.60000000009</v>
      </c>
      <c r="C82" s="365">
        <v>-7213.2</v>
      </c>
      <c r="D82" s="365">
        <v>694438.8</v>
      </c>
      <c r="E82" s="365">
        <v>30957.200000000001</v>
      </c>
      <c r="H82" s="344">
        <v>802016.7</v>
      </c>
    </row>
    <row r="83" spans="1:8" x14ac:dyDescent="0.25">
      <c r="A83" s="195">
        <v>44044</v>
      </c>
      <c r="B83" s="106">
        <f t="shared" si="2"/>
        <v>630697.30000000005</v>
      </c>
      <c r="C83" s="365">
        <v>317154</v>
      </c>
      <c r="D83" s="365">
        <v>313543.3</v>
      </c>
      <c r="E83" s="365">
        <v>54045.3</v>
      </c>
      <c r="H83" s="344">
        <v>763198</v>
      </c>
    </row>
    <row r="84" spans="1:8" x14ac:dyDescent="0.25">
      <c r="A84" s="195">
        <v>44075</v>
      </c>
      <c r="B84" s="106">
        <f t="shared" si="2"/>
        <v>670179.9</v>
      </c>
      <c r="C84" s="365">
        <v>-8181</v>
      </c>
      <c r="D84" s="365">
        <v>678360.9</v>
      </c>
      <c r="E84" s="365">
        <v>66050.899999999994</v>
      </c>
      <c r="H84" s="344">
        <v>819663.4</v>
      </c>
    </row>
    <row r="85" spans="1:8" x14ac:dyDescent="0.25">
      <c r="A85" s="195">
        <v>44105</v>
      </c>
      <c r="B85" s="106">
        <f t="shared" si="2"/>
        <v>953506.2</v>
      </c>
      <c r="C85" s="365">
        <v>-1335.4</v>
      </c>
      <c r="D85" s="365">
        <v>954841.59999999998</v>
      </c>
      <c r="E85" s="365">
        <v>74502</v>
      </c>
      <c r="H85" s="344">
        <v>824280.5</v>
      </c>
    </row>
    <row r="86" spans="1:8" x14ac:dyDescent="0.25">
      <c r="A86" s="195">
        <v>44136</v>
      </c>
      <c r="B86" s="106">
        <f t="shared" si="2"/>
        <v>1919239</v>
      </c>
      <c r="C86" s="365">
        <v>1057236.6000000001</v>
      </c>
      <c r="D86" s="365">
        <v>862002.4</v>
      </c>
      <c r="E86" s="365">
        <v>71473.600000000006</v>
      </c>
      <c r="H86" s="344">
        <v>1045220.2</v>
      </c>
    </row>
    <row r="87" spans="1:8" x14ac:dyDescent="0.25">
      <c r="A87" s="195">
        <v>44166</v>
      </c>
      <c r="B87" s="106">
        <v>3979897.4</v>
      </c>
      <c r="C87" s="365">
        <v>-4050.2</v>
      </c>
      <c r="D87" s="365">
        <v>3983947.6</v>
      </c>
      <c r="E87" s="365">
        <v>44430.3</v>
      </c>
      <c r="H87" s="344">
        <v>1147614.3999999999</v>
      </c>
    </row>
    <row r="88" spans="1:8" x14ac:dyDescent="0.25">
      <c r="A88" s="195">
        <v>44197</v>
      </c>
      <c r="B88" s="106">
        <v>5828853.2000000002</v>
      </c>
      <c r="C88" s="365">
        <v>199994.6</v>
      </c>
      <c r="D88" s="365">
        <v>5628858.5999999996</v>
      </c>
      <c r="E88" s="365">
        <v>22918.3</v>
      </c>
      <c r="H88" s="344">
        <v>1615941.5</v>
      </c>
    </row>
    <row r="89" spans="1:8" x14ac:dyDescent="0.25">
      <c r="A89" s="195">
        <v>44228</v>
      </c>
      <c r="B89" s="106">
        <v>6106907.0999999996</v>
      </c>
      <c r="C89" s="365">
        <v>3239192.3</v>
      </c>
      <c r="D89" s="365">
        <v>2867714.8</v>
      </c>
      <c r="E89" s="365">
        <v>29602.1</v>
      </c>
      <c r="H89" s="344">
        <v>1588920.3</v>
      </c>
    </row>
    <row r="90" spans="1:8" x14ac:dyDescent="0.25">
      <c r="A90" s="195">
        <v>44256</v>
      </c>
      <c r="B90" s="106">
        <v>4908337.5</v>
      </c>
      <c r="C90" s="365">
        <v>60505.3</v>
      </c>
      <c r="D90" s="365">
        <v>4847832.2</v>
      </c>
      <c r="E90" s="365">
        <v>40091.300000000003</v>
      </c>
      <c r="H90" s="344">
        <v>1544351.3</v>
      </c>
    </row>
    <row r="91" spans="1:8" x14ac:dyDescent="0.25">
      <c r="A91" s="195">
        <v>44287</v>
      </c>
      <c r="B91" s="106">
        <v>2308518.7000000002</v>
      </c>
      <c r="C91" s="365">
        <v>1218.4000000000001</v>
      </c>
      <c r="D91" s="365">
        <v>2307300.2999999998</v>
      </c>
      <c r="E91" s="365">
        <v>65875.899999999994</v>
      </c>
      <c r="H91" s="344">
        <v>1336298.3999999999</v>
      </c>
    </row>
    <row r="92" spans="1:8" x14ac:dyDescent="0.25">
      <c r="A92" s="195">
        <v>44317</v>
      </c>
      <c r="B92" s="106">
        <v>1429557.8</v>
      </c>
      <c r="C92" s="365">
        <v>794953.8</v>
      </c>
      <c r="D92" s="365">
        <v>634604</v>
      </c>
      <c r="E92" s="365">
        <v>64697.2</v>
      </c>
      <c r="H92" s="344">
        <v>1077815.8999999999</v>
      </c>
    </row>
    <row r="93" spans="1:8" x14ac:dyDescent="0.25">
      <c r="A93" s="195">
        <v>44348</v>
      </c>
      <c r="B93" s="106">
        <v>905633.5</v>
      </c>
      <c r="C93" s="365">
        <v>-523.4</v>
      </c>
      <c r="D93" s="365">
        <v>906156.9</v>
      </c>
      <c r="E93" s="365">
        <v>63211.8</v>
      </c>
      <c r="H93" s="344">
        <v>1048042.8</v>
      </c>
    </row>
    <row r="94" spans="1:8" x14ac:dyDescent="0.25">
      <c r="A94" s="195">
        <v>44378</v>
      </c>
      <c r="B94" s="106">
        <v>669470.69999999995</v>
      </c>
      <c r="C94" s="365">
        <v>9877.7999999999993</v>
      </c>
      <c r="D94" s="365">
        <v>659592.9</v>
      </c>
      <c r="E94" s="365">
        <v>57936.4</v>
      </c>
      <c r="H94" s="344">
        <v>870160.8</v>
      </c>
    </row>
    <row r="95" spans="1:8" x14ac:dyDescent="0.25">
      <c r="A95" s="195">
        <v>44409</v>
      </c>
      <c r="B95" s="106">
        <v>663187.69999999995</v>
      </c>
      <c r="C95" s="365">
        <v>335208</v>
      </c>
      <c r="D95" s="365">
        <v>327979.7</v>
      </c>
      <c r="E95" s="365">
        <v>48256.7</v>
      </c>
      <c r="H95" s="344">
        <v>797062.9</v>
      </c>
    </row>
    <row r="96" spans="1:8" x14ac:dyDescent="0.25">
      <c r="A96" s="195">
        <v>44440</v>
      </c>
      <c r="B96" s="500">
        <v>687871.9</v>
      </c>
      <c r="C96" s="365">
        <v>-2890.7</v>
      </c>
      <c r="D96" s="365">
        <v>690762.6</v>
      </c>
      <c r="E96" s="365">
        <v>55443.4</v>
      </c>
      <c r="H96" s="344">
        <v>890211.9</v>
      </c>
    </row>
    <row r="97" spans="1:8" x14ac:dyDescent="0.25">
      <c r="A97" s="195">
        <v>44470</v>
      </c>
      <c r="B97" s="499">
        <v>836296.1</v>
      </c>
      <c r="C97" s="365">
        <v>-1665.6</v>
      </c>
      <c r="D97" s="365">
        <v>837961.7</v>
      </c>
      <c r="E97" s="365">
        <v>74420.2</v>
      </c>
      <c r="H97" s="344">
        <v>932009.1</v>
      </c>
    </row>
    <row r="98" spans="1:8" x14ac:dyDescent="0.25">
      <c r="A98" s="195">
        <v>44501</v>
      </c>
      <c r="B98" s="500">
        <v>2112663.9</v>
      </c>
      <c r="C98" s="365">
        <v>1026208.6</v>
      </c>
      <c r="D98" s="365">
        <v>1086455.3</v>
      </c>
      <c r="E98" s="365">
        <v>74117</v>
      </c>
      <c r="H98" s="344">
        <v>987647.6</v>
      </c>
    </row>
    <row r="99" spans="1:8" x14ac:dyDescent="0.25">
      <c r="A99" s="195">
        <v>44531</v>
      </c>
      <c r="B99" s="500">
        <v>3990717.4</v>
      </c>
      <c r="C99" s="365">
        <v>168526.3</v>
      </c>
      <c r="D99" s="365">
        <v>3822191.1</v>
      </c>
      <c r="E99" s="365">
        <v>65082.8</v>
      </c>
      <c r="H99" s="344">
        <v>1309531.7</v>
      </c>
    </row>
    <row r="100" spans="1:8" x14ac:dyDescent="0.25">
      <c r="A100" s="195">
        <v>44562</v>
      </c>
      <c r="B100" s="500">
        <v>5236357</v>
      </c>
      <c r="C100" s="365">
        <v>243769.8</v>
      </c>
      <c r="D100" s="365">
        <v>4992587.2</v>
      </c>
      <c r="E100" s="365">
        <v>48783.3</v>
      </c>
      <c r="H100" s="344">
        <v>1283454</v>
      </c>
    </row>
    <row r="101" spans="1:8" x14ac:dyDescent="0.25">
      <c r="A101" s="195">
        <v>44593</v>
      </c>
      <c r="B101" s="500">
        <v>5840316.2000000002</v>
      </c>
      <c r="C101" s="365">
        <v>3206661</v>
      </c>
      <c r="D101" s="365">
        <v>2633655.2000000002</v>
      </c>
      <c r="E101" s="365">
        <v>54563.3</v>
      </c>
      <c r="H101" s="344">
        <v>1780261.6</v>
      </c>
    </row>
    <row r="102" spans="1:8" x14ac:dyDescent="0.25">
      <c r="A102" s="195">
        <v>44621</v>
      </c>
      <c r="B102" s="500">
        <v>4334416.8</v>
      </c>
      <c r="C102" s="365">
        <v>7307</v>
      </c>
      <c r="D102" s="365">
        <v>4327109.8</v>
      </c>
      <c r="E102" s="365">
        <v>68708.7</v>
      </c>
      <c r="H102" s="344">
        <v>1497491.6</v>
      </c>
    </row>
    <row r="103" spans="1:8" x14ac:dyDescent="0.25">
      <c r="A103" s="195">
        <v>44652</v>
      </c>
      <c r="B103" s="500">
        <v>2797541.7</v>
      </c>
      <c r="C103" s="365">
        <v>13235.3</v>
      </c>
      <c r="D103" s="365">
        <v>2784306.4</v>
      </c>
      <c r="E103" s="365">
        <v>71265.7</v>
      </c>
      <c r="H103" s="344">
        <v>1405096</v>
      </c>
    </row>
    <row r="104" spans="1:8" x14ac:dyDescent="0.25">
      <c r="A104" s="195">
        <v>44682</v>
      </c>
      <c r="B104" s="500">
        <v>1353023.2</v>
      </c>
      <c r="C104" s="365">
        <v>791440.7</v>
      </c>
      <c r="D104" s="365">
        <v>561582.5</v>
      </c>
      <c r="E104" s="365">
        <v>35911.300000000003</v>
      </c>
      <c r="H104" s="344">
        <v>1201967.3999999999</v>
      </c>
    </row>
    <row r="105" spans="1:8" x14ac:dyDescent="0.25">
      <c r="A105" s="195">
        <v>44713</v>
      </c>
      <c r="B105" s="500">
        <v>781082.6</v>
      </c>
      <c r="C105" s="365">
        <v>-4032.4</v>
      </c>
      <c r="D105" s="365">
        <v>785115</v>
      </c>
      <c r="E105" s="365">
        <v>111368.9</v>
      </c>
      <c r="H105" s="344">
        <v>1003432.2</v>
      </c>
    </row>
    <row r="106" spans="1:8" x14ac:dyDescent="0.25">
      <c r="A106" s="195">
        <v>44743</v>
      </c>
      <c r="B106" s="255">
        <v>650186.6</v>
      </c>
      <c r="C106" s="365">
        <v>16810.400000000001</v>
      </c>
      <c r="D106" s="365">
        <v>633376.19999999995</v>
      </c>
      <c r="E106" s="365">
        <v>63811.4</v>
      </c>
      <c r="H106" s="344">
        <v>976705.6</v>
      </c>
    </row>
    <row r="107" spans="1:8" x14ac:dyDescent="0.25">
      <c r="A107" s="195">
        <v>44774</v>
      </c>
      <c r="B107" s="255">
        <v>633620</v>
      </c>
      <c r="C107" s="365">
        <v>319884</v>
      </c>
      <c r="D107" s="365">
        <v>313736</v>
      </c>
      <c r="E107" s="365">
        <v>68067.100000000006</v>
      </c>
      <c r="H107" s="344">
        <v>831521.2</v>
      </c>
    </row>
    <row r="108" spans="1:8" x14ac:dyDescent="0.25">
      <c r="A108" s="195">
        <v>44805</v>
      </c>
      <c r="B108" s="255">
        <v>649768.6</v>
      </c>
      <c r="C108" s="365">
        <v>1171.9000000000001</v>
      </c>
      <c r="D108" s="365">
        <v>648596.69999999995</v>
      </c>
      <c r="E108" s="365">
        <v>86338.7</v>
      </c>
      <c r="H108" s="344">
        <v>908043</v>
      </c>
    </row>
    <row r="109" spans="1:8" x14ac:dyDescent="0.25">
      <c r="A109" s="195">
        <v>44835</v>
      </c>
      <c r="B109" s="255">
        <v>1035494.7</v>
      </c>
      <c r="C109" s="365">
        <v>-1181.4000000000001</v>
      </c>
      <c r="D109" s="365">
        <v>1036676.1</v>
      </c>
      <c r="E109" s="365">
        <v>80730.3</v>
      </c>
      <c r="H109" s="344">
        <v>879400.1</v>
      </c>
    </row>
    <row r="110" spans="1:8" x14ac:dyDescent="0.25">
      <c r="A110" s="195">
        <v>44866</v>
      </c>
      <c r="B110" s="255">
        <v>2117518.5</v>
      </c>
      <c r="C110" s="365">
        <v>993908.5</v>
      </c>
      <c r="D110" s="365">
        <v>1123610</v>
      </c>
      <c r="E110" s="365">
        <v>70975.899999999994</v>
      </c>
      <c r="H110" s="344">
        <v>1133855.8</v>
      </c>
    </row>
    <row r="111" spans="1:8" x14ac:dyDescent="0.25">
      <c r="A111" s="195">
        <v>44896</v>
      </c>
      <c r="B111" s="255">
        <v>4389964.7</v>
      </c>
      <c r="C111" s="365">
        <v>226314.6</v>
      </c>
      <c r="D111" s="365">
        <v>4163650.1</v>
      </c>
      <c r="E111" s="365">
        <v>58101</v>
      </c>
      <c r="H111" s="344">
        <v>1354383.2</v>
      </c>
    </row>
    <row r="112" spans="1:8" x14ac:dyDescent="0.25">
      <c r="A112" s="195">
        <v>44927</v>
      </c>
      <c r="B112" s="255">
        <v>5354506.8</v>
      </c>
      <c r="C112" s="365">
        <v>135947.4</v>
      </c>
      <c r="D112" s="365">
        <v>5218559.4000000004</v>
      </c>
      <c r="E112" s="365">
        <v>43152.6</v>
      </c>
      <c r="H112" s="344">
        <v>1586142.8</v>
      </c>
    </row>
    <row r="113" spans="1:8" x14ac:dyDescent="0.25">
      <c r="A113" s="195">
        <v>44958</v>
      </c>
      <c r="B113" s="255">
        <v>4638340.0999999996</v>
      </c>
      <c r="C113" s="365">
        <v>2491474</v>
      </c>
      <c r="D113" s="365">
        <v>2146866.1</v>
      </c>
      <c r="E113" s="365">
        <v>43017.3</v>
      </c>
      <c r="H113" s="344">
        <v>1640244.4</v>
      </c>
    </row>
    <row r="114" spans="1:8" x14ac:dyDescent="0.25">
      <c r="A114" s="195">
        <v>44986</v>
      </c>
      <c r="B114" s="255">
        <v>3382499</v>
      </c>
      <c r="C114" s="365">
        <v>20511.5</v>
      </c>
      <c r="D114" s="365">
        <v>3361987.6</v>
      </c>
      <c r="E114" s="365">
        <v>72204.3</v>
      </c>
      <c r="H114" s="344">
        <v>1344410.5</v>
      </c>
    </row>
    <row r="115" spans="1:8" x14ac:dyDescent="0.25">
      <c r="A115" s="195">
        <v>45017</v>
      </c>
      <c r="B115" s="255">
        <v>2508994.1</v>
      </c>
      <c r="C115" s="365">
        <v>11316.6</v>
      </c>
      <c r="D115" s="365">
        <v>2497677.5</v>
      </c>
      <c r="E115" s="365">
        <v>65960.5</v>
      </c>
      <c r="H115" s="344">
        <v>1489924.3</v>
      </c>
    </row>
    <row r="116" spans="1:8" x14ac:dyDescent="0.25">
      <c r="A116" s="195">
        <v>45047</v>
      </c>
      <c r="B116" s="255">
        <v>1461035.7</v>
      </c>
      <c r="C116" s="365">
        <v>837222.5</v>
      </c>
      <c r="D116" s="365">
        <v>623813.19999999995</v>
      </c>
      <c r="E116" s="365">
        <v>70466.399999999994</v>
      </c>
      <c r="H116" s="344">
        <v>1189779.8999999999</v>
      </c>
    </row>
    <row r="117" spans="1:8" x14ac:dyDescent="0.25">
      <c r="A117" s="195">
        <v>45078</v>
      </c>
      <c r="B117" s="255">
        <v>806789.2</v>
      </c>
      <c r="C117" s="365">
        <v>-151.30000000000001</v>
      </c>
      <c r="D117" s="365">
        <v>806940.5</v>
      </c>
      <c r="E117" s="365">
        <v>72465.100000000006</v>
      </c>
      <c r="H117" s="344">
        <v>1095503.1000000001</v>
      </c>
    </row>
    <row r="118" spans="1:8" x14ac:dyDescent="0.25">
      <c r="A118" s="195">
        <v>45108</v>
      </c>
      <c r="B118" s="255">
        <v>740177</v>
      </c>
      <c r="C118" s="365">
        <v>16326.7</v>
      </c>
      <c r="D118" s="365">
        <v>723850.3</v>
      </c>
      <c r="E118" s="365">
        <v>59512.4</v>
      </c>
      <c r="H118" s="344">
        <v>929014.5</v>
      </c>
    </row>
    <row r="119" spans="1:8" x14ac:dyDescent="0.25">
      <c r="A119" s="195">
        <v>45139</v>
      </c>
      <c r="B119" s="255">
        <v>655612.4</v>
      </c>
      <c r="C119" s="365">
        <v>313412.2</v>
      </c>
      <c r="D119" s="365">
        <v>342200.2</v>
      </c>
      <c r="E119" s="365">
        <v>48908.1</v>
      </c>
      <c r="H119" s="344">
        <v>892250.7</v>
      </c>
    </row>
    <row r="120" spans="1:8" x14ac:dyDescent="0.25">
      <c r="A120" s="195">
        <v>45170</v>
      </c>
      <c r="B120" s="255">
        <v>675156.6</v>
      </c>
      <c r="C120" s="365">
        <v>-17513.900000000001</v>
      </c>
      <c r="D120" s="365">
        <v>692670.5</v>
      </c>
      <c r="E120" s="365">
        <v>78876.800000000003</v>
      </c>
      <c r="H120" s="344">
        <v>971767</v>
      </c>
    </row>
    <row r="121" spans="1:8" x14ac:dyDescent="0.25">
      <c r="A121" s="195">
        <v>45200</v>
      </c>
      <c r="B121" s="255">
        <v>850719.3</v>
      </c>
      <c r="C121" s="365">
        <v>-5400.4</v>
      </c>
      <c r="D121" s="365">
        <v>856119.7</v>
      </c>
      <c r="E121" s="365">
        <v>80734.8</v>
      </c>
      <c r="H121" s="344">
        <v>911904.8</v>
      </c>
    </row>
    <row r="122" spans="1:8" x14ac:dyDescent="0.25">
      <c r="A122" s="195">
        <v>45231</v>
      </c>
      <c r="B122" s="255">
        <v>1868910.1</v>
      </c>
      <c r="C122" s="365">
        <v>937621.4</v>
      </c>
      <c r="D122" s="365">
        <v>931288.7</v>
      </c>
      <c r="E122" s="365">
        <v>45861.7</v>
      </c>
      <c r="H122" s="344">
        <v>1087285.7</v>
      </c>
    </row>
    <row r="123" spans="1:8" x14ac:dyDescent="0.25">
      <c r="A123" s="195">
        <v>45261</v>
      </c>
      <c r="B123" s="255">
        <v>3598890</v>
      </c>
      <c r="C123" s="365">
        <v>64703.3</v>
      </c>
      <c r="D123" s="365">
        <v>3534186.7</v>
      </c>
      <c r="E123" s="365">
        <v>32141.7</v>
      </c>
      <c r="H123" s="344">
        <v>1348262.7</v>
      </c>
    </row>
    <row r="124" spans="1:8" x14ac:dyDescent="0.25">
      <c r="A124" s="195">
        <v>45292</v>
      </c>
      <c r="B124" s="255">
        <v>5601654.7999999998</v>
      </c>
      <c r="C124" s="365">
        <v>-738</v>
      </c>
      <c r="D124" s="365">
        <v>5602392.7999999998</v>
      </c>
      <c r="E124" s="365">
        <v>18183.8</v>
      </c>
      <c r="H124" s="344">
        <v>1486192</v>
      </c>
    </row>
    <row r="125" spans="1:8" x14ac:dyDescent="0.25">
      <c r="A125" s="195">
        <v>45323</v>
      </c>
      <c r="B125" s="255">
        <v>5241614.8</v>
      </c>
      <c r="C125" s="365">
        <v>3114552.5</v>
      </c>
      <c r="D125" s="365">
        <v>2127062.2999999998</v>
      </c>
      <c r="E125" s="365">
        <v>10580.6</v>
      </c>
      <c r="H125" s="344">
        <v>1801665.3</v>
      </c>
    </row>
    <row r="126" spans="1:8" x14ac:dyDescent="0.25">
      <c r="A126" s="195">
        <v>45352</v>
      </c>
      <c r="B126" s="255">
        <v>3360870.5</v>
      </c>
      <c r="C126" s="365">
        <v>42156.5</v>
      </c>
      <c r="D126" s="365">
        <v>3318714</v>
      </c>
      <c r="E126" s="365">
        <v>25150.7</v>
      </c>
      <c r="H126" s="344">
        <v>1422623.3</v>
      </c>
    </row>
    <row r="127" spans="1:8" x14ac:dyDescent="0.25">
      <c r="A127" s="195">
        <v>45383</v>
      </c>
      <c r="B127" s="255">
        <v>2308599.1</v>
      </c>
      <c r="C127" s="365">
        <v>1243.8</v>
      </c>
      <c r="D127" s="365">
        <v>2307355.2999999998</v>
      </c>
      <c r="E127" s="365">
        <v>31642.2</v>
      </c>
      <c r="H127" s="344">
        <v>1387748.5</v>
      </c>
    </row>
    <row r="128" spans="1:8" x14ac:dyDescent="0.25">
      <c r="A128" s="195">
        <v>45413</v>
      </c>
      <c r="B128" s="255">
        <v>1191124.8</v>
      </c>
      <c r="C128" s="365">
        <v>704910.5</v>
      </c>
      <c r="D128" s="365">
        <v>486214.3</v>
      </c>
      <c r="E128" s="365">
        <v>42209.9</v>
      </c>
      <c r="H128" s="344">
        <v>1206203.6000000001</v>
      </c>
    </row>
    <row r="129" spans="1:8" x14ac:dyDescent="0.25">
      <c r="A129" s="195">
        <v>45444</v>
      </c>
      <c r="B129" s="255">
        <v>804785</v>
      </c>
      <c r="C129" s="365">
        <v>7364.8</v>
      </c>
      <c r="D129" s="365">
        <v>797420.2</v>
      </c>
      <c r="E129" s="365">
        <v>51898.8</v>
      </c>
      <c r="H129" s="344">
        <v>1065597</v>
      </c>
    </row>
    <row r="130" spans="1:8" x14ac:dyDescent="0.25">
      <c r="A130" s="195">
        <v>45474</v>
      </c>
      <c r="B130" s="255">
        <v>700519.7</v>
      </c>
      <c r="C130" s="365">
        <v>-2742.2</v>
      </c>
      <c r="D130" s="365">
        <v>703261.9</v>
      </c>
      <c r="E130" s="365">
        <v>36784.1</v>
      </c>
      <c r="H130" s="344">
        <v>969184</v>
      </c>
    </row>
    <row r="131" spans="1:8" x14ac:dyDescent="0.25">
      <c r="A131" s="195">
        <v>45505</v>
      </c>
      <c r="B131" s="255">
        <v>677185.9</v>
      </c>
      <c r="C131" s="365">
        <v>345967.6</v>
      </c>
      <c r="D131" s="365">
        <v>331218.3</v>
      </c>
      <c r="E131" s="365">
        <v>55038.3</v>
      </c>
      <c r="H131" s="344">
        <v>925355.6</v>
      </c>
    </row>
    <row r="132" spans="1:8" x14ac:dyDescent="0.25">
      <c r="A132" s="195">
        <v>45536</v>
      </c>
      <c r="B132" s="255">
        <v>652402.9</v>
      </c>
      <c r="C132" s="365">
        <v>-4778</v>
      </c>
      <c r="D132" s="365">
        <v>657180.9</v>
      </c>
      <c r="E132" s="365">
        <v>41485.9</v>
      </c>
      <c r="H132" s="344">
        <v>891913.9</v>
      </c>
    </row>
    <row r="133" spans="1:8" x14ac:dyDescent="0.25">
      <c r="A133" s="195">
        <v>45566</v>
      </c>
      <c r="B133" s="255">
        <v>856844.5</v>
      </c>
      <c r="C133" s="365">
        <v>-1121.4000000000001</v>
      </c>
      <c r="D133" s="365">
        <v>857965.9</v>
      </c>
      <c r="E133" s="365">
        <v>55001.2</v>
      </c>
      <c r="H133" s="344">
        <v>950535.8</v>
      </c>
    </row>
    <row r="134" spans="1:8" x14ac:dyDescent="0.25">
      <c r="A134" s="195">
        <v>45597</v>
      </c>
      <c r="B134" s="255">
        <v>1411216.6</v>
      </c>
      <c r="C134" s="365">
        <v>785066.7</v>
      </c>
      <c r="D134" s="365">
        <v>626149.9</v>
      </c>
      <c r="E134" s="365">
        <v>33090.6</v>
      </c>
      <c r="H134" s="344">
        <v>1057396</v>
      </c>
    </row>
    <row r="135" spans="1:8" x14ac:dyDescent="0.25">
      <c r="A135" s="195">
        <v>45627</v>
      </c>
      <c r="B135" s="255">
        <v>4139055.5</v>
      </c>
      <c r="C135" s="365">
        <v>88720</v>
      </c>
      <c r="D135" s="365">
        <v>4050335.5</v>
      </c>
      <c r="E135" s="365">
        <v>20746.7</v>
      </c>
      <c r="H135" s="344">
        <v>1209019.3999999999</v>
      </c>
    </row>
    <row r="136" spans="1:8" x14ac:dyDescent="0.25">
      <c r="A136" s="195">
        <v>45658</v>
      </c>
      <c r="B136" s="255">
        <v>6059876.4000000004</v>
      </c>
      <c r="C136" s="365">
        <v>2853.9</v>
      </c>
      <c r="D136" s="365">
        <v>6057022.5</v>
      </c>
      <c r="E136" s="365">
        <v>11012.4</v>
      </c>
      <c r="H136" s="344">
        <v>1508009.6</v>
      </c>
    </row>
    <row r="137" spans="1:8" x14ac:dyDescent="0.25">
      <c r="A137" s="195">
        <v>45689</v>
      </c>
      <c r="B137" s="255">
        <v>6018298.7999999998</v>
      </c>
      <c r="C137" s="365">
        <v>3331081.5</v>
      </c>
      <c r="D137" s="365">
        <v>2687217.3</v>
      </c>
      <c r="E137" s="365">
        <v>7899.4</v>
      </c>
      <c r="H137" s="344">
        <v>1901969.6</v>
      </c>
    </row>
    <row r="138" spans="1:8" x14ac:dyDescent="0.25">
      <c r="A138" s="195">
        <v>45717</v>
      </c>
      <c r="B138" s="255">
        <v>4573647.2</v>
      </c>
      <c r="C138" s="365">
        <v>97432.1</v>
      </c>
      <c r="D138" s="365">
        <v>4476215.0999999996</v>
      </c>
      <c r="E138" s="365">
        <v>20571.599999999999</v>
      </c>
      <c r="H138" s="344">
        <v>1557904.8</v>
      </c>
    </row>
    <row r="139" spans="1:8" x14ac:dyDescent="0.25">
      <c r="A139" s="195">
        <v>45748</v>
      </c>
      <c r="B139" s="255">
        <v>2391850.2999999998</v>
      </c>
      <c r="C139" s="365">
        <v>8533.7000000000007</v>
      </c>
      <c r="D139" s="365">
        <v>2383316.6</v>
      </c>
      <c r="E139" s="365">
        <v>26007.599999999999</v>
      </c>
      <c r="H139" s="344">
        <v>1408745.2</v>
      </c>
    </row>
    <row r="140" spans="1:8" x14ac:dyDescent="0.25">
      <c r="A140" s="195">
        <v>45778</v>
      </c>
      <c r="B140" s="255">
        <v>1236599.1000000001</v>
      </c>
      <c r="C140" s="365">
        <v>760176.8</v>
      </c>
      <c r="D140" s="365">
        <v>476422.3</v>
      </c>
      <c r="E140" s="365">
        <v>29964.3</v>
      </c>
      <c r="H140" s="344">
        <v>1136697.3</v>
      </c>
    </row>
    <row r="141" spans="1:8" x14ac:dyDescent="0.25">
      <c r="A141" s="195">
        <v>45809</v>
      </c>
      <c r="B141" s="255">
        <v>866541.8</v>
      </c>
      <c r="C141" s="365">
        <v>-11392.7</v>
      </c>
      <c r="D141" s="365">
        <v>877934.5</v>
      </c>
      <c r="E141" s="365">
        <v>41312</v>
      </c>
      <c r="H141" s="344">
        <v>1087363</v>
      </c>
    </row>
    <row r="142" spans="1:8" x14ac:dyDescent="0.25">
      <c r="A142" s="195">
        <v>45839</v>
      </c>
      <c r="B142" s="255">
        <v>667010.5</v>
      </c>
      <c r="C142" s="365">
        <v>2582.6999999999998</v>
      </c>
      <c r="D142" s="365">
        <v>664427.80000000005</v>
      </c>
      <c r="E142" s="365">
        <v>43218.7</v>
      </c>
      <c r="H142" s="344">
        <v>966575.7</v>
      </c>
    </row>
    <row r="143" spans="1:8" x14ac:dyDescent="0.25">
      <c r="A143" s="195">
        <v>45870</v>
      </c>
      <c r="B143" s="255">
        <v>653711.80000000005</v>
      </c>
      <c r="C143" s="365">
        <v>350814.4</v>
      </c>
      <c r="D143" s="365">
        <v>302897.40000000002</v>
      </c>
      <c r="E143" s="365">
        <v>39764.800000000003</v>
      </c>
      <c r="H143" s="344">
        <v>978067</v>
      </c>
    </row>
    <row r="144" spans="1:8" x14ac:dyDescent="0.25">
      <c r="A144" s="195">
        <v>45901</v>
      </c>
      <c r="B144" s="255">
        <v>687884.6</v>
      </c>
      <c r="C144" s="365">
        <v>18831</v>
      </c>
      <c r="D144" s="365">
        <v>669053.6</v>
      </c>
      <c r="E144" s="365">
        <v>44875.5</v>
      </c>
      <c r="H144" s="344">
        <v>989730.2</v>
      </c>
    </row>
    <row r="145" spans="1:8" x14ac:dyDescent="0.25">
      <c r="A145" s="195">
        <v>45931</v>
      </c>
      <c r="B145" s="255">
        <v>795807.3</v>
      </c>
      <c r="C145" s="365">
        <v>-464.4</v>
      </c>
      <c r="D145" s="365">
        <v>796271.7</v>
      </c>
      <c r="E145" s="365">
        <v>43681.5</v>
      </c>
      <c r="H145" s="344">
        <v>954437.2</v>
      </c>
    </row>
    <row r="146" spans="1:8" x14ac:dyDescent="0.25">
      <c r="A146" s="195">
        <v>45962</v>
      </c>
      <c r="B146" s="255">
        <v>2013138</v>
      </c>
      <c r="C146" s="365">
        <v>1112071.8</v>
      </c>
      <c r="D146" s="365">
        <v>901066.2</v>
      </c>
      <c r="E146" s="365"/>
      <c r="H146" s="344">
        <v>1050570</v>
      </c>
    </row>
    <row r="147" spans="1:8" x14ac:dyDescent="0.25">
      <c r="B147" s="255"/>
      <c r="C147" s="365"/>
      <c r="D147" s="365"/>
      <c r="E147" s="365"/>
      <c r="H147" s="344"/>
    </row>
    <row r="148" spans="1:8" x14ac:dyDescent="0.25">
      <c r="B148" s="255"/>
      <c r="C148" s="365"/>
      <c r="D148" s="365"/>
      <c r="E148" s="365"/>
      <c r="H148" s="344"/>
    </row>
    <row r="149" spans="1:8" x14ac:dyDescent="0.25">
      <c r="B149" s="255"/>
      <c r="C149" s="365"/>
      <c r="D149" s="365"/>
      <c r="E149" s="365"/>
      <c r="H149" s="344"/>
    </row>
    <row r="150" spans="1:8" x14ac:dyDescent="0.25">
      <c r="B150" s="255"/>
      <c r="C150" s="365"/>
      <c r="D150" s="365"/>
      <c r="E150" s="365"/>
      <c r="H150" s="344"/>
    </row>
    <row r="151" spans="1:8" x14ac:dyDescent="0.25">
      <c r="B151" s="255"/>
      <c r="C151" s="365"/>
      <c r="D151" s="365"/>
      <c r="E151" s="365"/>
      <c r="H151" s="344"/>
    </row>
    <row r="152" spans="1:8" x14ac:dyDescent="0.25">
      <c r="B152" s="255"/>
      <c r="C152" s="365"/>
      <c r="D152" s="365"/>
      <c r="E152" s="365"/>
      <c r="H152" s="344"/>
    </row>
    <row r="153" spans="1:8" x14ac:dyDescent="0.25">
      <c r="B153" s="255"/>
      <c r="C153" s="365"/>
      <c r="D153" s="365"/>
      <c r="E153" s="365"/>
      <c r="H153" s="344"/>
    </row>
    <row r="154" spans="1:8" x14ac:dyDescent="0.25">
      <c r="B154" s="255"/>
      <c r="C154" s="365"/>
      <c r="D154" s="365"/>
      <c r="E154" s="365"/>
      <c r="H154" s="344"/>
    </row>
    <row r="155" spans="1:8" x14ac:dyDescent="0.25">
      <c r="B155" s="255"/>
      <c r="C155" s="365"/>
      <c r="D155" s="365"/>
      <c r="E155" s="365"/>
      <c r="H155" s="344"/>
    </row>
    <row r="156" spans="1:8" x14ac:dyDescent="0.25">
      <c r="B156" s="255"/>
      <c r="C156" s="365"/>
      <c r="D156" s="365"/>
      <c r="E156" s="365"/>
      <c r="H156" s="344"/>
    </row>
    <row r="157" spans="1:8" x14ac:dyDescent="0.25">
      <c r="B157" s="255"/>
      <c r="C157" s="365"/>
      <c r="D157" s="365"/>
      <c r="E157" s="365"/>
      <c r="H157" s="344"/>
    </row>
    <row r="158" spans="1:8" x14ac:dyDescent="0.25">
      <c r="B158" s="255"/>
      <c r="C158" s="365"/>
      <c r="D158" s="365"/>
      <c r="E158" s="365"/>
      <c r="H158" s="344"/>
    </row>
  </sheetData>
  <pageMargins left="0.7" right="0.7" top="0.75" bottom="0.75" header="0.3" footer="0.3"/>
  <pageSetup scale="84" orientation="landscape" r:id="rId1"/>
  <headerFooter>
    <oddFooter>&amp;L_x000D_&amp;1#&amp;"Calibri"&amp;14&amp;K000000 Business Use</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8">
    <tabColor rgb="FF92D050"/>
  </sheetPr>
  <dimension ref="A1:BM179"/>
  <sheetViews>
    <sheetView zoomScaleNormal="100" workbookViewId="0"/>
  </sheetViews>
  <sheetFormatPr defaultColWidth="8.88671875" defaultRowHeight="15.75" x14ac:dyDescent="0.25"/>
  <cols>
    <col min="1" max="1" width="10.44140625" style="3" customWidth="1"/>
    <col min="2" max="4" width="12.33203125" style="3" hidden="1" customWidth="1"/>
    <col min="5" max="5" width="4" style="3" hidden="1" customWidth="1"/>
    <col min="6" max="6" width="9.5546875" style="3" hidden="1" customWidth="1"/>
    <col min="7" max="7" width="11.44140625" style="3" hidden="1" customWidth="1"/>
    <col min="8" max="8" width="6" style="3" hidden="1" customWidth="1"/>
    <col min="9" max="10" width="12.33203125" style="3" hidden="1" customWidth="1"/>
    <col min="11" max="11" width="4.33203125" style="3" hidden="1" customWidth="1"/>
    <col min="12" max="13" width="12.33203125" style="3" customWidth="1"/>
    <col min="14" max="14" width="5.33203125" style="3" hidden="1" customWidth="1"/>
    <col min="15" max="16" width="12.33203125" style="3" hidden="1" customWidth="1"/>
    <col min="17" max="17" width="1" style="3" hidden="1" customWidth="1"/>
    <col min="18" max="19" width="12.33203125" style="3" hidden="1" customWidth="1"/>
    <col min="20" max="20" width="4.6640625" style="3" hidden="1" customWidth="1"/>
    <col min="21" max="22" width="12.33203125" style="3" customWidth="1"/>
    <col min="23" max="23" width="4.33203125" style="3" customWidth="1"/>
    <col min="24" max="24" width="12.33203125" style="3" customWidth="1"/>
    <col min="25" max="25" width="5" style="3" customWidth="1"/>
    <col min="26" max="26" width="10.21875" style="3" bestFit="1" customWidth="1"/>
    <col min="27" max="27" width="4.109375" style="3" customWidth="1"/>
    <col min="28" max="28" width="11.109375" style="3" hidden="1" customWidth="1"/>
    <col min="29" max="29" width="9.109375" style="3" hidden="1" customWidth="1"/>
    <col min="30" max="30" width="4.109375" style="3" hidden="1" customWidth="1"/>
    <col min="31" max="31" width="10.5546875" style="3" hidden="1" customWidth="1"/>
    <col min="32" max="32" width="4.44140625" style="3" hidden="1" customWidth="1"/>
    <col min="33" max="33" width="10.44140625" style="3" hidden="1" customWidth="1"/>
    <col min="34" max="34" width="4.44140625" style="3" hidden="1" customWidth="1"/>
    <col min="35" max="35" width="9" style="3" hidden="1" customWidth="1"/>
    <col min="36" max="36" width="4.44140625" style="3" hidden="1" customWidth="1"/>
    <col min="37" max="37" width="9.33203125" style="3" bestFit="1" customWidth="1"/>
    <col min="38" max="38" width="11.77734375" style="3" hidden="1" customWidth="1"/>
    <col min="39" max="39" width="11.33203125" style="3" hidden="1" customWidth="1"/>
    <col min="40" max="40" width="10.88671875" style="3" hidden="1" customWidth="1"/>
    <col min="41" max="41" width="4" style="3" hidden="1" customWidth="1"/>
    <col min="42" max="42" width="10.33203125" style="3" hidden="1" customWidth="1"/>
    <col min="43" max="43" width="4.109375" style="3" hidden="1" customWidth="1"/>
    <col min="44" max="44" width="9" style="3" hidden="1" customWidth="1"/>
    <col min="45" max="45" width="4.109375" style="3" hidden="1" customWidth="1"/>
    <col min="46" max="46" width="9" style="3" hidden="1" customWidth="1"/>
    <col min="47" max="47" width="4.109375" style="3" hidden="1" customWidth="1"/>
    <col min="48" max="48" width="9" style="3" hidden="1" customWidth="1"/>
    <col min="49" max="49" width="3.88671875" style="3" hidden="1" customWidth="1"/>
    <col min="50" max="50" width="9" style="3" hidden="1" customWidth="1"/>
    <col min="51" max="51" width="3.88671875" style="3" hidden="1" customWidth="1"/>
    <col min="52" max="52" width="9" style="3" hidden="1" customWidth="1"/>
    <col min="53" max="53" width="3.88671875" style="3" hidden="1" customWidth="1"/>
    <col min="54" max="54" width="9.5546875" style="3" hidden="1" customWidth="1"/>
    <col min="55" max="55" width="3.88671875" style="3" hidden="1" customWidth="1"/>
    <col min="56" max="56" width="9.5546875" style="3" hidden="1" customWidth="1"/>
    <col min="57" max="57" width="3.88671875" style="3" hidden="1" customWidth="1"/>
    <col min="58" max="58" width="9" style="3" hidden="1" customWidth="1"/>
    <col min="59" max="59" width="4.21875" style="3" hidden="1" customWidth="1"/>
    <col min="60" max="60" width="10.21875" style="3" hidden="1" customWidth="1"/>
    <col min="61" max="61" width="5.21875" style="3" hidden="1" customWidth="1"/>
    <col min="62" max="62" width="10.44140625" style="3" hidden="1" customWidth="1"/>
    <col min="63" max="63" width="8.88671875" style="3" hidden="1" customWidth="1"/>
    <col min="64" max="64" width="10.77734375" style="3" hidden="1" customWidth="1"/>
    <col min="65" max="65" width="8.88671875" style="3" hidden="1" customWidth="1"/>
    <col min="66" max="66" width="0" style="3" hidden="1" customWidth="1"/>
    <col min="67" max="16384" width="8.88671875" style="3"/>
  </cols>
  <sheetData>
    <row r="1" spans="1:65" customFormat="1" x14ac:dyDescent="0.25">
      <c r="A1" s="253">
        <v>-1</v>
      </c>
      <c r="B1" s="253">
        <v>-2</v>
      </c>
      <c r="C1" s="253">
        <v>-3</v>
      </c>
      <c r="D1" s="253">
        <v>-4</v>
      </c>
      <c r="E1" s="253">
        <v>-5</v>
      </c>
      <c r="F1" s="253">
        <v>-6</v>
      </c>
      <c r="G1" s="253">
        <v>-7</v>
      </c>
      <c r="H1" s="253">
        <v>-8</v>
      </c>
      <c r="I1" s="253">
        <v>-9</v>
      </c>
      <c r="J1" s="253">
        <v>-10</v>
      </c>
      <c r="K1" s="253">
        <v>-11</v>
      </c>
      <c r="L1" s="253">
        <v>-12</v>
      </c>
      <c r="M1" s="253">
        <v>-13</v>
      </c>
      <c r="N1" s="253">
        <v>-14</v>
      </c>
      <c r="O1" s="253">
        <v>-15</v>
      </c>
      <c r="P1" s="253">
        <v>-16</v>
      </c>
      <c r="Q1" s="253">
        <v>-17</v>
      </c>
      <c r="R1" s="253">
        <v>-18</v>
      </c>
      <c r="S1" s="253">
        <v>-19</v>
      </c>
      <c r="T1" s="253">
        <v>-20</v>
      </c>
      <c r="U1" s="253">
        <v>-21</v>
      </c>
      <c r="V1" s="253">
        <v>-22</v>
      </c>
      <c r="W1" s="253">
        <v>-23</v>
      </c>
      <c r="X1" s="253">
        <v>-24</v>
      </c>
      <c r="Y1" s="253">
        <v>-25</v>
      </c>
      <c r="Z1" s="253">
        <v>-26</v>
      </c>
      <c r="AA1" s="253">
        <v>-27</v>
      </c>
      <c r="AB1" s="253">
        <v>-28</v>
      </c>
      <c r="AC1" s="253">
        <v>-29</v>
      </c>
      <c r="AD1" s="253">
        <v>-30</v>
      </c>
      <c r="AE1" s="253">
        <v>-31</v>
      </c>
      <c r="AF1" s="253">
        <v>-32</v>
      </c>
      <c r="AG1" s="253">
        <v>-33</v>
      </c>
      <c r="AH1" s="253">
        <v>-34</v>
      </c>
      <c r="AI1" s="253">
        <v>-35</v>
      </c>
      <c r="AJ1" s="253">
        <v>-36</v>
      </c>
      <c r="AK1" s="253">
        <v>-37</v>
      </c>
      <c r="AL1" s="253">
        <v>-38</v>
      </c>
      <c r="AM1" s="253">
        <v>-39</v>
      </c>
      <c r="AN1" s="253">
        <v>-40</v>
      </c>
      <c r="AO1" s="253">
        <v>-41</v>
      </c>
      <c r="AP1" s="253">
        <v>-42</v>
      </c>
      <c r="AQ1" s="253">
        <v>-43</v>
      </c>
      <c r="AR1" s="253">
        <v>-44</v>
      </c>
      <c r="AS1" s="253">
        <v>-45</v>
      </c>
      <c r="AT1" s="253"/>
      <c r="AU1" s="253"/>
      <c r="AV1" s="253"/>
      <c r="AW1" s="253"/>
      <c r="AX1" s="253">
        <v>-46</v>
      </c>
      <c r="AY1" s="253">
        <v>-47</v>
      </c>
      <c r="AZ1" s="253">
        <v>-48</v>
      </c>
      <c r="BA1" s="253">
        <v>-49</v>
      </c>
      <c r="BB1" s="253">
        <v>-50</v>
      </c>
      <c r="BC1" s="253">
        <v>-51</v>
      </c>
      <c r="BD1" s="253">
        <v>-52</v>
      </c>
      <c r="BE1" s="253">
        <v>-53</v>
      </c>
      <c r="BF1" s="253">
        <v>-54</v>
      </c>
      <c r="BG1" s="253">
        <v>-55</v>
      </c>
      <c r="BH1" s="253">
        <v>-56</v>
      </c>
      <c r="BI1" s="253">
        <v>-57</v>
      </c>
      <c r="BJ1" s="253">
        <v>-58</v>
      </c>
    </row>
    <row r="2" spans="1:65" x14ac:dyDescent="0.25">
      <c r="B2" s="244"/>
      <c r="C2" s="244"/>
      <c r="D2" s="153"/>
      <c r="E2" s="161"/>
      <c r="F2" s="244"/>
      <c r="G2" s="153"/>
      <c r="H2" s="161"/>
      <c r="I2" s="153"/>
      <c r="J2" s="153"/>
      <c r="K2" s="161"/>
      <c r="L2" s="153"/>
      <c r="M2" s="153"/>
      <c r="N2" s="161"/>
      <c r="O2" s="105"/>
      <c r="P2" s="153"/>
      <c r="Q2" s="161"/>
      <c r="R2" s="244"/>
      <c r="S2" s="153"/>
      <c r="T2" s="161"/>
      <c r="U2" s="105"/>
      <c r="V2" s="153"/>
      <c r="W2" s="161"/>
      <c r="X2" s="153"/>
      <c r="Y2" s="161"/>
      <c r="Z2" s="153"/>
      <c r="AA2" s="161"/>
      <c r="AB2" s="105"/>
      <c r="AC2" s="153"/>
      <c r="AD2" s="161"/>
      <c r="AE2" s="153"/>
      <c r="AF2" s="153"/>
      <c r="AG2" s="153"/>
      <c r="AH2" s="153"/>
      <c r="AI2" s="153"/>
      <c r="AJ2" s="161"/>
      <c r="AK2" s="244"/>
      <c r="AL2" s="153"/>
      <c r="AM2" s="153"/>
      <c r="AN2" s="153"/>
      <c r="AO2" s="161"/>
      <c r="AP2" s="153"/>
      <c r="AQ2" s="161"/>
      <c r="AR2" s="153"/>
      <c r="AS2" s="161"/>
      <c r="AT2" s="161"/>
      <c r="AU2" s="161"/>
      <c r="AV2" s="161"/>
      <c r="AW2" s="161"/>
      <c r="AX2" s="161"/>
      <c r="AY2" s="161"/>
      <c r="AZ2" s="153"/>
      <c r="BA2" s="161"/>
      <c r="BB2" s="161"/>
      <c r="BC2" s="161"/>
      <c r="BD2" s="161"/>
      <c r="BE2" s="161"/>
      <c r="BF2" s="153"/>
      <c r="BG2" s="161"/>
      <c r="BH2" s="153"/>
      <c r="BI2" s="161"/>
      <c r="BJ2" s="153"/>
      <c r="BK2" s="250"/>
    </row>
    <row r="3" spans="1:65" x14ac:dyDescent="0.25">
      <c r="A3" s="13"/>
      <c r="B3" s="634" t="s">
        <v>501</v>
      </c>
      <c r="C3" s="634"/>
      <c r="D3" s="634"/>
      <c r="E3" s="243"/>
      <c r="F3" s="634" t="s">
        <v>541</v>
      </c>
      <c r="G3" s="634"/>
      <c r="H3" s="243"/>
      <c r="I3" s="634" t="s">
        <v>509</v>
      </c>
      <c r="J3" s="634"/>
      <c r="K3" s="243"/>
      <c r="L3" s="634" t="s">
        <v>510</v>
      </c>
      <c r="M3" s="634"/>
      <c r="N3" s="243"/>
      <c r="O3" s="634" t="s">
        <v>530</v>
      </c>
      <c r="P3" s="634"/>
      <c r="Q3" s="243"/>
      <c r="R3" s="634" t="s">
        <v>531</v>
      </c>
      <c r="S3" s="634"/>
      <c r="T3" s="243"/>
      <c r="U3" s="634" t="s">
        <v>532</v>
      </c>
      <c r="V3" s="634"/>
      <c r="W3" s="243"/>
      <c r="X3" s="155" t="s">
        <v>504</v>
      </c>
      <c r="Y3" s="243"/>
      <c r="Z3" s="155" t="s">
        <v>533</v>
      </c>
      <c r="AA3" s="243"/>
      <c r="AB3" s="251" t="s">
        <v>534</v>
      </c>
      <c r="AC3" s="249" t="s">
        <v>534</v>
      </c>
      <c r="AD3" s="243"/>
      <c r="AE3" s="249" t="s">
        <v>404</v>
      </c>
      <c r="AF3" s="249"/>
      <c r="AG3" s="249" t="s">
        <v>587</v>
      </c>
      <c r="AH3" s="249"/>
      <c r="AI3" s="249" t="s">
        <v>514</v>
      </c>
      <c r="AJ3" s="243"/>
      <c r="AK3" s="634" t="s">
        <v>69</v>
      </c>
      <c r="AL3" s="634"/>
      <c r="AM3" s="634"/>
      <c r="AN3" s="634"/>
      <c r="AO3" s="243"/>
      <c r="AP3" s="155" t="s">
        <v>535</v>
      </c>
      <c r="AQ3" s="243"/>
      <c r="AR3" s="155" t="s">
        <v>513</v>
      </c>
      <c r="AS3" s="249"/>
      <c r="AT3" s="249" t="s">
        <v>603</v>
      </c>
      <c r="AU3" s="249"/>
      <c r="AV3" s="249" t="s">
        <v>73</v>
      </c>
      <c r="AW3" s="249"/>
      <c r="AX3" s="249"/>
      <c r="AY3" s="249"/>
      <c r="AZ3" s="155" t="s">
        <v>511</v>
      </c>
      <c r="BA3" s="249"/>
      <c r="BB3" s="249" t="s">
        <v>404</v>
      </c>
      <c r="BC3" s="249"/>
      <c r="BD3" s="249" t="s">
        <v>587</v>
      </c>
      <c r="BE3" s="249"/>
      <c r="BF3" s="155" t="s">
        <v>30</v>
      </c>
      <c r="BG3" s="249"/>
      <c r="BH3" s="155" t="s">
        <v>30</v>
      </c>
      <c r="BI3" s="249"/>
      <c r="BJ3" s="155" t="s">
        <v>30</v>
      </c>
      <c r="BK3" s="105"/>
      <c r="BL3" s="260" t="s">
        <v>219</v>
      </c>
      <c r="BM3" s="345"/>
    </row>
    <row r="4" spans="1:65" x14ac:dyDescent="0.25">
      <c r="A4" s="65" t="s">
        <v>261</v>
      </c>
      <c r="B4" s="247" t="s">
        <v>90</v>
      </c>
      <c r="C4" s="247" t="s">
        <v>516</v>
      </c>
      <c r="D4" s="156" t="s">
        <v>401</v>
      </c>
      <c r="E4" s="246"/>
      <c r="F4" s="247" t="s">
        <v>90</v>
      </c>
      <c r="G4" s="156" t="s">
        <v>523</v>
      </c>
      <c r="H4" s="246"/>
      <c r="I4" s="247" t="s">
        <v>90</v>
      </c>
      <c r="J4" s="156" t="s">
        <v>523</v>
      </c>
      <c r="K4" s="246"/>
      <c r="L4" s="247" t="s">
        <v>90</v>
      </c>
      <c r="M4" s="156" t="s">
        <v>523</v>
      </c>
      <c r="N4" s="246"/>
      <c r="O4" s="252" t="s">
        <v>90</v>
      </c>
      <c r="P4" s="156" t="s">
        <v>523</v>
      </c>
      <c r="Q4" s="246"/>
      <c r="R4" s="247" t="s">
        <v>90</v>
      </c>
      <c r="S4" s="156" t="s">
        <v>523</v>
      </c>
      <c r="T4" s="246"/>
      <c r="U4" s="252" t="s">
        <v>90</v>
      </c>
      <c r="V4" s="156" t="s">
        <v>523</v>
      </c>
      <c r="W4" s="246"/>
      <c r="X4" s="156" t="s">
        <v>536</v>
      </c>
      <c r="Y4" s="246"/>
      <c r="Z4" s="156" t="s">
        <v>523</v>
      </c>
      <c r="AA4" s="246"/>
      <c r="AB4" s="252" t="s">
        <v>537</v>
      </c>
      <c r="AC4" s="248" t="s">
        <v>538</v>
      </c>
      <c r="AD4" s="246"/>
      <c r="AE4" s="248" t="s">
        <v>589</v>
      </c>
      <c r="AF4" s="248"/>
      <c r="AG4" s="416" t="s">
        <v>588</v>
      </c>
      <c r="AH4" s="416"/>
      <c r="AI4" s="248" t="s">
        <v>526</v>
      </c>
      <c r="AJ4" s="246"/>
      <c r="AK4" s="247" t="s">
        <v>90</v>
      </c>
      <c r="AL4" s="156" t="s">
        <v>523</v>
      </c>
      <c r="AM4" s="156" t="s">
        <v>528</v>
      </c>
      <c r="AN4" s="156" t="s">
        <v>529</v>
      </c>
      <c r="AO4" s="246"/>
      <c r="AP4" s="156" t="s">
        <v>523</v>
      </c>
      <c r="AQ4" s="246"/>
      <c r="AR4" s="156" t="s">
        <v>524</v>
      </c>
      <c r="AS4" s="246"/>
      <c r="AT4" s="418" t="s">
        <v>604</v>
      </c>
      <c r="AU4" s="418"/>
      <c r="AV4" s="418" t="s">
        <v>524</v>
      </c>
      <c r="AW4" s="418"/>
      <c r="AX4" s="246" t="s">
        <v>401</v>
      </c>
      <c r="AY4" s="246"/>
      <c r="AZ4" s="156" t="s">
        <v>524</v>
      </c>
      <c r="BA4" s="246"/>
      <c r="BB4" s="246" t="s">
        <v>576</v>
      </c>
      <c r="BC4" s="246"/>
      <c r="BD4" s="418" t="s">
        <v>588</v>
      </c>
      <c r="BE4" s="418"/>
      <c r="BF4" s="156" t="s">
        <v>539</v>
      </c>
      <c r="BG4" s="246"/>
      <c r="BH4" s="156" t="s">
        <v>540</v>
      </c>
      <c r="BI4" s="246"/>
      <c r="BJ4" s="156" t="s">
        <v>523</v>
      </c>
      <c r="BK4" s="105"/>
      <c r="BL4" s="260" t="s">
        <v>30</v>
      </c>
      <c r="BM4" s="345"/>
    </row>
    <row r="5" spans="1:65" x14ac:dyDescent="0.25">
      <c r="A5" s="145">
        <f>'Input Data'!C7</f>
        <v>45870</v>
      </c>
      <c r="B5" s="370"/>
      <c r="C5" s="369"/>
      <c r="D5" s="369"/>
      <c r="E5" s="371"/>
      <c r="F5" s="366"/>
      <c r="G5" s="421"/>
      <c r="H5" s="371"/>
      <c r="I5" s="370"/>
      <c r="J5" s="369"/>
      <c r="K5" s="371"/>
      <c r="L5" s="370">
        <v>0</v>
      </c>
      <c r="M5" s="369">
        <v>0</v>
      </c>
      <c r="N5" s="371"/>
      <c r="O5" s="344"/>
      <c r="P5" s="421"/>
      <c r="Q5" s="371"/>
      <c r="R5" s="370"/>
      <c r="S5" s="369"/>
      <c r="T5" s="371"/>
      <c r="U5" s="370">
        <v>584</v>
      </c>
      <c r="V5" s="369">
        <v>1627.61</v>
      </c>
      <c r="W5" s="371"/>
      <c r="X5" s="369">
        <v>0</v>
      </c>
      <c r="Y5" s="371"/>
      <c r="Z5" s="369">
        <v>0</v>
      </c>
      <c r="AA5" s="371"/>
      <c r="AB5" s="370"/>
      <c r="AC5" s="369"/>
      <c r="AD5" s="371"/>
      <c r="AE5" s="369"/>
      <c r="AF5" s="369"/>
      <c r="AG5" s="369"/>
      <c r="AH5" s="369"/>
      <c r="AI5" s="369"/>
      <c r="AJ5" s="371"/>
      <c r="AK5" s="370">
        <v>25389</v>
      </c>
      <c r="AL5" s="369"/>
      <c r="AM5" s="369"/>
      <c r="AN5" s="369"/>
      <c r="AO5" s="371"/>
      <c r="AP5" s="369"/>
      <c r="AQ5" s="371"/>
      <c r="AR5" s="369"/>
      <c r="AS5" s="371"/>
      <c r="AT5" s="371"/>
      <c r="AU5" s="371"/>
      <c r="AV5" s="371"/>
      <c r="AW5" s="371"/>
      <c r="AX5" s="371"/>
      <c r="AY5" s="371"/>
      <c r="AZ5" s="369"/>
      <c r="BA5" s="371"/>
      <c r="BB5" s="371"/>
      <c r="BC5" s="371"/>
      <c r="BD5" s="419"/>
      <c r="BE5" s="371"/>
      <c r="BF5" s="369"/>
      <c r="BG5" s="371"/>
      <c r="BH5" s="369"/>
      <c r="BI5" s="371"/>
      <c r="BJ5" s="369"/>
      <c r="BK5" s="105"/>
      <c r="BL5" s="261"/>
      <c r="BM5" s="260"/>
    </row>
    <row r="6" spans="1:65" x14ac:dyDescent="0.25">
      <c r="A6" s="145">
        <f>EOMONTH(A5,1)</f>
        <v>45930</v>
      </c>
      <c r="B6" s="370"/>
      <c r="C6" s="369"/>
      <c r="D6" s="369"/>
      <c r="E6" s="371"/>
      <c r="F6" s="366"/>
      <c r="G6" s="421"/>
      <c r="H6" s="371"/>
      <c r="I6" s="370"/>
      <c r="J6" s="369"/>
      <c r="K6" s="371"/>
      <c r="L6" s="370">
        <v>9062</v>
      </c>
      <c r="M6" s="369">
        <v>28104.83</v>
      </c>
      <c r="N6" s="371"/>
      <c r="O6" s="344"/>
      <c r="P6" s="421"/>
      <c r="Q6" s="371"/>
      <c r="R6" s="370"/>
      <c r="S6" s="369"/>
      <c r="T6" s="371"/>
      <c r="U6" s="370">
        <v>1125</v>
      </c>
      <c r="V6" s="369">
        <v>2747.36</v>
      </c>
      <c r="W6" s="371"/>
      <c r="X6" s="369">
        <v>0</v>
      </c>
      <c r="Y6" s="371"/>
      <c r="Z6" s="369">
        <v>0</v>
      </c>
      <c r="AA6" s="371"/>
      <c r="AB6" s="370"/>
      <c r="AC6" s="369"/>
      <c r="AD6" s="371"/>
      <c r="AE6" s="369"/>
      <c r="AF6" s="369"/>
      <c r="AG6" s="369"/>
      <c r="AH6" s="369"/>
      <c r="AI6" s="369"/>
      <c r="AJ6" s="371"/>
      <c r="AK6" s="370">
        <v>57038</v>
      </c>
      <c r="AL6" s="421"/>
      <c r="AM6" s="369"/>
      <c r="AN6" s="369"/>
      <c r="AO6" s="371"/>
      <c r="AP6" s="369"/>
      <c r="AQ6" s="371"/>
      <c r="AR6" s="369"/>
      <c r="AS6" s="371"/>
      <c r="AT6" s="371"/>
      <c r="AU6" s="371"/>
      <c r="AV6" s="371"/>
      <c r="AW6" s="371"/>
      <c r="AX6" s="371"/>
      <c r="AY6" s="371"/>
      <c r="AZ6" s="369"/>
      <c r="BA6" s="371"/>
      <c r="BB6" s="371"/>
      <c r="BC6" s="371"/>
      <c r="BD6" s="419"/>
      <c r="BE6" s="371"/>
      <c r="BF6" s="369"/>
      <c r="BG6" s="371"/>
      <c r="BH6" s="369"/>
      <c r="BI6" s="371"/>
      <c r="BJ6" s="369"/>
      <c r="BK6" s="105"/>
      <c r="BL6" s="261"/>
      <c r="BM6" s="260"/>
    </row>
    <row r="7" spans="1:65" x14ac:dyDescent="0.25">
      <c r="A7" s="145">
        <f>EOMONTH(A6,1)</f>
        <v>45961</v>
      </c>
      <c r="B7" s="344"/>
      <c r="C7" s="421"/>
      <c r="D7" s="421"/>
      <c r="E7" s="422"/>
      <c r="F7" s="366"/>
      <c r="G7" s="421"/>
      <c r="H7" s="422"/>
      <c r="I7" s="344"/>
      <c r="J7" s="421"/>
      <c r="K7" s="422"/>
      <c r="L7" s="344">
        <v>13497</v>
      </c>
      <c r="M7" s="421">
        <v>44744.47</v>
      </c>
      <c r="N7" s="371"/>
      <c r="O7" s="344"/>
      <c r="P7" s="421"/>
      <c r="Q7" s="422"/>
      <c r="R7" s="344"/>
      <c r="S7" s="421"/>
      <c r="T7" s="422"/>
      <c r="U7" s="344">
        <v>451</v>
      </c>
      <c r="V7" s="421">
        <v>1266.72</v>
      </c>
      <c r="W7" s="422"/>
      <c r="X7" s="421">
        <v>0</v>
      </c>
      <c r="Y7" s="422"/>
      <c r="Z7" s="421">
        <v>0</v>
      </c>
      <c r="AA7" s="422"/>
      <c r="AB7" s="344"/>
      <c r="AC7" s="421"/>
      <c r="AD7" s="422"/>
      <c r="AE7" s="421"/>
      <c r="AF7" s="421"/>
      <c r="AG7" s="421"/>
      <c r="AH7" s="421"/>
      <c r="AI7" s="421"/>
      <c r="AJ7" s="422"/>
      <c r="AK7" s="344">
        <v>59263</v>
      </c>
      <c r="AL7" s="421"/>
      <c r="AM7" s="421"/>
      <c r="AN7" s="421"/>
      <c r="AO7" s="422"/>
      <c r="AP7" s="421"/>
      <c r="AQ7" s="422"/>
      <c r="AR7" s="421"/>
      <c r="AS7" s="422"/>
      <c r="AT7" s="371"/>
      <c r="AU7" s="422"/>
      <c r="AV7" s="371"/>
      <c r="AW7" s="422"/>
      <c r="AX7" s="371"/>
      <c r="AY7" s="422"/>
      <c r="AZ7" s="421"/>
      <c r="BA7" s="422"/>
      <c r="BB7" s="371"/>
      <c r="BC7" s="422"/>
      <c r="BD7" s="419"/>
      <c r="BE7" s="422"/>
      <c r="BF7" s="421"/>
      <c r="BG7" s="422"/>
      <c r="BH7" s="421"/>
      <c r="BI7" s="422"/>
      <c r="BJ7" s="421"/>
      <c r="BK7" s="105"/>
      <c r="BL7" s="261"/>
      <c r="BM7" s="260"/>
    </row>
    <row r="8" spans="1:65" customFormat="1" x14ac:dyDescent="0.25">
      <c r="B8" s="105"/>
      <c r="C8" s="105"/>
      <c r="D8" s="105"/>
      <c r="E8" s="105"/>
      <c r="F8" s="105"/>
      <c r="G8" s="105"/>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105"/>
      <c r="AY8" s="105"/>
      <c r="AZ8" s="105"/>
      <c r="BA8" s="105"/>
      <c r="BB8" s="105"/>
      <c r="BC8" s="105"/>
      <c r="BD8" s="105"/>
      <c r="BE8" s="105"/>
      <c r="BF8" s="105"/>
      <c r="BG8" s="105"/>
      <c r="BH8" s="105"/>
      <c r="BI8" s="105"/>
      <c r="BJ8" s="105"/>
      <c r="BK8" s="105"/>
      <c r="BL8" s="155"/>
    </row>
    <row r="9" spans="1:65" customFormat="1" x14ac:dyDescent="0.25">
      <c r="A9" s="3"/>
      <c r="B9" s="105"/>
      <c r="C9" s="105"/>
      <c r="D9" s="105"/>
      <c r="E9" s="105"/>
      <c r="F9" s="105"/>
      <c r="G9" s="105"/>
      <c r="H9" s="105"/>
      <c r="I9" s="105"/>
      <c r="J9" s="105"/>
      <c r="K9" s="105"/>
      <c r="L9" s="105"/>
      <c r="M9" s="105"/>
      <c r="N9" s="105"/>
      <c r="O9" s="105"/>
      <c r="P9" s="105"/>
      <c r="Q9" s="105"/>
      <c r="R9" s="105"/>
      <c r="S9" s="105"/>
      <c r="T9" s="105"/>
      <c r="U9" s="105"/>
      <c r="V9" s="105"/>
      <c r="W9" s="105"/>
      <c r="X9" s="105"/>
      <c r="Y9" s="105"/>
      <c r="Z9" s="105"/>
      <c r="AA9" s="105"/>
      <c r="AB9" s="105"/>
      <c r="AC9" s="105"/>
      <c r="AD9" s="105"/>
      <c r="AE9" s="105"/>
      <c r="AF9" s="105"/>
      <c r="AG9" s="105"/>
      <c r="AH9" s="105"/>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row>
    <row r="10" spans="1:65" customFormat="1" x14ac:dyDescent="0.25"/>
    <row r="11" spans="1:65" customFormat="1" x14ac:dyDescent="0.25"/>
    <row r="12" spans="1:65" customFormat="1" x14ac:dyDescent="0.25"/>
    <row r="13" spans="1:65" customFormat="1" x14ac:dyDescent="0.25"/>
    <row r="14" spans="1:65" customFormat="1" x14ac:dyDescent="0.25"/>
    <row r="15" spans="1:65" customFormat="1" x14ac:dyDescent="0.25"/>
    <row r="16" spans="1:65" customFormat="1" x14ac:dyDescent="0.25"/>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row r="168" customFormat="1" x14ac:dyDescent="0.25"/>
    <row r="169" customFormat="1" x14ac:dyDescent="0.25"/>
    <row r="170" customFormat="1" x14ac:dyDescent="0.25"/>
    <row r="171" customFormat="1" x14ac:dyDescent="0.25"/>
    <row r="172" customFormat="1" x14ac:dyDescent="0.25"/>
    <row r="173" customFormat="1" x14ac:dyDescent="0.25"/>
    <row r="174" customFormat="1" x14ac:dyDescent="0.25"/>
    <row r="175" customFormat="1" x14ac:dyDescent="0.25"/>
    <row r="176" customFormat="1" x14ac:dyDescent="0.25"/>
    <row r="177" customFormat="1" x14ac:dyDescent="0.25"/>
    <row r="178" customFormat="1" x14ac:dyDescent="0.25"/>
    <row r="179" customFormat="1" x14ac:dyDescent="0.25"/>
  </sheetData>
  <mergeCells count="8">
    <mergeCell ref="AK3:AN3"/>
    <mergeCell ref="B3:D3"/>
    <mergeCell ref="I3:J3"/>
    <mergeCell ref="L3:M3"/>
    <mergeCell ref="O3:P3"/>
    <mergeCell ref="R3:S3"/>
    <mergeCell ref="U3:V3"/>
    <mergeCell ref="F3:G3"/>
  </mergeCells>
  <pageMargins left="0.7" right="0.7" top="0.75" bottom="0.75" header="0.3" footer="0.3"/>
  <pageSetup scale="22" orientation="landscape" r:id="rId1"/>
  <headerFooter>
    <oddFooter>&amp;L_x000D_&amp;1#&amp;"Calibri"&amp;14&amp;K000000 Business Use</oddFooter>
  </headerFooter>
  <customProperties>
    <customPr name="_pios_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39</vt:i4>
      </vt:variant>
      <vt:variant>
        <vt:lpstr>Named Ranges</vt:lpstr>
      </vt:variant>
      <vt:variant>
        <vt:i4>27</vt:i4>
      </vt:variant>
    </vt:vector>
  </HeadingPairs>
  <TitlesOfParts>
    <vt:vector size="66" baseType="lpstr">
      <vt:lpstr>Rate Change Analysis</vt:lpstr>
      <vt:lpstr>Typical Bill</vt:lpstr>
      <vt:lpstr>Databases &gt;</vt:lpstr>
      <vt:lpstr>Input Data</vt:lpstr>
      <vt:lpstr>Case Database</vt:lpstr>
      <vt:lpstr>Forecast</vt:lpstr>
      <vt:lpstr>Sales Volumes</vt:lpstr>
      <vt:lpstr>FT Data</vt:lpstr>
      <vt:lpstr>TS-2 Data</vt:lpstr>
      <vt:lpstr>FILING &gt;</vt:lpstr>
      <vt:lpstr>Cover Sheet</vt:lpstr>
      <vt:lpstr>Summary Sheet</vt:lpstr>
      <vt:lpstr>Exhibit A-1 Write-Up</vt:lpstr>
      <vt:lpstr>Ex A 1 of 2</vt:lpstr>
      <vt:lpstr>Ex A 2 of 2</vt:lpstr>
      <vt:lpstr>Exhibit B Write-Up</vt:lpstr>
      <vt:lpstr>Ex B-1 1 of 7</vt:lpstr>
      <vt:lpstr>Ex B-1 2 of 7</vt:lpstr>
      <vt:lpstr>Ex B-1 3 of 7</vt:lpstr>
      <vt:lpstr>Ex B-1 4 of 7</vt:lpstr>
      <vt:lpstr>Ex B-1 5 of 7</vt:lpstr>
      <vt:lpstr>Ex B-1 6 of 7</vt:lpstr>
      <vt:lpstr>Ex B-1 7 of 7</vt:lpstr>
      <vt:lpstr>Ex B-2 1 of 1</vt:lpstr>
      <vt:lpstr>Exhibit C Write-Up</vt:lpstr>
      <vt:lpstr>Ex C-1 1 of 3</vt:lpstr>
      <vt:lpstr>Ex C-1 2 of 3</vt:lpstr>
      <vt:lpstr>Ex C-1 3 of 3</vt:lpstr>
      <vt:lpstr>Exhibit D Write-Up</vt:lpstr>
      <vt:lpstr>Ex D-1 1 of 2</vt:lpstr>
      <vt:lpstr>Ex D-1 2 of 2</vt:lpstr>
      <vt:lpstr>Exhibit E Write-Up</vt:lpstr>
      <vt:lpstr>Ex E-1 1 of 1</vt:lpstr>
      <vt:lpstr>Ex E-1 2 of 2</vt:lpstr>
      <vt:lpstr>Exhibit F Write-Up</vt:lpstr>
      <vt:lpstr>Ex F-1 1 of 1</vt:lpstr>
      <vt:lpstr>Effective Rates</vt:lpstr>
      <vt:lpstr>FT Rate Summary</vt:lpstr>
      <vt:lpstr>Rate LGDS</vt:lpstr>
      <vt:lpstr>'Case Database'!Print_Area</vt:lpstr>
      <vt:lpstr>'Effective Rates'!Print_Area</vt:lpstr>
      <vt:lpstr>'Ex A 1 of 2'!Print_Area</vt:lpstr>
      <vt:lpstr>'Ex A 2 of 2'!Print_Area</vt:lpstr>
      <vt:lpstr>'Ex B-1 1 of 7'!Print_Area</vt:lpstr>
      <vt:lpstr>'Ex B-1 2 of 7'!Print_Area</vt:lpstr>
      <vt:lpstr>'Ex B-1 3 of 7'!Print_Area</vt:lpstr>
      <vt:lpstr>'Ex B-1 4 of 7'!Print_Area</vt:lpstr>
      <vt:lpstr>'Ex B-1 5 of 7'!Print_Area</vt:lpstr>
      <vt:lpstr>'Ex C-1 1 of 3'!Print_Area</vt:lpstr>
      <vt:lpstr>'Ex C-1 2 of 3'!Print_Area</vt:lpstr>
      <vt:lpstr>'Ex C-1 3 of 3'!Print_Area</vt:lpstr>
      <vt:lpstr>'Ex D-1 1 of 2'!Print_Area</vt:lpstr>
      <vt:lpstr>'Ex D-1 2 of 2'!Print_Area</vt:lpstr>
      <vt:lpstr>'Ex E-1 1 of 1'!Print_Area</vt:lpstr>
      <vt:lpstr>'Ex E-1 2 of 2'!Print_Area</vt:lpstr>
      <vt:lpstr>'Ex F-1 1 of 1'!Print_Area</vt:lpstr>
      <vt:lpstr>'Exhibit A-1 Write-Up'!Print_Area</vt:lpstr>
      <vt:lpstr>'Exhibit B Write-Up'!Print_Area</vt:lpstr>
      <vt:lpstr>'FT Data'!Print_Area</vt:lpstr>
      <vt:lpstr>'FT Rate Summary'!Print_Area</vt:lpstr>
      <vt:lpstr>'Input Data'!Print_Area</vt:lpstr>
      <vt:lpstr>'Rate LGDS'!Print_Area</vt:lpstr>
      <vt:lpstr>'Sales Volumes'!Print_Area</vt:lpstr>
      <vt:lpstr>'Summary Sheet'!Print_Area</vt:lpstr>
      <vt:lpstr>'Case Database'!Print_Titles</vt:lpstr>
      <vt:lpstr>'Sales Volumes'!Print_Titles</vt:lpstr>
    </vt:vector>
  </TitlesOfParts>
  <Company>LG&amp;E Energy Corp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 Conroy</dc:creator>
  <cp:lastModifiedBy>Sharp, Stephen</cp:lastModifiedBy>
  <cp:lastPrinted>2025-12-18T21:34:47Z</cp:lastPrinted>
  <dcterms:created xsi:type="dcterms:W3CDTF">2006-10-04T20:02:49Z</dcterms:created>
  <dcterms:modified xsi:type="dcterms:W3CDTF">2025-12-31T14:47:06Z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662fcd2-3ff9-4261-9b26-9dd5808d0bb4_Enabled">
    <vt:lpwstr>true</vt:lpwstr>
  </property>
  <property fmtid="{D5CDD505-2E9C-101B-9397-08002B2CF9AE}" pid="3" name="MSIP_Label_d662fcd2-3ff9-4261-9b26-9dd5808d0bb4_SetDate">
    <vt:lpwstr>2023-06-08T18:48:25Z</vt:lpwstr>
  </property>
  <property fmtid="{D5CDD505-2E9C-101B-9397-08002B2CF9AE}" pid="4" name="MSIP_Label_d662fcd2-3ff9-4261-9b26-9dd5808d0bb4_Method">
    <vt:lpwstr>Privileged</vt:lpwstr>
  </property>
  <property fmtid="{D5CDD505-2E9C-101B-9397-08002B2CF9AE}" pid="5" name="MSIP_Label_d662fcd2-3ff9-4261-9b26-9dd5808d0bb4_Name">
    <vt:lpwstr>d662fcd2-3ff9-4261-9b26-9dd5808d0bb4</vt:lpwstr>
  </property>
  <property fmtid="{D5CDD505-2E9C-101B-9397-08002B2CF9AE}" pid="6" name="MSIP_Label_d662fcd2-3ff9-4261-9b26-9dd5808d0bb4_SiteId">
    <vt:lpwstr>5ee3b0ba-a559-45ee-a69e-6d3e963a3e72</vt:lpwstr>
  </property>
  <property fmtid="{D5CDD505-2E9C-101B-9397-08002B2CF9AE}" pid="7" name="MSIP_Label_d662fcd2-3ff9-4261-9b26-9dd5808d0bb4_ActionId">
    <vt:lpwstr>c32cb191-4c4b-4840-afe1-3ef19400c371</vt:lpwstr>
  </property>
  <property fmtid="{D5CDD505-2E9C-101B-9397-08002B2CF9AE}" pid="8" name="MSIP_Label_d662fcd2-3ff9-4261-9b26-9dd5808d0bb4_ContentBits">
    <vt:lpwstr>0</vt:lpwstr>
  </property>
  <property fmtid="{D5CDD505-2E9C-101B-9397-08002B2CF9AE}" pid="9" name="MSIP_Label_e0c8e74a-db15-49f1-980d-3d74f2e3ff07_Enabled">
    <vt:lpwstr>true</vt:lpwstr>
  </property>
  <property fmtid="{D5CDD505-2E9C-101B-9397-08002B2CF9AE}" pid="10" name="MSIP_Label_e0c8e74a-db15-49f1-980d-3d74f2e3ff07_SetDate">
    <vt:lpwstr>2025-03-07T14:58:01Z</vt:lpwstr>
  </property>
  <property fmtid="{D5CDD505-2E9C-101B-9397-08002B2CF9AE}" pid="11" name="MSIP_Label_e0c8e74a-db15-49f1-980d-3d74f2e3ff07_Method">
    <vt:lpwstr>Privileged</vt:lpwstr>
  </property>
  <property fmtid="{D5CDD505-2E9C-101B-9397-08002B2CF9AE}" pid="12" name="MSIP_Label_e0c8e74a-db15-49f1-980d-3d74f2e3ff07_Name">
    <vt:lpwstr>376d9127-3fad-41bb7-827b-657efc89d923</vt:lpwstr>
  </property>
  <property fmtid="{D5CDD505-2E9C-101B-9397-08002B2CF9AE}" pid="13" name="MSIP_Label_e0c8e74a-db15-49f1-980d-3d74f2e3ff07_SiteId">
    <vt:lpwstr>25b79aa0-07c6-4d65-9c80-df92aacdc157</vt:lpwstr>
  </property>
  <property fmtid="{D5CDD505-2E9C-101B-9397-08002B2CF9AE}" pid="14" name="MSIP_Label_e0c8e74a-db15-49f1-980d-3d74f2e3ff07_ActionId">
    <vt:lpwstr>3bbd1653-e0d5-418d-b747-d9452e3ecccc</vt:lpwstr>
  </property>
  <property fmtid="{D5CDD505-2E9C-101B-9397-08002B2CF9AE}" pid="15" name="MSIP_Label_e0c8e74a-db15-49f1-980d-3d74f2e3ff07_ContentBits">
    <vt:lpwstr>2</vt:lpwstr>
  </property>
</Properties>
</file>