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https://d.docs.live.net/8dba73962b2cd367/Documents/Garrad County Water Association/1sr RFI - GCWA/"/>
    </mc:Choice>
  </mc:AlternateContent>
  <xr:revisionPtr revIDLastSave="0" documentId="8_{0F45A0EC-9156-4C02-895A-0DB1F91EBD21}" xr6:coauthVersionLast="47" xr6:coauthVersionMax="47" xr10:uidLastSave="{00000000-0000-0000-0000-000000000000}"/>
  <bookViews>
    <workbookView xWindow="-120" yWindow="-120" windowWidth="24240" windowHeight="13020" firstSheet="1" activeTab="3" xr2:uid="{1B0010E7-C6BC-4F22-A187-66E0FA6A0886}"/>
  </bookViews>
  <sheets>
    <sheet name="Projected Amounts" sheetId="162" r:id="rId1"/>
    <sheet name="WTB" sheetId="2" r:id="rId2"/>
    <sheet name="INCOME" sheetId="3" r:id="rId3"/>
    <sheet name="INCOME PSC" sheetId="83" r:id="rId4"/>
    <sheet name="Bad debts charged off in 2024" sheetId="124" r:id="rId5"/>
    <sheet name="DIRECTORS" sheetId="92" r:id="rId6"/>
    <sheet name="WAGES" sheetId="90" r:id="rId7"/>
  </sheets>
  <definedNames>
    <definedName name="Print_Area_MI" localSheetId="5">#REF!</definedName>
    <definedName name="Print_Area_MI" localSheetId="6">#REF!</definedName>
    <definedName name="Print_Area_MI">#REF!</definedName>
    <definedName name="_xlnm.Print_Titles" localSheetId="2">INCOME!$1:$7</definedName>
    <definedName name="_xlnm.Print_Titles" localSheetId="3">'INCOME PSC'!$1:$7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6" i="162" l="1"/>
  <c r="E16" i="162" s="1"/>
  <c r="F16" i="162" s="1"/>
  <c r="C10" i="162"/>
  <c r="D10" i="162"/>
  <c r="E10" i="162" s="1"/>
  <c r="F10" i="162" s="1"/>
  <c r="E6" i="162"/>
  <c r="F6" i="162" s="1"/>
  <c r="E7" i="162"/>
  <c r="F7" i="162" s="1"/>
  <c r="E8" i="162"/>
  <c r="F8" i="162" s="1"/>
  <c r="E9" i="162"/>
  <c r="F9" i="162" s="1"/>
  <c r="E5" i="162"/>
  <c r="F5" i="162" s="1"/>
  <c r="J42" i="83"/>
  <c r="B107" i="3"/>
  <c r="B106" i="3"/>
  <c r="B105" i="3"/>
  <c r="B104" i="3"/>
  <c r="B73" i="2"/>
  <c r="B99" i="3"/>
  <c r="C102" i="3"/>
  <c r="B27" i="83"/>
  <c r="B103" i="83"/>
  <c r="B50" i="83"/>
  <c r="B49" i="83"/>
  <c r="B40" i="83"/>
  <c r="B74" i="2"/>
  <c r="F33" i="3"/>
  <c r="F30" i="3"/>
  <c r="F52" i="3"/>
  <c r="F57" i="3"/>
  <c r="F56" i="3"/>
  <c r="F10" i="124"/>
  <c r="H10" i="124" s="1"/>
  <c r="F9" i="124"/>
  <c r="H9" i="124" s="1"/>
  <c r="G11" i="124"/>
  <c r="G13" i="124" s="1"/>
  <c r="F8" i="124"/>
  <c r="F7" i="124"/>
  <c r="H7" i="124" s="1"/>
  <c r="H11" i="124" s="1"/>
  <c r="H13" i="124" s="1"/>
  <c r="E7" i="90"/>
  <c r="E8" i="90"/>
  <c r="E9" i="90"/>
  <c r="F10" i="90"/>
  <c r="F11" i="90"/>
  <c r="F12" i="90"/>
  <c r="F13" i="90"/>
  <c r="F14" i="90"/>
  <c r="F15" i="90"/>
  <c r="E16" i="90"/>
  <c r="E17" i="90"/>
  <c r="E18" i="90"/>
  <c r="E19" i="90"/>
  <c r="E20" i="90"/>
  <c r="E21" i="90"/>
  <c r="F22" i="90"/>
  <c r="H22" i="90"/>
  <c r="C23" i="90"/>
  <c r="H23" i="90"/>
  <c r="I23" i="90"/>
  <c r="I24" i="90" s="1"/>
  <c r="B13" i="92"/>
  <c r="B15" i="92"/>
  <c r="B18" i="92"/>
  <c r="B11" i="124"/>
  <c r="B13" i="124"/>
  <c r="C11" i="124"/>
  <c r="C13" i="124" s="1"/>
  <c r="D11" i="124"/>
  <c r="D13" i="124"/>
  <c r="E11" i="124"/>
  <c r="E13" i="124"/>
  <c r="H12" i="124"/>
  <c r="H16" i="124" s="1"/>
  <c r="H18" i="124" s="1"/>
  <c r="H15" i="124"/>
  <c r="B16" i="124"/>
  <c r="B18" i="124"/>
  <c r="C16" i="124"/>
  <c r="C18" i="124" s="1"/>
  <c r="D16" i="124"/>
  <c r="D18" i="124"/>
  <c r="E16" i="124"/>
  <c r="E18" i="124" s="1"/>
  <c r="F16" i="124"/>
  <c r="F18" i="124"/>
  <c r="G16" i="124"/>
  <c r="G18" i="124"/>
  <c r="H17" i="124"/>
  <c r="A3" i="83"/>
  <c r="B9" i="83"/>
  <c r="B10" i="83"/>
  <c r="B11" i="83"/>
  <c r="B13" i="83"/>
  <c r="B14" i="83"/>
  <c r="B15" i="83"/>
  <c r="B16" i="83"/>
  <c r="B17" i="83"/>
  <c r="B18" i="83"/>
  <c r="B19" i="83"/>
  <c r="B20" i="83"/>
  <c r="B23" i="83"/>
  <c r="B24" i="83"/>
  <c r="B25" i="83"/>
  <c r="B26" i="83"/>
  <c r="B28" i="83"/>
  <c r="B29" i="83"/>
  <c r="B30" i="83"/>
  <c r="B34" i="83"/>
  <c r="I34" i="83" s="1"/>
  <c r="B35" i="83"/>
  <c r="G35" i="83"/>
  <c r="J35" i="83"/>
  <c r="B36" i="83"/>
  <c r="G36" i="83"/>
  <c r="J36" i="83" s="1"/>
  <c r="B38" i="83"/>
  <c r="B39" i="83"/>
  <c r="B41" i="83"/>
  <c r="B44" i="83"/>
  <c r="I55" i="83" s="1"/>
  <c r="B46" i="83"/>
  <c r="B47" i="83"/>
  <c r="B48" i="83"/>
  <c r="B51" i="83"/>
  <c r="B52" i="83"/>
  <c r="B53" i="83"/>
  <c r="B54" i="83"/>
  <c r="H55" i="83" s="1"/>
  <c r="B56" i="83"/>
  <c r="B57" i="83" s="1"/>
  <c r="B58" i="83"/>
  <c r="I58" i="83"/>
  <c r="J58" i="83" s="1"/>
  <c r="B59" i="83"/>
  <c r="F59" i="83" s="1"/>
  <c r="B60" i="83"/>
  <c r="I60" i="83"/>
  <c r="J60" i="83"/>
  <c r="B61" i="83"/>
  <c r="I61" i="83"/>
  <c r="J61" i="83" s="1"/>
  <c r="B63" i="83"/>
  <c r="B64" i="83"/>
  <c r="B65" i="83"/>
  <c r="B66" i="83"/>
  <c r="B68" i="83" s="1"/>
  <c r="B67" i="83"/>
  <c r="B70" i="83"/>
  <c r="B71" i="83"/>
  <c r="B72" i="83"/>
  <c r="B73" i="83"/>
  <c r="G81" i="83" s="1"/>
  <c r="J81" i="83" s="1"/>
  <c r="B74" i="83"/>
  <c r="B75" i="83"/>
  <c r="B76" i="83"/>
  <c r="B77" i="83"/>
  <c r="B78" i="83"/>
  <c r="B79" i="83"/>
  <c r="B80" i="83"/>
  <c r="I81" i="83" s="1"/>
  <c r="B83" i="83"/>
  <c r="F83" i="83"/>
  <c r="J83" i="83"/>
  <c r="B84" i="83"/>
  <c r="B85" i="83"/>
  <c r="G85" i="83"/>
  <c r="J85" i="83" s="1"/>
  <c r="B86" i="83"/>
  <c r="I86" i="83" s="1"/>
  <c r="J86" i="83" s="1"/>
  <c r="B87" i="83"/>
  <c r="J87" i="83" s="1"/>
  <c r="B88" i="83"/>
  <c r="J88" i="83"/>
  <c r="B89" i="83"/>
  <c r="H89" i="83"/>
  <c r="B90" i="83"/>
  <c r="J90" i="83"/>
  <c r="J91" i="83"/>
  <c r="B94" i="83"/>
  <c r="B95" i="83"/>
  <c r="B96" i="83"/>
  <c r="B97" i="83"/>
  <c r="B100" i="83"/>
  <c r="B102" i="83"/>
  <c r="B104" i="83"/>
  <c r="B109" i="83"/>
  <c r="B110" i="83"/>
  <c r="B111" i="83"/>
  <c r="B112" i="83"/>
  <c r="A3" i="3"/>
  <c r="F9" i="3"/>
  <c r="G9" i="3" s="1"/>
  <c r="F10" i="3"/>
  <c r="G10" i="3"/>
  <c r="F11" i="3"/>
  <c r="G11" i="3"/>
  <c r="F12" i="3"/>
  <c r="G12" i="3"/>
  <c r="F13" i="3"/>
  <c r="G13" i="3" s="1"/>
  <c r="F14" i="3"/>
  <c r="G14" i="3" s="1"/>
  <c r="F15" i="3"/>
  <c r="G15" i="3" s="1"/>
  <c r="F16" i="3"/>
  <c r="F17" i="3"/>
  <c r="F18" i="3"/>
  <c r="G18" i="3"/>
  <c r="F19" i="3"/>
  <c r="G19" i="3"/>
  <c r="F20" i="3"/>
  <c r="G20" i="3" s="1"/>
  <c r="F21" i="3"/>
  <c r="G21" i="3" s="1"/>
  <c r="F22" i="3"/>
  <c r="G22" i="3" s="1"/>
  <c r="F23" i="3"/>
  <c r="G23" i="3"/>
  <c r="F24" i="3"/>
  <c r="F25" i="3"/>
  <c r="F27" i="3"/>
  <c r="G27" i="3"/>
  <c r="F28" i="3"/>
  <c r="G28" i="3" s="1"/>
  <c r="F29" i="3"/>
  <c r="G29" i="3" s="1"/>
  <c r="F31" i="3"/>
  <c r="G31" i="3" s="1"/>
  <c r="F32" i="3"/>
  <c r="G32" i="3"/>
  <c r="F34" i="3"/>
  <c r="G34" i="3"/>
  <c r="F35" i="3"/>
  <c r="G35" i="3"/>
  <c r="F36" i="3"/>
  <c r="F37" i="3"/>
  <c r="G37" i="3"/>
  <c r="F40" i="3"/>
  <c r="F41" i="3"/>
  <c r="F42" i="3"/>
  <c r="G42" i="3"/>
  <c r="F43" i="3"/>
  <c r="F44" i="3"/>
  <c r="G44" i="3"/>
  <c r="F45" i="3"/>
  <c r="G45" i="3"/>
  <c r="F46" i="3"/>
  <c r="G46" i="3" s="1"/>
  <c r="F47" i="3"/>
  <c r="G47" i="3" s="1"/>
  <c r="F48" i="3"/>
  <c r="F49" i="3"/>
  <c r="G49" i="3"/>
  <c r="F50" i="3"/>
  <c r="G50" i="3" s="1"/>
  <c r="F51" i="3"/>
  <c r="G51" i="3" s="1"/>
  <c r="F53" i="3"/>
  <c r="G53" i="3"/>
  <c r="F54" i="3"/>
  <c r="G54" i="3"/>
  <c r="F55" i="3"/>
  <c r="G55" i="3" s="1"/>
  <c r="F58" i="3"/>
  <c r="G58" i="3"/>
  <c r="F60" i="3"/>
  <c r="F61" i="3"/>
  <c r="G61" i="3"/>
  <c r="F62" i="3"/>
  <c r="G62" i="3"/>
  <c r="F63" i="3"/>
  <c r="G63" i="3" s="1"/>
  <c r="F64" i="3"/>
  <c r="G64" i="3" s="1"/>
  <c r="F65" i="3"/>
  <c r="G65" i="3" s="1"/>
  <c r="F66" i="3"/>
  <c r="G66" i="3"/>
  <c r="F67" i="3"/>
  <c r="G67" i="3"/>
  <c r="F68" i="3"/>
  <c r="G68" i="3"/>
  <c r="F69" i="3"/>
  <c r="G69" i="3" s="1"/>
  <c r="F70" i="3"/>
  <c r="G70" i="3" s="1"/>
  <c r="F71" i="3"/>
  <c r="G71" i="3" s="1"/>
  <c r="F72" i="3"/>
  <c r="G72" i="3"/>
  <c r="F73" i="3"/>
  <c r="G73" i="3"/>
  <c r="F74" i="3"/>
  <c r="G74" i="3"/>
  <c r="F75" i="3"/>
  <c r="G75" i="3" s="1"/>
  <c r="F76" i="3"/>
  <c r="G76" i="3" s="1"/>
  <c r="F77" i="3"/>
  <c r="G77" i="3" s="1"/>
  <c r="F78" i="3"/>
  <c r="G78" i="3"/>
  <c r="F79" i="3"/>
  <c r="G79" i="3"/>
  <c r="F80" i="3"/>
  <c r="G80" i="3"/>
  <c r="F81" i="3"/>
  <c r="G81" i="3" s="1"/>
  <c r="F82" i="3"/>
  <c r="G82" i="3" s="1"/>
  <c r="F83" i="3"/>
  <c r="G83" i="3" s="1"/>
  <c r="F84" i="3"/>
  <c r="G84" i="3"/>
  <c r="F85" i="3"/>
  <c r="G85" i="3"/>
  <c r="F86" i="3"/>
  <c r="G86" i="3"/>
  <c r="F87" i="3"/>
  <c r="G87" i="3" s="1"/>
  <c r="F88" i="3"/>
  <c r="G88" i="3" s="1"/>
  <c r="F89" i="3"/>
  <c r="F90" i="3"/>
  <c r="F91" i="3"/>
  <c r="F92" i="3"/>
  <c r="C95" i="3"/>
  <c r="E95" i="3"/>
  <c r="C100" i="3"/>
  <c r="C101" i="3"/>
  <c r="B103" i="3"/>
  <c r="C64" i="2"/>
  <c r="B68" i="2"/>
  <c r="C69" i="2" s="1"/>
  <c r="B75" i="2"/>
  <c r="C76" i="2"/>
  <c r="H8" i="124"/>
  <c r="B95" i="3"/>
  <c r="C96" i="3"/>
  <c r="C97" i="3"/>
  <c r="B45" i="83"/>
  <c r="B55" i="83" s="1"/>
  <c r="G55" i="83"/>
  <c r="J55" i="83" s="1"/>
  <c r="H81" i="83"/>
  <c r="H90" i="83"/>
  <c r="H88" i="83"/>
  <c r="H68" i="83"/>
  <c r="J89" i="83"/>
  <c r="B42" i="83"/>
  <c r="B98" i="83"/>
  <c r="G57" i="83"/>
  <c r="J57" i="83"/>
  <c r="B31" i="83"/>
  <c r="B12" i="83"/>
  <c r="B21" i="83"/>
  <c r="B32" i="83" s="1"/>
  <c r="C60" i="2"/>
  <c r="C77" i="2" s="1"/>
  <c r="F23" i="90"/>
  <c r="F24" i="90" s="1"/>
  <c r="G59" i="83" s="1"/>
  <c r="H24" i="90"/>
  <c r="I59" i="83"/>
  <c r="E23" i="90"/>
  <c r="H84" i="83" s="1"/>
  <c r="G84" i="83"/>
  <c r="J84" i="83" s="1"/>
  <c r="I84" i="83"/>
  <c r="J34" i="83" l="1"/>
  <c r="I92" i="83"/>
  <c r="B20" i="124"/>
  <c r="B22" i="124" s="1"/>
  <c r="G68" i="83"/>
  <c r="J68" i="83" s="1"/>
  <c r="F11" i="124"/>
  <c r="F13" i="124" s="1"/>
  <c r="F87" i="83"/>
  <c r="F92" i="83" s="1"/>
  <c r="C68" i="2"/>
  <c r="C70" i="2" s="1"/>
  <c r="C71" i="2" s="1"/>
  <c r="B81" i="83"/>
  <c r="B92" i="83" s="1"/>
  <c r="B101" i="83" s="1"/>
  <c r="B105" i="83" s="1"/>
  <c r="B107" i="83" s="1"/>
  <c r="B113" i="83" s="1"/>
  <c r="D11" i="162"/>
  <c r="E11" i="162" s="1"/>
  <c r="F11" i="162" s="1"/>
  <c r="E24" i="90"/>
  <c r="H59" i="83" s="1"/>
  <c r="J59" i="83" s="1"/>
  <c r="H92" i="83" l="1"/>
  <c r="G92" i="83"/>
  <c r="J92" i="83"/>
</calcChain>
</file>

<file path=xl/sharedStrings.xml><?xml version="1.0" encoding="utf-8"?>
<sst xmlns="http://schemas.openxmlformats.org/spreadsheetml/2006/main" count="471" uniqueCount="353">
  <si>
    <t>Construction Payable</t>
  </si>
  <si>
    <t>Interest expense</t>
  </si>
  <si>
    <t>Interest Payable</t>
  </si>
  <si>
    <t>Sara Coffman</t>
  </si>
  <si>
    <t>UTILITIES - OFFICE</t>
  </si>
  <si>
    <t>REPAIRS  of system (Materials &amp; SUPPLIES)</t>
  </si>
  <si>
    <t>T-6</t>
  </si>
  <si>
    <t>S-2</t>
  </si>
  <si>
    <r>
      <t xml:space="preserve">  </t>
    </r>
    <r>
      <rPr>
        <b/>
        <sz val="10"/>
        <rFont val="Arial"/>
        <family val="2"/>
      </rPr>
      <t>Miscellaneous</t>
    </r>
  </si>
  <si>
    <r>
      <t xml:space="preserve">   </t>
    </r>
    <r>
      <rPr>
        <b/>
        <sz val="10"/>
        <rFont val="Arial"/>
        <family val="2"/>
      </rPr>
      <t>Pension &amp; benefits</t>
    </r>
  </si>
  <si>
    <r>
      <t xml:space="preserve">  </t>
    </r>
    <r>
      <rPr>
        <b/>
        <sz val="10"/>
        <rFont val="Arial"/>
        <family val="2"/>
      </rPr>
      <t xml:space="preserve"> Transportation expenses</t>
    </r>
  </si>
  <si>
    <t>Supply</t>
  </si>
  <si>
    <t>LEGAL &amp; ACCOUNTING (See T-2)</t>
  </si>
  <si>
    <t>INSURANCE WORKERS COMP Allocate based upon wage %</t>
  </si>
  <si>
    <t>REQUIRED PSC Consumer reports</t>
  </si>
  <si>
    <t>INCOME &amp; Expense Classification for PSC Report</t>
  </si>
  <si>
    <t>Cont in aid of const - Herbert Grubbs Rd Ext</t>
  </si>
  <si>
    <t>License fee</t>
  </si>
  <si>
    <t>Robin White</t>
  </si>
  <si>
    <t>S-3</t>
  </si>
  <si>
    <t>Herbert Grubbs Rd Ext customer A/R</t>
  </si>
  <si>
    <t>Rent deposit - Family Craft</t>
  </si>
  <si>
    <t>Manager^</t>
  </si>
  <si>
    <t>Accretion (Amortization)</t>
  </si>
  <si>
    <t xml:space="preserve">Capital gain dividends </t>
  </si>
  <si>
    <t xml:space="preserve">Dividends </t>
  </si>
  <si>
    <t>Total Expenses</t>
  </si>
  <si>
    <t>E-1</t>
  </si>
  <si>
    <t>T-7</t>
  </si>
  <si>
    <t>OFFICE EQUIPMENT  MAINTENANCE</t>
  </si>
  <si>
    <t>ENGINEERING</t>
  </si>
  <si>
    <t>Auto maintenance</t>
  </si>
  <si>
    <t>GARBAGE PICKUP</t>
  </si>
  <si>
    <t>INSURANCE GENERAL LIAB</t>
  </si>
  <si>
    <t>INSURANCE UNEMPLOYMENT</t>
  </si>
  <si>
    <t>INSURANCE WORKERS COMP</t>
  </si>
  <si>
    <t>INSURANCE OTHER</t>
  </si>
  <si>
    <t xml:space="preserve">MEMBERSHIP DUES </t>
  </si>
  <si>
    <t>SECURITY</t>
  </si>
  <si>
    <t>Uniforms &amp; clothing allowance</t>
  </si>
  <si>
    <t>Investment fees - KTC</t>
  </si>
  <si>
    <t>Realized gain (Loss) on investments</t>
  </si>
  <si>
    <t>Rent income</t>
  </si>
  <si>
    <t>J-1</t>
  </si>
  <si>
    <t>Samuel Bottom</t>
  </si>
  <si>
    <t>Property tax on rental</t>
  </si>
  <si>
    <t>Lodging</t>
  </si>
  <si>
    <t>2017 RD Systems Improvements Grant</t>
  </si>
  <si>
    <t>Total</t>
  </si>
  <si>
    <t>Service/Water</t>
  </si>
  <si>
    <t>CA</t>
  </si>
  <si>
    <t>GA</t>
  </si>
  <si>
    <t>TDM</t>
  </si>
  <si>
    <t>CONT IN AID OF CONST - EXT 9</t>
  </si>
  <si>
    <t>GARRARD COUNTY WATER ASSOCIATION</t>
  </si>
  <si>
    <t>REPAIRS of system (Materials &amp; SUPPLIES)</t>
  </si>
  <si>
    <t>WORKING TRIAL BALANCE</t>
  </si>
  <si>
    <t>ENDING BALANCE</t>
  </si>
  <si>
    <t>DR.</t>
  </si>
  <si>
    <t>CR.</t>
  </si>
  <si>
    <t>CASH ON HAND</t>
  </si>
  <si>
    <t>CASH IN BANK - EXT ESCROW</t>
  </si>
  <si>
    <t>D-1</t>
  </si>
  <si>
    <t>A/R  - CUSTOMERS</t>
  </si>
  <si>
    <t>T-3</t>
  </si>
  <si>
    <t>ALLOWANCE - DOUBTFUL ACCTS</t>
  </si>
  <si>
    <t>PREPAID INSURANCE</t>
  </si>
  <si>
    <t>CONT IN AID OF CONST - EXT 12 ph III</t>
  </si>
  <si>
    <t>CONT IN AID OF CONST - EXT 12 ph IV</t>
  </si>
  <si>
    <t>INTEREST RECEIVABLE</t>
  </si>
  <si>
    <t>FIXED ASSETS</t>
  </si>
  <si>
    <t>ACCTS. PAYABLE - REGULAR</t>
  </si>
  <si>
    <t>ACCRUED PAYROLL TAX</t>
  </si>
  <si>
    <t>T-4</t>
  </si>
  <si>
    <t>CONT IN AID OF CONST</t>
  </si>
  <si>
    <t>ACCUMULATED EARNINGS</t>
  </si>
  <si>
    <t>GRANTS</t>
  </si>
  <si>
    <t>P&amp; L</t>
  </si>
  <si>
    <t>INCOME WORKSHEET</t>
  </si>
  <si>
    <t>PRIOR YR.</t>
  </si>
  <si>
    <t>INCREASE</t>
  </si>
  <si>
    <t>PERCENT</t>
  </si>
  <si>
    <t xml:space="preserve">DR. </t>
  </si>
  <si>
    <t>MEMO ONLY</t>
  </si>
  <si>
    <t>(DECREASE)</t>
  </si>
  <si>
    <t>CHANGE</t>
  </si>
  <si>
    <t>EXPLANATION</t>
  </si>
  <si>
    <t>INCOME:</t>
  </si>
  <si>
    <t>WATER SALES</t>
  </si>
  <si>
    <t>S-1</t>
  </si>
  <si>
    <t>TANK SALES</t>
  </si>
  <si>
    <t>SERVICE CHARGES</t>
  </si>
  <si>
    <t>HYDRANT CHARGES</t>
  </si>
  <si>
    <t>LABOR</t>
  </si>
  <si>
    <t>MACHINE HIRE (BACKHOE)</t>
  </si>
  <si>
    <t>INTEREST</t>
  </si>
  <si>
    <t>COLLECTION FEES</t>
  </si>
  <si>
    <t>MISCELLANEOUS INCOME</t>
  </si>
  <si>
    <t>PENALTIES</t>
  </si>
  <si>
    <t>RETURN CHECK FEES</t>
  </si>
  <si>
    <t>EXPENSES:</t>
  </si>
  <si>
    <t>ADVERTISING</t>
  </si>
  <si>
    <t>BAD DEBTS</t>
  </si>
  <si>
    <t>PURCHASED WATER</t>
  </si>
  <si>
    <t>PAYROLL TAXES</t>
  </si>
  <si>
    <t>SALARIES &amp; WAGES</t>
  </si>
  <si>
    <t xml:space="preserve">  LESS CAPITALIZED LABOR</t>
  </si>
  <si>
    <t>LEGAL &amp; ACCOUNTING</t>
  </si>
  <si>
    <t>T-2</t>
  </si>
  <si>
    <t>Whitaker O&amp;M Account</t>
  </si>
  <si>
    <t>Whitaker Sweep Account</t>
  </si>
  <si>
    <t>JANITORIAL</t>
  </si>
  <si>
    <t>EQUIPMENT REPAIRS</t>
  </si>
  <si>
    <t>UTILITIES - FIELD</t>
  </si>
  <si>
    <t>T-1</t>
  </si>
  <si>
    <t>OFFICE SUPPLIES</t>
  </si>
  <si>
    <t>POSTAGE</t>
  </si>
  <si>
    <t>MISCELLANEOUS</t>
  </si>
  <si>
    <t>DEPRECIATION</t>
  </si>
  <si>
    <t>GAS &amp; OIL</t>
  </si>
  <si>
    <t>AMOUNT</t>
  </si>
  <si>
    <t>Sean Smith</t>
  </si>
  <si>
    <t>Postage</t>
  </si>
  <si>
    <t>Garrard County Water Association</t>
  </si>
  <si>
    <t>TELEPHONE - OFFICE</t>
  </si>
  <si>
    <t>Training - Office</t>
  </si>
  <si>
    <t>PSC ASSESSMENT</t>
  </si>
  <si>
    <t>WATER SAMPLES</t>
  </si>
  <si>
    <t>PENSION</t>
  </si>
  <si>
    <t>T-5</t>
  </si>
  <si>
    <t>PENSION FEES</t>
  </si>
  <si>
    <t>DIRECTOR FEES</t>
  </si>
  <si>
    <t>PROFIT &amp; LOSS</t>
  </si>
  <si>
    <t>ACCUMULATED DEPRECIATION</t>
  </si>
  <si>
    <t>CONT IN AID OF CONST - EXT 10 ph III</t>
  </si>
  <si>
    <t>CONT IN AID OF CONST - EXT 10 ph I &amp; II</t>
  </si>
  <si>
    <t>Grants - Extension 9</t>
  </si>
  <si>
    <t>Unrealized gain (Loss) on investments TYE</t>
  </si>
  <si>
    <t>Unrealized gain (Loss) on investments KTC</t>
  </si>
  <si>
    <t>Dividends</t>
  </si>
  <si>
    <t xml:space="preserve">INVESTMENTS </t>
  </si>
  <si>
    <t>According to Sean, he spent approximately 60% of his time in an administrative roll and 40% in line maintenance.</t>
  </si>
  <si>
    <t>H-2</t>
  </si>
  <si>
    <t>EMPLOYEE life INS</t>
  </si>
  <si>
    <t>EMPLOYEE BEN MED  INS</t>
  </si>
  <si>
    <t>RETIREMENT WITHHELD</t>
  </si>
  <si>
    <t>CONT IN ADVANCE OF CONST (New Connections)</t>
  </si>
  <si>
    <t>MAINTENANCE CONTRACTS</t>
  </si>
  <si>
    <t>BUILDING  MAINTENANCE</t>
  </si>
  <si>
    <t>Balance</t>
  </si>
  <si>
    <t xml:space="preserve">  TOTAL</t>
  </si>
  <si>
    <t>MAINTENANCE</t>
  </si>
  <si>
    <t>PAUL ( TIM ) DAILEY</t>
  </si>
  <si>
    <t>METER READ</t>
  </si>
  <si>
    <t>EVERETT FLOYD</t>
  </si>
  <si>
    <t>OFFICE</t>
  </si>
  <si>
    <t>MISSY LAWSON</t>
  </si>
  <si>
    <t>TRANS. &amp; DIST. OPER</t>
  </si>
  <si>
    <t>ADMIN.</t>
  </si>
  <si>
    <t>TRANS. &amp; DIST. MAINT</t>
  </si>
  <si>
    <t>CUST. ACCT.</t>
  </si>
  <si>
    <t>POSITION</t>
  </si>
  <si>
    <t xml:space="preserve">GROSS   </t>
  </si>
  <si>
    <t xml:space="preserve">NAME                    </t>
  </si>
  <si>
    <t xml:space="preserve">MEMO FOR PSC REPORT                      </t>
  </si>
  <si>
    <t xml:space="preserve">PER W-2'S                               </t>
  </si>
  <si>
    <t>Prior year</t>
  </si>
  <si>
    <t>Difference</t>
  </si>
  <si>
    <t>Per books</t>
  </si>
  <si>
    <t>GARY CLARK</t>
  </si>
  <si>
    <t>JENNY LYNN WHITTAKER</t>
  </si>
  <si>
    <t>BILLY DOOLIN</t>
  </si>
  <si>
    <t>ROBERT BALLARD</t>
  </si>
  <si>
    <t>FELIX REYNOLDS</t>
  </si>
  <si>
    <t xml:space="preserve">NAME   </t>
  </si>
  <si>
    <t>DIRECTORS FEES</t>
  </si>
  <si>
    <t>Unrealized gain (Loss) on investments</t>
  </si>
  <si>
    <t xml:space="preserve">  Taxes</t>
  </si>
  <si>
    <t xml:space="preserve">   Operating Expenses</t>
  </si>
  <si>
    <t>Utility Operating Expenses</t>
  </si>
  <si>
    <t xml:space="preserve">   Total Water Revenues</t>
  </si>
  <si>
    <t>Current Year</t>
  </si>
  <si>
    <t>Training - Field</t>
  </si>
  <si>
    <t xml:space="preserve">    Total Gross Revenues</t>
  </si>
  <si>
    <t xml:space="preserve">   Total Gross Operating Revenues</t>
  </si>
  <si>
    <t>GAIN (Loss) ON DISPOSITION</t>
  </si>
  <si>
    <t>REQUIRED PSC REPORTS</t>
  </si>
  <si>
    <t>GAIN ON DISPOSITION</t>
  </si>
  <si>
    <t>*</t>
  </si>
  <si>
    <t>CONT IN AID OF CONST - EXT 11</t>
  </si>
  <si>
    <t>MATERIALS Sales</t>
  </si>
  <si>
    <t>Bill Processing Fees</t>
  </si>
  <si>
    <t>Grants - Extension 11</t>
  </si>
  <si>
    <t>Safe deposit box</t>
  </si>
  <si>
    <t>Grants - Extension 10</t>
  </si>
  <si>
    <t>Change</t>
  </si>
  <si>
    <t>CONT IN AID OF CONST - EXT 8</t>
  </si>
  <si>
    <t>Grants - Extension 12</t>
  </si>
  <si>
    <t>CONT IN AID OF CONST - EXT 12</t>
  </si>
  <si>
    <t>Memo: Other expense per f/s = shaded areas</t>
  </si>
  <si>
    <t>Bad debt correction *</t>
  </si>
  <si>
    <t>Elizabeth Greers</t>
  </si>
  <si>
    <t>911 Fees</t>
  </si>
  <si>
    <t>Projected balance of accounts charged off after April 2018</t>
  </si>
  <si>
    <t>911 Processing fee</t>
  </si>
  <si>
    <t>Connection Fees</t>
  </si>
  <si>
    <t>Lines donated by developers</t>
  </si>
  <si>
    <t>Memo: Service fees per f/s = shaded areas</t>
  </si>
  <si>
    <t>PROFIT &amp; LOSS per PSC report</t>
  </si>
  <si>
    <t>Items counted as contributed capital by PSC:</t>
  </si>
  <si>
    <t xml:space="preserve">  Income per financial statements</t>
  </si>
  <si>
    <t xml:space="preserve">   Total Other Revenues</t>
  </si>
  <si>
    <t>Austin Dailey</t>
  </si>
  <si>
    <t>Sales &amp; Utility Tax</t>
  </si>
  <si>
    <t>Difference = Collections on Bad Debt accounts transferred*</t>
  </si>
  <si>
    <t>Greg Carter</t>
  </si>
  <si>
    <t>Margaret Jordon</t>
  </si>
  <si>
    <t>The total bad debts indicated by the combination of these three amounts would be:</t>
  </si>
  <si>
    <t>Construction in process</t>
  </si>
  <si>
    <t>Liability for 911 Fees Collected</t>
  </si>
  <si>
    <t>Paycheck Protection Program Grant</t>
  </si>
  <si>
    <t>N/A in 2020.</t>
  </si>
  <si>
    <t>Memo: Machine hire / labor income per f/s = shaded areas</t>
  </si>
  <si>
    <t>Memo: Investment income per f/s = shaded areas</t>
  </si>
  <si>
    <t>REPAIRS  of system (Outside help)</t>
  </si>
  <si>
    <t>Workpaper</t>
  </si>
  <si>
    <t>Reference</t>
  </si>
  <si>
    <t>S-1, J-1 &amp; H-2</t>
  </si>
  <si>
    <t>Financial Statement Grouping:</t>
  </si>
  <si>
    <t xml:space="preserve">  Accounts payable</t>
  </si>
  <si>
    <t xml:space="preserve">  Prepaid expenses</t>
  </si>
  <si>
    <t xml:space="preserve">  Fixed Assets</t>
  </si>
  <si>
    <t xml:space="preserve">  Accounts receivable</t>
  </si>
  <si>
    <t xml:space="preserve">  Retained Earnings</t>
  </si>
  <si>
    <t>REPAIRS  of system (outside help)</t>
  </si>
  <si>
    <t>Reconnect Fees</t>
  </si>
  <si>
    <t>Late Fee / Penalty</t>
  </si>
  <si>
    <t>Service Fees Including NSF Fees</t>
  </si>
  <si>
    <t>(S) See summary of the charge-offs prepared by Mike Stevens (MKS) which are on the following pages.</t>
  </si>
  <si>
    <t>Whitaker 2022 System Improvement</t>
  </si>
  <si>
    <t>Dalton Marsee</t>
  </si>
  <si>
    <t>Hagan Pointer</t>
  </si>
  <si>
    <t>Michael T Robinson</t>
  </si>
  <si>
    <t>Any director can qualify for the extra $200 per meeting by obtaining six hours of training per year.</t>
  </si>
  <si>
    <t>Supplemental Insurance Withheld</t>
  </si>
  <si>
    <t>Bad debt collections on above income accounts only</t>
  </si>
  <si>
    <t xml:space="preserve">$500 per month. Lease in permanent file. </t>
  </si>
  <si>
    <t>Up with wages.</t>
  </si>
  <si>
    <t>Due to Association - Women's Refuge Extension</t>
  </si>
  <si>
    <t>Due to Association - Peachy Extension</t>
  </si>
  <si>
    <t>Less lines contributed by developers closed to contributions in aid of construction</t>
  </si>
  <si>
    <t>Contribution in Kind</t>
  </si>
  <si>
    <t>Less customer connection fees closed to contributions in aid of construction</t>
  </si>
  <si>
    <t>Summary of  Bad Debts Written Off During 2023 and Calculation of Change in Cumulative Write-Offs</t>
  </si>
  <si>
    <t>Sheri Yocum</t>
  </si>
  <si>
    <t>Beginning with the September 2022 meeting Bill Oliver and Sean Smith began receiving $500 per meeting.</t>
  </si>
  <si>
    <t>Beginning in September 2023, Billy Doolin and Jenny Lynn Whittaker began receiving $500 per meeting.</t>
  </si>
  <si>
    <t>Robert Ballard, who missed the September 2023 meeting, began receiving $500 in October 2023.</t>
  </si>
  <si>
    <t>D</t>
  </si>
  <si>
    <t>Difference (See Below)</t>
  </si>
  <si>
    <t>H-8</t>
  </si>
  <si>
    <t>Cleaner Water Program Grant</t>
  </si>
  <si>
    <t>Note Payable to KIA</t>
  </si>
  <si>
    <t>Note Payable to RD</t>
  </si>
  <si>
    <t>Add back refunds to developers for meter sets closed to contributions in aid of construction</t>
  </si>
  <si>
    <t>Less HWY 52 relocation paid by KDOT closed to contributions in aid of construction</t>
  </si>
  <si>
    <t>Less Cleaner Water Program grant closed to grants</t>
  </si>
  <si>
    <t>Demolition Cost</t>
  </si>
  <si>
    <t>Highway 52 relocation funding KDOT</t>
  </si>
  <si>
    <t>Fees increased with portfolio value.</t>
  </si>
  <si>
    <t>Nothing sold in 2023 except at cost upon maturity of bond.</t>
  </si>
  <si>
    <t>See analysis of this expense account on the workpaper referenced.</t>
  </si>
  <si>
    <t>Repairs of rental property</t>
  </si>
  <si>
    <t>T-8</t>
  </si>
  <si>
    <t>Greater amount of testing required in 2023 by government.</t>
  </si>
  <si>
    <t>Relocation project made necessary by planned widening of 52 near the road that leads to the waste transfer station.</t>
  </si>
  <si>
    <t>A/R  - OTHER (Due from KY Engineering billing error)</t>
  </si>
  <si>
    <t>Memo: Repairs per FS = shaded areas</t>
  </si>
  <si>
    <t>12/31/2024</t>
  </si>
  <si>
    <t>*Monthly rate without the extra training incentive is $300.</t>
  </si>
  <si>
    <t>Zachary P Speake</t>
  </si>
  <si>
    <t>Gary Clark began receiving $500 in September 2024.</t>
  </si>
  <si>
    <t>It appears that Felix is the only remaining member without the training.</t>
  </si>
  <si>
    <t>WILLIAM OLIVER (Missed March meeting.)</t>
  </si>
  <si>
    <t>H-6</t>
  </si>
  <si>
    <t xml:space="preserve">2024 Direct charge offs </t>
  </si>
  <si>
    <t xml:space="preserve">  Per minutes of January 2 (S)</t>
  </si>
  <si>
    <t xml:space="preserve">  Per minutes of April 9 (S)</t>
  </si>
  <si>
    <t xml:space="preserve">  Per minutes of August 6 (S)</t>
  </si>
  <si>
    <t xml:space="preserve">  Per minutes of October 2 (S)</t>
  </si>
  <si>
    <t xml:space="preserve">   Total 2024 Charge Offs </t>
  </si>
  <si>
    <t>Per Billing Status Report summarizing 2024 write-offs</t>
  </si>
  <si>
    <t>Balance of accounts written off after April 2018 per billing system at 12/31/23 per prior year E-4</t>
  </si>
  <si>
    <t>Balance of accounts written off after April 2018 per billing system at 12/31/24 from E-4</t>
  </si>
  <si>
    <t>D - Missy Lawson and Sean Smith were able to generate a report that recapped the accounts moved to charge offs during 2024. A copy of that report is attached.</t>
  </si>
  <si>
    <t>Mike Stevens used the totals generated by the billing system to project the cumulative balance of accounts written off. It is assumed that the difference between the sum of the charge off listings and the</t>
  </si>
  <si>
    <t>report is attributable to additional collections recieved after the board approved the charge off listing but before the accouts were moved to the charge off portion of the billing system.</t>
  </si>
  <si>
    <t>Due From Developer for Engineering fees</t>
  </si>
  <si>
    <t xml:space="preserve">EXT. ESCROW - LIABILITY </t>
  </si>
  <si>
    <t>Due to Employee for 401K loan payment  Withheld</t>
  </si>
  <si>
    <t>Cost of demolishing Lane tank in 2023.</t>
  </si>
  <si>
    <t>Notary Public Application</t>
  </si>
  <si>
    <t>More directors took training making them eligible for higher per meeting fees.</t>
  </si>
  <si>
    <t>EMPLOYEE BEN Other</t>
  </si>
  <si>
    <t>Google research says $.22/gallon lower in 2024 than in 2023. However, GCWA added a new truck and driver to its fleet early in 2024.</t>
  </si>
  <si>
    <t>Employee license and exam</t>
  </si>
  <si>
    <t>2023 included KRWA 2024 dues of $1,900 and a compliance check fee to KRWA of $1,920 . 2024 included only a compliance check annual fee of $1,980.</t>
  </si>
  <si>
    <t>No new developer additions in 2024 or 2023, only developer refunds for meter sets.</t>
  </si>
  <si>
    <t>Dividends Foreign tax withheld</t>
  </si>
  <si>
    <t>Investment fees - Tye Financial</t>
  </si>
  <si>
    <t>Potfolio at Tye changed during 2024 and fees began being charged.</t>
  </si>
  <si>
    <t>Higher rates.</t>
  </si>
  <si>
    <t>2024 includes some encroachment bond premiums. These were capitalized to construction projects in prior years</t>
  </si>
  <si>
    <t>Had to pay in prior year with WC audit. Received a refund with 2024 WC audit.</t>
  </si>
  <si>
    <t>Increased rates &amp; increase in mail sent out. $6,241.26 of increase was required "Get the lead out" survey. New in 2024.</t>
  </si>
  <si>
    <t>The increase in unrecorded inventory was $1,275. The remainder of the increase is attributable to a increases in materials costs.</t>
  </si>
  <si>
    <t>Bill processing for 2024,included around $4,000 for sending out two rounds of the "Get the Lead Out" surveys.</t>
  </si>
  <si>
    <t>An extra employee was added to Insurance in February 2024. Cost for year wass $4,200. 2023 was reduced by two years worth of premium rebates required by ACA.Only one rebate was received in 2024. Rebate in 2024 was $3,872 less than total received in 2023. For the seven employees cvered in both years, there was a premium increase of $6,749.</t>
  </si>
  <si>
    <t>Write off of collective difference between employee withholdings and premiums paid for AFLAC coverage.</t>
  </si>
  <si>
    <t>Tool box $528, mirrors for F-650 $1,096, and oil leak repairs on three trucks $2,007 caused 2024 expense to be higher.</t>
  </si>
  <si>
    <t>29 more meters set by GCWA personnel in 2023 than 2024 at $200 per meter.</t>
  </si>
  <si>
    <t>2023 included $2,525 paid by GCWA in the Gencanna bankruptcy settlement. Charge offs in 2024 were down $5,541 from 2023.</t>
  </si>
  <si>
    <t>HVAC repairs rental property in 2023.</t>
  </si>
  <si>
    <t>N-1 &amp; N-2</t>
  </si>
  <si>
    <t>See reconciliation tape on N-2</t>
  </si>
  <si>
    <t>2024 includes $618 for a distribution license.</t>
  </si>
  <si>
    <t>Bond and fees for three clerks to be notaries.</t>
  </si>
  <si>
    <t>GCWA began reinvesting in CDs in 2022 added another $1M in 2023 and $200K in 2024, interest rates increased as older lower rate CDs were replaced with higher rate CDs, &amp; in 2023 GCWA revised its sweep account agreement to get a higher rate.</t>
  </si>
  <si>
    <t>Portoflio mix at Tye Financial increased this.</t>
  </si>
  <si>
    <t>New category for 2024 with change in Tye Financial portfolio.</t>
  </si>
  <si>
    <t>Fewer late payers in 2024.</t>
  </si>
  <si>
    <t>29 more meters set during 2023 than 2024. Standard connection fee is $934.75 / meter.</t>
  </si>
  <si>
    <t>This fee is charged when a customer fails to pay their bill, has their water cut off, and then pays to be reconnected. There were fewer of these charges in 2024 as the economy continued to improve and customers learned that GCWA was serious.</t>
  </si>
  <si>
    <t xml:space="preserve">This fee at $60 per meter is charged when a new customer moves into a house which already has service by GCWA. </t>
  </si>
  <si>
    <t>Added employee in 2024. Zach's pay was $31,313 of the increase. The rest of increase is attributable to raises.</t>
  </si>
  <si>
    <t>Insurance per FS</t>
  </si>
  <si>
    <t>Utilities per FS</t>
  </si>
  <si>
    <t>Investment fees per FS</t>
  </si>
  <si>
    <t>Group insurance per FS</t>
  </si>
  <si>
    <t xml:space="preserve">Gallons sold were up 5.87%, however, much of the increase was at lower rates available for increased volume. </t>
  </si>
  <si>
    <t>The gallons purchased increased by 5.10%. GCWA's also had a rate increase with Lancaster beginning with the billing period ending 10/7/24.</t>
  </si>
  <si>
    <t>Garrard County Water Association, Inc</t>
  </si>
  <si>
    <t>Calculation of Projected (Pro forma) Amounts Used in Rate Calculations</t>
  </si>
  <si>
    <t>Operating Expenses:</t>
  </si>
  <si>
    <t>Water Purchases</t>
  </si>
  <si>
    <t>Wages net of capitalized labor</t>
  </si>
  <si>
    <t>Health Insurance</t>
  </si>
  <si>
    <t>Depreciation</t>
  </si>
  <si>
    <t>Other Expenses</t>
  </si>
  <si>
    <t>Total Utility Operating Expenses</t>
  </si>
  <si>
    <t>% Change</t>
  </si>
  <si>
    <t>Interest Expense</t>
  </si>
  <si>
    <t>Water Sales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</si>
</sst>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0.000%"/>
    <numFmt numFmtId="165" formatCode="_(* #,##0_);_(* \(#,##0\);_(* &quot;-&quot;??_);_(@_)"/>
    <numFmt numFmtId="166" formatCode="0.0000%"/>
    <numFmt numFmtId="167" formatCode="mmmm\ d\,\ yyyy"/>
  </numFmts>
  <fonts count="13" x14ac:knownFonts="1">
    <font>
      <sz val="10"/>
      <name val="Arial"/>
    </font>
    <font>
      <b/>
      <sz val="10"/>
      <name val="Arial"/>
    </font>
    <font>
      <sz val="10"/>
      <name val="Arial"/>
      <family val="2"/>
    </font>
    <font>
      <sz val="10"/>
      <name val="Arial"/>
      <family val="2"/>
    </font>
    <font>
      <u/>
      <sz val="10"/>
      <name val="Arial"/>
      <family val="2"/>
    </font>
    <font>
      <b/>
      <u/>
      <sz val="10"/>
      <name val="Arial"/>
      <family val="2"/>
    </font>
    <font>
      <b/>
      <sz val="10"/>
      <name val="Arial"/>
      <family val="2"/>
    </font>
    <font>
      <sz val="14"/>
      <name val="Arial"/>
      <family val="2"/>
    </font>
    <font>
      <b/>
      <u val="singleAccounting"/>
      <sz val="10"/>
      <name val="Arial"/>
      <family val="2"/>
    </font>
    <font>
      <sz val="8"/>
      <name val="Arial"/>
      <family val="2"/>
    </font>
    <font>
      <sz val="10"/>
      <name val="Arial"/>
      <family val="2"/>
    </font>
    <font>
      <b/>
      <sz val="10"/>
      <color rgb="FFFF0000"/>
      <name val="Arial"/>
      <family val="2"/>
    </font>
    <font>
      <sz val="10"/>
      <color rgb="FFFF0000"/>
      <name val="Arial"/>
      <family val="2"/>
    </font>
  </fonts>
  <fills count="18">
    <fill>
      <patternFill patternType="none"/>
    </fill>
    <fill>
      <patternFill patternType="gray125"/>
    </fill>
    <fill>
      <patternFill patternType="solid">
        <fgColor indexed="9"/>
        <bgColor indexed="64"/>
      </patternFill>
    </fill>
    <fill>
      <patternFill patternType="solid">
        <fgColor indexed="13"/>
        <bgColor indexed="64"/>
      </patternFill>
    </fill>
    <fill>
      <patternFill patternType="solid">
        <fgColor indexed="11"/>
        <bgColor indexed="64"/>
      </patternFill>
    </fill>
    <fill>
      <patternFill patternType="solid">
        <fgColor indexed="51"/>
        <bgColor indexed="64"/>
      </patternFill>
    </fill>
    <fill>
      <patternFill patternType="solid">
        <fgColor indexed="44"/>
        <bgColor indexed="64"/>
      </patternFill>
    </fill>
    <fill>
      <patternFill patternType="solid">
        <fgColor indexed="45"/>
        <bgColor indexed="64"/>
      </patternFill>
    </fill>
    <fill>
      <patternFill patternType="solid">
        <fgColor rgb="FFFFFF00"/>
        <bgColor indexed="64"/>
      </patternFill>
    </fill>
    <fill>
      <patternFill patternType="solid">
        <fgColor rgb="FFFFC000"/>
        <bgColor indexed="64"/>
      </patternFill>
    </fill>
    <fill>
      <patternFill patternType="solid">
        <fgColor rgb="FF00B0F0"/>
        <bgColor indexed="64"/>
      </patternFill>
    </fill>
    <fill>
      <patternFill patternType="solid">
        <fgColor rgb="FF92D050"/>
        <bgColor indexed="64"/>
      </patternFill>
    </fill>
    <fill>
      <patternFill patternType="solid">
        <fgColor theme="8" tint="0.39997558519241921"/>
        <bgColor indexed="64"/>
      </patternFill>
    </fill>
    <fill>
      <patternFill patternType="solid">
        <fgColor theme="7" tint="0.39997558519241921"/>
        <bgColor indexed="64"/>
      </patternFill>
    </fill>
    <fill>
      <patternFill patternType="solid">
        <fgColor theme="6" tint="0.39997558519241921"/>
        <bgColor indexed="64"/>
      </patternFill>
    </fill>
    <fill>
      <patternFill patternType="solid">
        <fgColor theme="2" tint="-0.249977111117893"/>
        <bgColor indexed="64"/>
      </patternFill>
    </fill>
    <fill>
      <patternFill patternType="solid">
        <fgColor theme="3" tint="0.79998168889431442"/>
        <bgColor indexed="64"/>
      </patternFill>
    </fill>
    <fill>
      <patternFill patternType="solid">
        <fgColor theme="9" tint="0.79998168889431442"/>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top/>
      <bottom style="thin">
        <color indexed="64"/>
      </bottom>
      <diagonal/>
    </border>
    <border>
      <left/>
      <right/>
      <top style="thin">
        <color indexed="64"/>
      </top>
      <bottom style="medium">
        <color indexed="64"/>
      </bottom>
      <diagonal/>
    </border>
    <border>
      <left/>
      <right/>
      <top/>
      <bottom style="double">
        <color indexed="64"/>
      </bottom>
      <diagonal/>
    </border>
    <border>
      <left/>
      <right/>
      <top style="thin">
        <color indexed="64"/>
      </top>
      <bottom style="double">
        <color indexed="64"/>
      </bottom>
      <diagonal/>
    </border>
  </borders>
  <cellStyleXfs count="17">
    <xf numFmtId="0" fontId="0" fillId="0" borderId="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4" fontId="3" fillId="0" borderId="0" applyFont="0" applyFill="0" applyBorder="0" applyAlignment="0" applyProtection="0"/>
    <xf numFmtId="44" fontId="2" fillId="0" borderId="0" applyFont="0" applyFill="0" applyBorder="0" applyAlignment="0" applyProtection="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3" fillId="0" borderId="0" applyFont="0" applyFill="0" applyBorder="0" applyAlignment="0" applyProtection="0"/>
    <xf numFmtId="9" fontId="2" fillId="0" borderId="0" applyFont="0" applyFill="0" applyBorder="0" applyAlignment="0" applyProtection="0"/>
  </cellStyleXfs>
  <cellXfs count="132">
    <xf numFmtId="0" fontId="0" fillId="0" borderId="0" xfId="0"/>
    <xf numFmtId="0" fontId="0" fillId="0" borderId="0" xfId="0" quotePrefix="1"/>
    <xf numFmtId="0" fontId="3" fillId="0" borderId="0" xfId="0" applyFont="1"/>
    <xf numFmtId="0" fontId="1" fillId="0" borderId="0" xfId="0" applyFont="1"/>
    <xf numFmtId="0" fontId="1" fillId="0" borderId="0" xfId="0" quotePrefix="1" applyFont="1"/>
    <xf numFmtId="43" fontId="0" fillId="0" borderId="0" xfId="1" applyFont="1"/>
    <xf numFmtId="0" fontId="4" fillId="0" borderId="0" xfId="0" applyFont="1" applyAlignment="1">
      <alignment horizontal="centerContinuous"/>
    </xf>
    <xf numFmtId="165" fontId="0" fillId="0" borderId="0" xfId="1" applyNumberFormat="1" applyFont="1"/>
    <xf numFmtId="43" fontId="0" fillId="0" borderId="0" xfId="0" applyNumberFormat="1"/>
    <xf numFmtId="43" fontId="2" fillId="0" borderId="0" xfId="1" applyFont="1"/>
    <xf numFmtId="0" fontId="4" fillId="0" borderId="0" xfId="0" applyFont="1" applyAlignment="1">
      <alignment horizontal="center"/>
    </xf>
    <xf numFmtId="0" fontId="0" fillId="0" borderId="0" xfId="0" applyAlignment="1">
      <alignment horizontal="centerContinuous"/>
    </xf>
    <xf numFmtId="10" fontId="0" fillId="0" borderId="0" xfId="14" applyNumberFormat="1" applyFont="1"/>
    <xf numFmtId="0" fontId="0" fillId="0" borderId="0" xfId="0" applyAlignment="1">
      <alignment wrapText="1"/>
    </xf>
    <xf numFmtId="0" fontId="5" fillId="0" borderId="0" xfId="0" applyFont="1" applyAlignment="1">
      <alignment horizontal="center"/>
    </xf>
    <xf numFmtId="0" fontId="6" fillId="0" borderId="0" xfId="0" applyFont="1"/>
    <xf numFmtId="0" fontId="3" fillId="0" borderId="0" xfId="0" applyFont="1" applyAlignment="1">
      <alignment wrapText="1"/>
    </xf>
    <xf numFmtId="43" fontId="2" fillId="0" borderId="0" xfId="1"/>
    <xf numFmtId="0" fontId="7" fillId="0" borderId="0" xfId="0" applyFont="1"/>
    <xf numFmtId="43" fontId="3" fillId="0" borderId="0" xfId="1" applyFont="1" applyFill="1" applyBorder="1"/>
    <xf numFmtId="43" fontId="3" fillId="0" borderId="0" xfId="0" applyNumberFormat="1" applyFont="1"/>
    <xf numFmtId="43" fontId="2" fillId="0" borderId="0" xfId="1" applyFill="1"/>
    <xf numFmtId="0" fontId="6" fillId="0" borderId="1" xfId="0" applyFont="1" applyBorder="1"/>
    <xf numFmtId="43" fontId="2" fillId="0" borderId="2" xfId="1" applyBorder="1"/>
    <xf numFmtId="43" fontId="0" fillId="0" borderId="0" xfId="1" applyFont="1" applyFill="1"/>
    <xf numFmtId="166" fontId="2" fillId="0" borderId="0" xfId="14" applyNumberFormat="1"/>
    <xf numFmtId="43" fontId="3" fillId="0" borderId="3" xfId="1" applyFont="1" applyFill="1" applyBorder="1"/>
    <xf numFmtId="0" fontId="6" fillId="0" borderId="0" xfId="0" quotePrefix="1" applyFont="1"/>
    <xf numFmtId="166" fontId="2" fillId="0" borderId="0" xfId="14" applyNumberFormat="1" applyFill="1"/>
    <xf numFmtId="43" fontId="3" fillId="0" borderId="0" xfId="2" applyFont="1" applyFill="1"/>
    <xf numFmtId="43" fontId="6" fillId="0" borderId="0" xfId="2" applyFont="1" applyFill="1"/>
    <xf numFmtId="0" fontId="3" fillId="0" borderId="0" xfId="6"/>
    <xf numFmtId="43" fontId="3" fillId="0" borderId="0" xfId="2"/>
    <xf numFmtId="0" fontId="6" fillId="0" borderId="0" xfId="6" applyFont="1"/>
    <xf numFmtId="43" fontId="3" fillId="0" borderId="0" xfId="2" applyFont="1"/>
    <xf numFmtId="14" fontId="3" fillId="0" borderId="0" xfId="6" applyNumberFormat="1"/>
    <xf numFmtId="43" fontId="3" fillId="0" borderId="0" xfId="6" applyNumberFormat="1"/>
    <xf numFmtId="43" fontId="3" fillId="0" borderId="0" xfId="2" applyFill="1" applyBorder="1"/>
    <xf numFmtId="0" fontId="4" fillId="0" borderId="0" xfId="6" applyFont="1"/>
    <xf numFmtId="10" fontId="3" fillId="0" borderId="0" xfId="15" applyNumberFormat="1"/>
    <xf numFmtId="43" fontId="3" fillId="0" borderId="4" xfId="2" applyBorder="1"/>
    <xf numFmtId="0" fontId="4" fillId="0" borderId="0" xfId="6" applyFont="1" applyAlignment="1">
      <alignment horizontal="center" wrapText="1"/>
    </xf>
    <xf numFmtId="0" fontId="4" fillId="0" borderId="0" xfId="6" applyFont="1" applyAlignment="1">
      <alignment horizontal="center"/>
    </xf>
    <xf numFmtId="0" fontId="4" fillId="0" borderId="0" xfId="6" applyFont="1" applyAlignment="1">
      <alignment horizontal="left"/>
    </xf>
    <xf numFmtId="0" fontId="3" fillId="0" borderId="0" xfId="6" quotePrefix="1"/>
    <xf numFmtId="14" fontId="3" fillId="0" borderId="0" xfId="6" quotePrefix="1" applyNumberFormat="1"/>
    <xf numFmtId="165" fontId="3" fillId="0" borderId="0" xfId="6" applyNumberFormat="1"/>
    <xf numFmtId="165" fontId="3" fillId="0" borderId="4" xfId="2" applyNumberFormat="1" applyFill="1" applyBorder="1"/>
    <xf numFmtId="165" fontId="6" fillId="0" borderId="0" xfId="2" applyNumberFormat="1" applyFont="1" applyFill="1" applyBorder="1"/>
    <xf numFmtId="165" fontId="3" fillId="0" borderId="4" xfId="2" applyNumberFormat="1" applyFont="1" applyFill="1" applyBorder="1"/>
    <xf numFmtId="0" fontId="2" fillId="0" borderId="0" xfId="0" applyFont="1"/>
    <xf numFmtId="0" fontId="2" fillId="0" borderId="0" xfId="0" applyFont="1" applyAlignment="1">
      <alignment wrapText="1"/>
    </xf>
    <xf numFmtId="166" fontId="0" fillId="0" borderId="0" xfId="14" applyNumberFormat="1" applyFont="1" applyFill="1"/>
    <xf numFmtId="0" fontId="2" fillId="0" borderId="0" xfId="6" applyFont="1"/>
    <xf numFmtId="0" fontId="2" fillId="0" borderId="0" xfId="0" applyFont="1" applyAlignment="1">
      <alignment horizontal="center"/>
    </xf>
    <xf numFmtId="43" fontId="3" fillId="0" borderId="0" xfId="1" applyFont="1" applyBorder="1"/>
    <xf numFmtId="43" fontId="6" fillId="0" borderId="0" xfId="0" applyNumberFormat="1" applyFont="1"/>
    <xf numFmtId="43" fontId="2" fillId="0" borderId="0" xfId="0" applyNumberFormat="1" applyFont="1"/>
    <xf numFmtId="43" fontId="2" fillId="0" borderId="0" xfId="2" applyFont="1" applyFill="1"/>
    <xf numFmtId="43" fontId="2" fillId="0" borderId="0" xfId="2" applyFont="1" applyFill="1" applyAlignment="1">
      <alignment wrapText="1"/>
    </xf>
    <xf numFmtId="43" fontId="2" fillId="0" borderId="0" xfId="1" applyFont="1" applyFill="1"/>
    <xf numFmtId="43" fontId="3" fillId="2" borderId="0" xfId="0" applyNumberFormat="1" applyFont="1" applyFill="1"/>
    <xf numFmtId="43" fontId="6" fillId="0" borderId="1" xfId="1" applyFont="1" applyBorder="1"/>
    <xf numFmtId="43" fontId="6" fillId="0" borderId="0" xfId="1" applyFont="1" applyBorder="1"/>
    <xf numFmtId="43" fontId="2" fillId="3" borderId="0" xfId="1" applyFont="1" applyFill="1"/>
    <xf numFmtId="0" fontId="2" fillId="0" borderId="0" xfId="0" applyFont="1" applyAlignment="1">
      <alignment horizontal="centerContinuous"/>
    </xf>
    <xf numFmtId="43" fontId="2" fillId="0" borderId="4" xfId="1" applyFont="1" applyBorder="1"/>
    <xf numFmtId="43" fontId="2" fillId="0" borderId="2" xfId="1" applyFont="1" applyBorder="1"/>
    <xf numFmtId="43" fontId="8" fillId="0" borderId="0" xfId="1" applyFont="1" applyBorder="1" applyAlignment="1">
      <alignment horizontal="center"/>
    </xf>
    <xf numFmtId="0" fontId="8" fillId="0" borderId="0" xfId="0" applyFont="1" applyAlignment="1">
      <alignment horizontal="center"/>
    </xf>
    <xf numFmtId="43" fontId="2" fillId="0" borderId="3" xfId="0" applyNumberFormat="1" applyFont="1" applyBorder="1"/>
    <xf numFmtId="43" fontId="2" fillId="0" borderId="3" xfId="1" applyFont="1" applyBorder="1"/>
    <xf numFmtId="43" fontId="2" fillId="0" borderId="0" xfId="1" applyFont="1" applyBorder="1"/>
    <xf numFmtId="43" fontId="2" fillId="0" borderId="5" xfId="1" applyFont="1" applyFill="1" applyBorder="1"/>
    <xf numFmtId="43" fontId="2" fillId="4" borderId="0" xfId="0" applyNumberFormat="1" applyFont="1" applyFill="1"/>
    <xf numFmtId="43" fontId="2" fillId="2" borderId="0" xfId="1" applyFont="1" applyFill="1"/>
    <xf numFmtId="43" fontId="2" fillId="0" borderId="3" xfId="1" applyFont="1" applyFill="1" applyBorder="1"/>
    <xf numFmtId="14" fontId="3" fillId="0" borderId="0" xfId="6" applyNumberFormat="1" applyAlignment="1">
      <alignment horizontal="left"/>
    </xf>
    <xf numFmtId="43" fontId="2" fillId="0" borderId="6" xfId="1" applyFont="1" applyFill="1" applyBorder="1"/>
    <xf numFmtId="43" fontId="3" fillId="0" borderId="7" xfId="2" applyBorder="1"/>
    <xf numFmtId="0" fontId="2" fillId="0" borderId="0" xfId="6" applyFont="1" applyAlignment="1">
      <alignment wrapText="1"/>
    </xf>
    <xf numFmtId="165" fontId="0" fillId="0" borderId="0" xfId="0" applyNumberFormat="1"/>
    <xf numFmtId="43" fontId="2" fillId="3" borderId="3" xfId="0" applyNumberFormat="1" applyFont="1" applyFill="1" applyBorder="1"/>
    <xf numFmtId="43" fontId="2" fillId="8" borderId="0" xfId="1" applyFont="1" applyFill="1"/>
    <xf numFmtId="43" fontId="2" fillId="9" borderId="0" xfId="1" applyFont="1" applyFill="1"/>
    <xf numFmtId="43" fontId="2" fillId="0" borderId="7" xfId="1" applyFont="1" applyFill="1" applyBorder="1"/>
    <xf numFmtId="43" fontId="2" fillId="5" borderId="0" xfId="0" applyNumberFormat="1" applyFont="1" applyFill="1"/>
    <xf numFmtId="43" fontId="2" fillId="6" borderId="0" xfId="0" applyNumberFormat="1" applyFont="1" applyFill="1"/>
    <xf numFmtId="43" fontId="2" fillId="7" borderId="0" xfId="1" applyFont="1" applyFill="1"/>
    <xf numFmtId="0" fontId="2" fillId="7" borderId="0" xfId="0" applyFont="1" applyFill="1"/>
    <xf numFmtId="43" fontId="2" fillId="7" borderId="0" xfId="0" applyNumberFormat="1" applyFont="1" applyFill="1"/>
    <xf numFmtId="43" fontId="2" fillId="4" borderId="0" xfId="1" applyFont="1" applyFill="1"/>
    <xf numFmtId="43" fontId="2" fillId="3" borderId="0" xfId="0" applyNumberFormat="1" applyFont="1" applyFill="1"/>
    <xf numFmtId="43" fontId="6" fillId="0" borderId="4" xfId="1" applyFont="1" applyBorder="1"/>
    <xf numFmtId="165" fontId="3" fillId="0" borderId="7" xfId="6" applyNumberFormat="1" applyBorder="1"/>
    <xf numFmtId="43" fontId="6" fillId="0" borderId="0" xfId="1" applyFont="1" applyFill="1" applyBorder="1"/>
    <xf numFmtId="43" fontId="0" fillId="0" borderId="7" xfId="0" applyNumberFormat="1" applyBorder="1"/>
    <xf numFmtId="43" fontId="0" fillId="8" borderId="0" xfId="0" applyNumberFormat="1" applyFill="1"/>
    <xf numFmtId="43" fontId="10" fillId="8" borderId="0" xfId="1" applyFont="1" applyFill="1"/>
    <xf numFmtId="165" fontId="2" fillId="0" borderId="0" xfId="2" applyNumberFormat="1" applyFont="1" applyFill="1"/>
    <xf numFmtId="165" fontId="2" fillId="0" borderId="4" xfId="2" applyNumberFormat="1" applyFont="1" applyFill="1" applyBorder="1"/>
    <xf numFmtId="43" fontId="2" fillId="10" borderId="0" xfId="1" applyFont="1" applyFill="1"/>
    <xf numFmtId="43" fontId="2" fillId="11" borderId="0" xfId="1" applyFont="1" applyFill="1"/>
    <xf numFmtId="43" fontId="10" fillId="11" borderId="0" xfId="1" applyFont="1" applyFill="1"/>
    <xf numFmtId="43" fontId="2" fillId="12" borderId="0" xfId="1" applyFont="1" applyFill="1"/>
    <xf numFmtId="43" fontId="0" fillId="12" borderId="0" xfId="0" applyNumberFormat="1" applyFill="1"/>
    <xf numFmtId="43" fontId="0" fillId="9" borderId="0" xfId="0" applyNumberFormat="1" applyFill="1"/>
    <xf numFmtId="43" fontId="10" fillId="10" borderId="0" xfId="1" applyFont="1" applyFill="1"/>
    <xf numFmtId="0" fontId="6" fillId="0" borderId="1" xfId="0" applyFont="1" applyBorder="1" applyAlignment="1">
      <alignment wrapText="1"/>
    </xf>
    <xf numFmtId="0" fontId="6" fillId="0" borderId="1" xfId="0" applyFont="1" applyBorder="1" applyAlignment="1">
      <alignment horizontal="center" wrapText="1"/>
    </xf>
    <xf numFmtId="43" fontId="11" fillId="8" borderId="7" xfId="0" applyNumberFormat="1" applyFont="1" applyFill="1" applyBorder="1"/>
    <xf numFmtId="43" fontId="11" fillId="0" borderId="0" xfId="0" applyNumberFormat="1" applyFont="1"/>
    <xf numFmtId="0" fontId="6" fillId="0" borderId="0" xfId="0" applyFont="1" applyAlignment="1">
      <alignment horizontal="left"/>
    </xf>
    <xf numFmtId="43" fontId="12" fillId="0" borderId="0" xfId="1" applyFont="1" applyFill="1"/>
    <xf numFmtId="43" fontId="11" fillId="0" borderId="0" xfId="1" applyFont="1" applyFill="1" applyBorder="1"/>
    <xf numFmtId="43" fontId="0" fillId="0" borderId="0" xfId="0" applyNumberFormat="1" applyAlignment="1">
      <alignment horizontal="left"/>
    </xf>
    <xf numFmtId="43" fontId="6" fillId="8" borderId="1" xfId="1" applyFont="1" applyFill="1" applyBorder="1"/>
    <xf numFmtId="43" fontId="12" fillId="8" borderId="7" xfId="0" applyNumberFormat="1" applyFont="1" applyFill="1" applyBorder="1"/>
    <xf numFmtId="43" fontId="2" fillId="13" borderId="0" xfId="1" applyFont="1" applyFill="1"/>
    <xf numFmtId="43" fontId="2" fillId="5" borderId="3" xfId="1" applyFont="1" applyFill="1" applyBorder="1"/>
    <xf numFmtId="43" fontId="2" fillId="6" borderId="0" xfId="1" applyFont="1" applyFill="1"/>
    <xf numFmtId="43" fontId="2" fillId="6" borderId="3" xfId="1" applyFont="1" applyFill="1" applyBorder="1"/>
    <xf numFmtId="43" fontId="2" fillId="7" borderId="3" xfId="0" applyNumberFormat="1" applyFont="1" applyFill="1" applyBorder="1"/>
    <xf numFmtId="43" fontId="2" fillId="4" borderId="3" xfId="1" applyFont="1" applyFill="1" applyBorder="1"/>
    <xf numFmtId="43" fontId="2" fillId="14" borderId="0" xfId="1" applyFont="1" applyFill="1"/>
    <xf numFmtId="43" fontId="2" fillId="15" borderId="0" xfId="1" applyFont="1" applyFill="1"/>
    <xf numFmtId="43" fontId="2" fillId="16" borderId="0" xfId="1" applyFont="1" applyFill="1"/>
    <xf numFmtId="43" fontId="2" fillId="17" borderId="0" xfId="1" applyFont="1" applyFill="1"/>
    <xf numFmtId="164" fontId="0" fillId="0" borderId="0" xfId="14" applyNumberFormat="1" applyFont="1"/>
    <xf numFmtId="14" fontId="3" fillId="0" borderId="0" xfId="0" applyNumberFormat="1" applyFont="1" applyAlignment="1">
      <alignment horizontal="center"/>
    </xf>
    <xf numFmtId="0" fontId="6" fillId="0" borderId="0" xfId="0" applyFont="1" applyAlignment="1">
      <alignment horizontal="center"/>
    </xf>
    <xf numFmtId="167" fontId="6" fillId="0" borderId="0" xfId="0" applyNumberFormat="1" applyFont="1" applyAlignment="1">
      <alignment horizontal="center"/>
    </xf>
  </cellXfs>
  <cellStyles count="17">
    <cellStyle name="Comma" xfId="1" builtinId="3"/>
    <cellStyle name="Comma 2" xfId="2" xr:uid="{0885C243-0F5B-4DA5-8C5E-B27398FF2EE1}"/>
    <cellStyle name="Comma 2 2" xfId="3" xr:uid="{0537DB70-00A9-4482-9DA6-882B7F01E1D1}"/>
    <cellStyle name="Currency 2" xfId="4" xr:uid="{A8B9A0DE-6E4E-4171-84F8-AAB579324C3D}"/>
    <cellStyle name="Currency 2 2" xfId="5" xr:uid="{2C45531D-C6D4-404D-8340-FACA6925671B}"/>
    <cellStyle name="Normal" xfId="0" builtinId="0"/>
    <cellStyle name="Normal 2" xfId="6" xr:uid="{7CF0899A-2E33-4AB0-BC7A-E0396584F569}"/>
    <cellStyle name="Normal 2 2" xfId="7" xr:uid="{38A1BB06-4C28-45FF-8F0A-60036D70077D}"/>
    <cellStyle name="Normal 2_2236 GC WATER 2015 workpapers" xfId="8" xr:uid="{F41D6A66-AC8F-4454-A6B7-AC211F815B9B}"/>
    <cellStyle name="Normal 3" xfId="9" xr:uid="{E425C0A9-5C25-4221-AE73-0C1F473122AF}"/>
    <cellStyle name="Normal 4" xfId="10" xr:uid="{E2F749D5-0370-40BA-BEB8-FF72CB3124D0}"/>
    <cellStyle name="Normal 6" xfId="11" xr:uid="{C80F67D2-2E97-4B7C-856B-02940C89EEB7}"/>
    <cellStyle name="Normal 7" xfId="12" xr:uid="{632E57AB-9357-4D92-B012-058A869B0C3A}"/>
    <cellStyle name="Normal 8" xfId="13" xr:uid="{BEADE661-8624-4374-90DF-304DDA93D4CA}"/>
    <cellStyle name="Percent" xfId="14" builtinId="5"/>
    <cellStyle name="Percent 2" xfId="15" xr:uid="{DDE0FCF6-7711-4E3D-8176-88E964071C9F}"/>
    <cellStyle name="Percent 2 2" xfId="16" xr:uid="{69F406CB-7322-412E-9CA4-7CB70AEECB8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BCB240-7974-4317-A71B-AB9BE380D16A}">
  <dimension ref="A1:F25"/>
  <sheetViews>
    <sheetView workbookViewId="0">
      <selection activeCell="D12" sqref="D12"/>
    </sheetView>
  </sheetViews>
  <sheetFormatPr defaultRowHeight="12.75" x14ac:dyDescent="0.2"/>
  <cols>
    <col min="1" max="1" width="27.42578125" customWidth="1"/>
    <col min="3" max="4" width="13.140625" bestFit="1" customWidth="1"/>
    <col min="5" max="5" width="11" customWidth="1"/>
    <col min="6" max="6" width="9.7109375" customWidth="1"/>
  </cols>
  <sheetData>
    <row r="1" spans="1:6" x14ac:dyDescent="0.2">
      <c r="A1" t="s">
        <v>341</v>
      </c>
    </row>
    <row r="2" spans="1:6" x14ac:dyDescent="0.2">
      <c r="A2" t="s">
        <v>342</v>
      </c>
    </row>
    <row r="4" spans="1:6" x14ac:dyDescent="0.2">
      <c r="A4" t="s">
        <v>343</v>
      </c>
      <c r="C4" s="10">
        <v>2024</v>
      </c>
      <c r="D4" s="10">
        <v>2025</v>
      </c>
      <c r="E4" s="10" t="s">
        <v>167</v>
      </c>
      <c r="F4" s="10" t="s">
        <v>350</v>
      </c>
    </row>
    <row r="5" spans="1:6" x14ac:dyDescent="0.2">
      <c r="A5" t="s">
        <v>344</v>
      </c>
      <c r="C5" s="7">
        <v>1121957</v>
      </c>
      <c r="D5" s="7">
        <v>1198758</v>
      </c>
      <c r="E5" s="81">
        <f>D5-C5</f>
        <v>76801</v>
      </c>
      <c r="F5" s="128">
        <f>E5/C5</f>
        <v>6.8452712537111493E-2</v>
      </c>
    </row>
    <row r="6" spans="1:6" x14ac:dyDescent="0.2">
      <c r="A6" s="50" t="s">
        <v>345</v>
      </c>
      <c r="C6" s="7">
        <v>436637</v>
      </c>
      <c r="D6" s="7">
        <v>443637</v>
      </c>
      <c r="E6" s="81">
        <f t="shared" ref="E6:E11" si="0">D6-C6</f>
        <v>7000</v>
      </c>
      <c r="F6" s="128">
        <f t="shared" ref="F6:F11" si="1">E6/C6</f>
        <v>1.6031623522514124E-2</v>
      </c>
    </row>
    <row r="7" spans="1:6" x14ac:dyDescent="0.2">
      <c r="A7" s="50" t="s">
        <v>346</v>
      </c>
      <c r="C7" s="7">
        <v>76221</v>
      </c>
      <c r="D7" s="7">
        <v>89000</v>
      </c>
      <c r="E7" s="81">
        <f t="shared" si="0"/>
        <v>12779</v>
      </c>
      <c r="F7" s="128">
        <f t="shared" si="1"/>
        <v>0.1676572073313129</v>
      </c>
    </row>
    <row r="8" spans="1:6" x14ac:dyDescent="0.2">
      <c r="A8" s="50" t="s">
        <v>347</v>
      </c>
      <c r="C8" s="7">
        <v>574172</v>
      </c>
      <c r="D8" s="7">
        <v>580000</v>
      </c>
      <c r="E8" s="81">
        <f t="shared" si="0"/>
        <v>5828</v>
      </c>
      <c r="F8" s="128">
        <f t="shared" si="1"/>
        <v>1.0150268560640366E-2</v>
      </c>
    </row>
    <row r="9" spans="1:6" x14ac:dyDescent="0.2">
      <c r="A9" s="50" t="s">
        <v>122</v>
      </c>
      <c r="C9" s="7">
        <v>56606</v>
      </c>
      <c r="D9" s="7">
        <v>58306</v>
      </c>
      <c r="E9" s="81">
        <f t="shared" si="0"/>
        <v>1700</v>
      </c>
      <c r="F9" s="128">
        <f t="shared" si="1"/>
        <v>3.00321520686853E-2</v>
      </c>
    </row>
    <row r="10" spans="1:6" x14ac:dyDescent="0.2">
      <c r="A10" s="50" t="s">
        <v>348</v>
      </c>
      <c r="C10" s="7">
        <f>C11-C5-C6-C7-C8-C9</f>
        <v>417219</v>
      </c>
      <c r="D10" s="7">
        <f>C10*1.03</f>
        <v>429735.57</v>
      </c>
      <c r="E10" s="81">
        <f t="shared" si="0"/>
        <v>12516.570000000007</v>
      </c>
      <c r="F10" s="128">
        <f t="shared" si="1"/>
        <v>3.0000000000000016E-2</v>
      </c>
    </row>
    <row r="11" spans="1:6" x14ac:dyDescent="0.2">
      <c r="A11" s="50" t="s">
        <v>349</v>
      </c>
      <c r="C11" s="7">
        <v>2682812</v>
      </c>
      <c r="D11" s="7">
        <f>SUM(D5:D10)</f>
        <v>2799436.57</v>
      </c>
      <c r="E11" s="81">
        <f t="shared" si="0"/>
        <v>116624.56999999983</v>
      </c>
      <c r="F11" s="128">
        <f t="shared" si="1"/>
        <v>4.3471018468681309E-2</v>
      </c>
    </row>
    <row r="12" spans="1:6" x14ac:dyDescent="0.2">
      <c r="C12" s="7"/>
      <c r="D12" s="7"/>
    </row>
    <row r="13" spans="1:6" x14ac:dyDescent="0.2">
      <c r="C13" s="7"/>
      <c r="D13" s="7"/>
    </row>
    <row r="14" spans="1:6" x14ac:dyDescent="0.2">
      <c r="A14" s="50" t="s">
        <v>351</v>
      </c>
      <c r="C14" s="7">
        <v>73849</v>
      </c>
      <c r="D14" s="7">
        <v>76101</v>
      </c>
    </row>
    <row r="15" spans="1:6" x14ac:dyDescent="0.2">
      <c r="C15" s="7"/>
      <c r="D15" s="7"/>
    </row>
    <row r="16" spans="1:6" x14ac:dyDescent="0.2">
      <c r="A16" s="50" t="s">
        <v>352</v>
      </c>
      <c r="C16" s="7">
        <v>2524940.19</v>
      </c>
      <c r="D16" s="7">
        <f>C16*1.025</f>
        <v>2588063.6947499998</v>
      </c>
      <c r="E16" s="81">
        <f>D16-C16</f>
        <v>63123.504749999847</v>
      </c>
      <c r="F16" s="128">
        <f>E16/C16</f>
        <v>2.4999999999999939E-2</v>
      </c>
    </row>
    <row r="17" spans="3:4" x14ac:dyDescent="0.2">
      <c r="C17" s="7"/>
      <c r="D17" s="7"/>
    </row>
    <row r="18" spans="3:4" x14ac:dyDescent="0.2">
      <c r="C18" s="7"/>
      <c r="D18" s="7"/>
    </row>
    <row r="19" spans="3:4" x14ac:dyDescent="0.2">
      <c r="C19" s="7"/>
      <c r="D19" s="7"/>
    </row>
    <row r="20" spans="3:4" x14ac:dyDescent="0.2">
      <c r="C20" s="7"/>
      <c r="D20" s="7"/>
    </row>
    <row r="21" spans="3:4" x14ac:dyDescent="0.2">
      <c r="C21" s="7"/>
      <c r="D21" s="7"/>
    </row>
    <row r="22" spans="3:4" x14ac:dyDescent="0.2">
      <c r="C22" s="7"/>
      <c r="D22" s="7"/>
    </row>
    <row r="23" spans="3:4" x14ac:dyDescent="0.2">
      <c r="C23" s="7"/>
      <c r="D23" s="7"/>
    </row>
    <row r="24" spans="3:4" x14ac:dyDescent="0.2">
      <c r="C24" s="7"/>
      <c r="D24" s="7"/>
    </row>
    <row r="25" spans="3:4" x14ac:dyDescent="0.2">
      <c r="C25" s="7"/>
      <c r="D25" s="7"/>
    </row>
  </sheetData>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0377E8-8643-41AE-90EA-D37E5121E480}">
  <dimension ref="A1:D88"/>
  <sheetViews>
    <sheetView workbookViewId="0">
      <pane xSplit="1" ySplit="7" topLeftCell="B31" activePane="bottomRight" state="frozen"/>
      <selection activeCell="M70" sqref="M70"/>
      <selection pane="topRight" activeCell="M70" sqref="M70"/>
      <selection pane="bottomLeft" activeCell="M70" sqref="M70"/>
      <selection pane="bottomRight" activeCell="D47" sqref="D47"/>
    </sheetView>
  </sheetViews>
  <sheetFormatPr defaultRowHeight="12.75" x14ac:dyDescent="0.2"/>
  <cols>
    <col min="1" max="1" width="44.140625" bestFit="1" customWidth="1"/>
    <col min="2" max="2" width="14.7109375" bestFit="1" customWidth="1"/>
    <col min="3" max="3" width="14.28515625" customWidth="1"/>
    <col min="4" max="4" width="14" bestFit="1" customWidth="1"/>
  </cols>
  <sheetData>
    <row r="1" spans="1:4" x14ac:dyDescent="0.2">
      <c r="A1" s="3" t="s">
        <v>54</v>
      </c>
    </row>
    <row r="2" spans="1:4" x14ac:dyDescent="0.2">
      <c r="A2" s="3" t="s">
        <v>56</v>
      </c>
      <c r="C2" s="8"/>
    </row>
    <row r="3" spans="1:4" x14ac:dyDescent="0.2">
      <c r="A3" s="27" t="s">
        <v>278</v>
      </c>
      <c r="B3" s="8"/>
    </row>
    <row r="4" spans="1:4" x14ac:dyDescent="0.2">
      <c r="A4" s="1"/>
    </row>
    <row r="5" spans="1:4" x14ac:dyDescent="0.2">
      <c r="A5" s="1"/>
      <c r="B5" s="129">
        <v>45657</v>
      </c>
      <c r="C5" s="129"/>
    </row>
    <row r="6" spans="1:4" x14ac:dyDescent="0.2">
      <c r="B6" s="11" t="s">
        <v>57</v>
      </c>
      <c r="C6" s="11"/>
    </row>
    <row r="7" spans="1:4" x14ac:dyDescent="0.2">
      <c r="B7" s="6" t="s">
        <v>58</v>
      </c>
      <c r="C7" s="6" t="s">
        <v>59</v>
      </c>
    </row>
    <row r="8" spans="1:4" x14ac:dyDescent="0.2">
      <c r="A8" t="s">
        <v>60</v>
      </c>
      <c r="B8" s="9">
        <v>400</v>
      </c>
      <c r="C8" s="5"/>
    </row>
    <row r="9" spans="1:4" x14ac:dyDescent="0.2">
      <c r="A9" t="s">
        <v>61</v>
      </c>
      <c r="B9" s="9">
        <v>1515.02</v>
      </c>
      <c r="C9" s="5"/>
    </row>
    <row r="10" spans="1:4" x14ac:dyDescent="0.2">
      <c r="A10" s="50" t="s">
        <v>109</v>
      </c>
      <c r="B10" s="9">
        <v>72716.03</v>
      </c>
      <c r="C10" s="5"/>
    </row>
    <row r="11" spans="1:4" x14ac:dyDescent="0.2">
      <c r="A11" s="50" t="s">
        <v>110</v>
      </c>
      <c r="B11" s="9">
        <v>632074.66</v>
      </c>
      <c r="C11" s="5"/>
    </row>
    <row r="12" spans="1:4" x14ac:dyDescent="0.2">
      <c r="A12" t="s">
        <v>239</v>
      </c>
      <c r="B12" s="9">
        <v>16.45</v>
      </c>
      <c r="C12" s="5"/>
    </row>
    <row r="14" spans="1:4" x14ac:dyDescent="0.2">
      <c r="A14" t="s">
        <v>140</v>
      </c>
      <c r="B14" s="60">
        <v>4489332.95</v>
      </c>
      <c r="C14" s="5"/>
      <c r="D14" s="8"/>
    </row>
    <row r="16" spans="1:4" x14ac:dyDescent="0.2">
      <c r="A16" t="s">
        <v>63</v>
      </c>
      <c r="B16" s="84">
        <v>175880.28</v>
      </c>
      <c r="C16" s="5"/>
    </row>
    <row r="17" spans="1:4" x14ac:dyDescent="0.2">
      <c r="A17" t="s">
        <v>65</v>
      </c>
      <c r="B17" s="84">
        <v>-5639.75</v>
      </c>
      <c r="C17" s="5"/>
    </row>
    <row r="18" spans="1:4" x14ac:dyDescent="0.2">
      <c r="A18" t="s">
        <v>276</v>
      </c>
      <c r="B18" s="60">
        <v>0</v>
      </c>
      <c r="C18" s="5"/>
    </row>
    <row r="19" spans="1:4" x14ac:dyDescent="0.2">
      <c r="A19" t="s">
        <v>297</v>
      </c>
      <c r="B19" s="60">
        <v>500</v>
      </c>
      <c r="C19" s="5"/>
    </row>
    <row r="20" spans="1:4" x14ac:dyDescent="0.2">
      <c r="A20" s="50" t="s">
        <v>20</v>
      </c>
      <c r="B20" s="60">
        <v>353.88</v>
      </c>
      <c r="C20" s="5"/>
      <c r="D20" s="8"/>
    </row>
    <row r="21" spans="1:4" x14ac:dyDescent="0.2">
      <c r="A21" t="s">
        <v>66</v>
      </c>
      <c r="B21" s="104">
        <v>24614.48</v>
      </c>
      <c r="C21" s="5"/>
    </row>
    <row r="22" spans="1:4" x14ac:dyDescent="0.2">
      <c r="A22" s="50" t="s">
        <v>69</v>
      </c>
      <c r="B22" s="60">
        <v>26787.64</v>
      </c>
      <c r="C22" s="5"/>
      <c r="D22" s="5"/>
    </row>
    <row r="23" spans="1:4" x14ac:dyDescent="0.2">
      <c r="A23" s="51" t="s">
        <v>218</v>
      </c>
      <c r="B23" s="83">
        <v>0</v>
      </c>
      <c r="C23" s="5"/>
      <c r="D23" s="5"/>
    </row>
    <row r="24" spans="1:4" x14ac:dyDescent="0.2">
      <c r="A24" t="s">
        <v>70</v>
      </c>
      <c r="B24" s="98">
        <v>25632303.120000001</v>
      </c>
      <c r="C24" s="5"/>
      <c r="D24" s="5"/>
    </row>
    <row r="25" spans="1:4" x14ac:dyDescent="0.2">
      <c r="A25" t="s">
        <v>133</v>
      </c>
      <c r="B25" s="98">
        <v>-10806999.15</v>
      </c>
      <c r="C25" s="5"/>
    </row>
    <row r="26" spans="1:4" x14ac:dyDescent="0.2">
      <c r="A26" s="50" t="s">
        <v>21</v>
      </c>
      <c r="B26" s="24"/>
      <c r="C26" s="9">
        <v>1000</v>
      </c>
    </row>
    <row r="27" spans="1:4" ht="15.6" customHeight="1" x14ac:dyDescent="0.2">
      <c r="A27" t="s">
        <v>71</v>
      </c>
      <c r="B27" s="24"/>
      <c r="C27" s="102">
        <v>92666.74</v>
      </c>
    </row>
    <row r="28" spans="1:4" ht="12.6" customHeight="1" x14ac:dyDescent="0.2">
      <c r="A28" s="50" t="s">
        <v>219</v>
      </c>
      <c r="B28" s="24"/>
      <c r="C28" s="102">
        <v>69001.919999999998</v>
      </c>
    </row>
    <row r="29" spans="1:4" x14ac:dyDescent="0.2">
      <c r="A29" s="51" t="s">
        <v>0</v>
      </c>
      <c r="B29" s="24"/>
      <c r="C29" s="9">
        <v>36158.269999999997</v>
      </c>
    </row>
    <row r="30" spans="1:4" x14ac:dyDescent="0.2">
      <c r="A30" s="51" t="s">
        <v>2</v>
      </c>
      <c r="B30" s="24"/>
      <c r="C30" s="9">
        <v>22887.53</v>
      </c>
    </row>
    <row r="31" spans="1:4" x14ac:dyDescent="0.2">
      <c r="A31" t="s">
        <v>72</v>
      </c>
      <c r="B31" s="24"/>
      <c r="C31" s="9">
        <v>3868.71</v>
      </c>
      <c r="D31" s="8"/>
    </row>
    <row r="32" spans="1:4" x14ac:dyDescent="0.2">
      <c r="A32" t="s">
        <v>248</v>
      </c>
      <c r="B32" s="24"/>
      <c r="C32" s="9"/>
    </row>
    <row r="33" spans="1:4" x14ac:dyDescent="0.2">
      <c r="A33" t="s">
        <v>249</v>
      </c>
      <c r="B33" s="24"/>
      <c r="C33" s="9"/>
      <c r="D33" s="8"/>
    </row>
    <row r="34" spans="1:4" x14ac:dyDescent="0.2">
      <c r="A34" t="s">
        <v>298</v>
      </c>
      <c r="B34" s="24"/>
      <c r="C34" s="9">
        <v>1500</v>
      </c>
    </row>
    <row r="35" spans="1:4" x14ac:dyDescent="0.2">
      <c r="A35" t="s">
        <v>145</v>
      </c>
      <c r="B35" s="104">
        <v>0</v>
      </c>
      <c r="C35" s="9"/>
    </row>
    <row r="36" spans="1:4" x14ac:dyDescent="0.2">
      <c r="A36" s="50" t="s">
        <v>244</v>
      </c>
      <c r="B36" s="60"/>
      <c r="C36" s="9">
        <v>352.36</v>
      </c>
    </row>
    <row r="37" spans="1:4" x14ac:dyDescent="0.2">
      <c r="A37" s="51" t="s">
        <v>299</v>
      </c>
      <c r="B37" s="24"/>
      <c r="C37" s="102">
        <v>7.76</v>
      </c>
    </row>
    <row r="38" spans="1:4" x14ac:dyDescent="0.2">
      <c r="A38" s="50" t="s">
        <v>262</v>
      </c>
      <c r="B38" s="24"/>
      <c r="C38" s="60">
        <v>1365270.51</v>
      </c>
      <c r="D38" s="8"/>
    </row>
    <row r="39" spans="1:4" x14ac:dyDescent="0.2">
      <c r="A39" s="50" t="s">
        <v>263</v>
      </c>
      <c r="B39" s="24"/>
      <c r="C39" s="60">
        <v>2456300</v>
      </c>
      <c r="D39" s="8"/>
    </row>
    <row r="40" spans="1:4" x14ac:dyDescent="0.2">
      <c r="A40" t="s">
        <v>146</v>
      </c>
      <c r="B40" s="24"/>
      <c r="C40" s="60">
        <v>18275.5</v>
      </c>
      <c r="D40" s="8"/>
    </row>
    <row r="41" spans="1:4" x14ac:dyDescent="0.2">
      <c r="A41" t="s">
        <v>196</v>
      </c>
      <c r="B41" s="24"/>
      <c r="C41" s="101">
        <v>95000</v>
      </c>
    </row>
    <row r="42" spans="1:4" x14ac:dyDescent="0.2">
      <c r="A42" t="s">
        <v>53</v>
      </c>
      <c r="B42" s="24"/>
      <c r="C42" s="101">
        <v>53750</v>
      </c>
    </row>
    <row r="43" spans="1:4" x14ac:dyDescent="0.2">
      <c r="A43" t="s">
        <v>135</v>
      </c>
      <c r="B43" s="24"/>
      <c r="C43" s="101">
        <v>23750</v>
      </c>
    </row>
    <row r="44" spans="1:4" x14ac:dyDescent="0.2">
      <c r="A44" t="s">
        <v>134</v>
      </c>
      <c r="B44" s="24"/>
      <c r="C44" s="101">
        <v>5000</v>
      </c>
    </row>
    <row r="45" spans="1:4" x14ac:dyDescent="0.2">
      <c r="A45" t="s">
        <v>189</v>
      </c>
      <c r="B45" s="24"/>
      <c r="C45" s="101">
        <v>6250</v>
      </c>
    </row>
    <row r="46" spans="1:4" x14ac:dyDescent="0.2">
      <c r="A46" t="s">
        <v>198</v>
      </c>
      <c r="B46" s="24"/>
      <c r="C46" s="101">
        <v>16250</v>
      </c>
    </row>
    <row r="47" spans="1:4" x14ac:dyDescent="0.2">
      <c r="A47" t="s">
        <v>67</v>
      </c>
      <c r="B47" s="24"/>
      <c r="C47" s="101">
        <v>8750</v>
      </c>
    </row>
    <row r="48" spans="1:4" x14ac:dyDescent="0.2">
      <c r="A48" t="s">
        <v>68</v>
      </c>
      <c r="B48" s="24"/>
      <c r="C48" s="101">
        <v>8750</v>
      </c>
    </row>
    <row r="49" spans="1:4" x14ac:dyDescent="0.2">
      <c r="A49" s="50" t="s">
        <v>16</v>
      </c>
      <c r="B49" s="24"/>
      <c r="C49" s="101">
        <v>6250</v>
      </c>
    </row>
    <row r="50" spans="1:4" x14ac:dyDescent="0.2">
      <c r="A50" t="s">
        <v>74</v>
      </c>
      <c r="B50" s="24"/>
      <c r="C50" s="101">
        <v>7425149.0700000003</v>
      </c>
      <c r="D50" s="8"/>
    </row>
    <row r="51" spans="1:4" x14ac:dyDescent="0.2">
      <c r="A51" s="50" t="s">
        <v>251</v>
      </c>
      <c r="B51" s="24"/>
      <c r="C51" s="101">
        <v>2299</v>
      </c>
    </row>
    <row r="52" spans="1:4" x14ac:dyDescent="0.2">
      <c r="A52" t="s">
        <v>76</v>
      </c>
      <c r="B52" s="24"/>
      <c r="C52" s="101">
        <v>2813000</v>
      </c>
    </row>
    <row r="53" spans="1:4" x14ac:dyDescent="0.2">
      <c r="A53" t="s">
        <v>136</v>
      </c>
      <c r="B53" s="24"/>
      <c r="C53" s="101">
        <v>30062.16</v>
      </c>
    </row>
    <row r="54" spans="1:4" x14ac:dyDescent="0.2">
      <c r="A54" t="s">
        <v>194</v>
      </c>
      <c r="B54" s="24"/>
      <c r="C54" s="101">
        <v>282000</v>
      </c>
    </row>
    <row r="55" spans="1:4" x14ac:dyDescent="0.2">
      <c r="A55" t="s">
        <v>192</v>
      </c>
      <c r="B55" s="24"/>
      <c r="C55" s="101">
        <v>110000</v>
      </c>
    </row>
    <row r="56" spans="1:4" x14ac:dyDescent="0.2">
      <c r="A56" t="s">
        <v>197</v>
      </c>
      <c r="B56" s="24"/>
      <c r="C56" s="101">
        <v>299000</v>
      </c>
    </row>
    <row r="57" spans="1:4" x14ac:dyDescent="0.2">
      <c r="A57" s="50" t="s">
        <v>261</v>
      </c>
      <c r="B57" s="24"/>
      <c r="C57" s="101">
        <v>771043</v>
      </c>
    </row>
    <row r="58" spans="1:4" x14ac:dyDescent="0.2">
      <c r="A58" s="50" t="s">
        <v>220</v>
      </c>
      <c r="B58" s="24"/>
      <c r="C58" s="101">
        <v>88540</v>
      </c>
    </row>
    <row r="59" spans="1:4" x14ac:dyDescent="0.2">
      <c r="A59" t="s">
        <v>75</v>
      </c>
      <c r="B59" s="24"/>
      <c r="C59" s="101">
        <v>4002659.53</v>
      </c>
    </row>
    <row r="60" spans="1:4" x14ac:dyDescent="0.2">
      <c r="A60" t="s">
        <v>77</v>
      </c>
      <c r="B60" s="24"/>
      <c r="C60" s="101">
        <f>INCOME!C97</f>
        <v>199279.05000000028</v>
      </c>
    </row>
    <row r="61" spans="1:4" ht="25.5" x14ac:dyDescent="0.2">
      <c r="A61" s="51" t="s">
        <v>250</v>
      </c>
      <c r="B61" s="24"/>
      <c r="C61" s="107"/>
    </row>
    <row r="62" spans="1:4" ht="25.5" x14ac:dyDescent="0.2">
      <c r="A62" s="51" t="s">
        <v>264</v>
      </c>
      <c r="B62" s="24"/>
      <c r="C62" s="107">
        <v>6434</v>
      </c>
    </row>
    <row r="63" spans="1:4" ht="25.5" x14ac:dyDescent="0.2">
      <c r="A63" s="51" t="s">
        <v>265</v>
      </c>
      <c r="B63" s="24"/>
      <c r="C63" s="107"/>
    </row>
    <row r="64" spans="1:4" ht="25.5" x14ac:dyDescent="0.2">
      <c r="A64" s="51" t="s">
        <v>252</v>
      </c>
      <c r="B64" s="24"/>
      <c r="C64" s="107" t="e">
        <f>-#REF!</f>
        <v>#REF!</v>
      </c>
    </row>
    <row r="65" spans="1:3" ht="25.5" x14ac:dyDescent="0.2">
      <c r="A65" s="51" t="s">
        <v>266</v>
      </c>
      <c r="B65" s="24"/>
      <c r="C65" s="107"/>
    </row>
    <row r="66" spans="1:3" x14ac:dyDescent="0.2">
      <c r="A66" s="50"/>
      <c r="C66" s="5"/>
    </row>
    <row r="67" spans="1:3" x14ac:dyDescent="0.2">
      <c r="B67" s="24"/>
      <c r="C67" s="5"/>
    </row>
    <row r="68" spans="1:3" x14ac:dyDescent="0.2">
      <c r="B68" s="24">
        <f>SUM(B8:B67)</f>
        <v>20243855.609999999</v>
      </c>
      <c r="C68" s="5" t="e">
        <f>SUM(C8:C67)</f>
        <v>#REF!</v>
      </c>
    </row>
    <row r="69" spans="1:3" x14ac:dyDescent="0.2">
      <c r="B69" s="5"/>
      <c r="C69" s="5">
        <f>+B68</f>
        <v>20243855.609999999</v>
      </c>
    </row>
    <row r="70" spans="1:3" x14ac:dyDescent="0.2">
      <c r="B70" s="24"/>
      <c r="C70" s="5" t="e">
        <f>C68-C69</f>
        <v>#REF!</v>
      </c>
    </row>
    <row r="71" spans="1:3" x14ac:dyDescent="0.2">
      <c r="B71" s="24"/>
      <c r="C71" s="5" t="e">
        <f>C70/2</f>
        <v>#REF!</v>
      </c>
    </row>
    <row r="72" spans="1:3" x14ac:dyDescent="0.2">
      <c r="A72" s="50" t="s">
        <v>228</v>
      </c>
      <c r="C72" s="5"/>
    </row>
    <row r="73" spans="1:3" x14ac:dyDescent="0.2">
      <c r="A73" s="50" t="s">
        <v>232</v>
      </c>
      <c r="B73" s="106">
        <f>SUM(B16:B17)</f>
        <v>170240.53</v>
      </c>
      <c r="C73" s="5"/>
    </row>
    <row r="74" spans="1:3" x14ac:dyDescent="0.2">
      <c r="A74" s="50" t="s">
        <v>230</v>
      </c>
      <c r="B74" s="105">
        <f>B21+B35</f>
        <v>24614.48</v>
      </c>
      <c r="C74" s="5"/>
    </row>
    <row r="75" spans="1:3" x14ac:dyDescent="0.2">
      <c r="A75" s="50" t="s">
        <v>231</v>
      </c>
      <c r="B75" s="97">
        <f>SUM(B23:B25)</f>
        <v>14825303.970000001</v>
      </c>
      <c r="C75" s="5"/>
    </row>
    <row r="76" spans="1:3" x14ac:dyDescent="0.2">
      <c r="A76" s="50" t="s">
        <v>229</v>
      </c>
      <c r="C76" s="103">
        <f>+C27+C28+C37</f>
        <v>161676.42000000001</v>
      </c>
    </row>
    <row r="77" spans="1:3" x14ac:dyDescent="0.2">
      <c r="A77" s="50" t="s">
        <v>233</v>
      </c>
      <c r="B77" s="24"/>
      <c r="C77" s="107" t="e">
        <f>SUM(C41:C65)</f>
        <v>#REF!</v>
      </c>
    </row>
    <row r="78" spans="1:3" x14ac:dyDescent="0.2">
      <c r="B78" s="24"/>
      <c r="C78" s="5"/>
    </row>
    <row r="79" spans="1:3" x14ac:dyDescent="0.2">
      <c r="B79" s="24"/>
      <c r="C79" s="5"/>
    </row>
    <row r="80" spans="1:3" x14ac:dyDescent="0.2">
      <c r="B80" s="24"/>
      <c r="C80" s="5"/>
    </row>
    <row r="81" spans="2:3" x14ac:dyDescent="0.2">
      <c r="B81" s="24"/>
      <c r="C81" s="5"/>
    </row>
    <row r="82" spans="2:3" x14ac:dyDescent="0.2">
      <c r="B82" s="24"/>
      <c r="C82" s="5"/>
    </row>
    <row r="83" spans="2:3" x14ac:dyDescent="0.2">
      <c r="B83" s="24"/>
      <c r="C83" s="5"/>
    </row>
    <row r="84" spans="2:3" x14ac:dyDescent="0.2">
      <c r="B84" s="24"/>
      <c r="C84" s="5"/>
    </row>
    <row r="85" spans="2:3" x14ac:dyDescent="0.2">
      <c r="B85" s="24"/>
      <c r="C85" s="5"/>
    </row>
    <row r="86" spans="2:3" x14ac:dyDescent="0.2">
      <c r="B86" s="24"/>
      <c r="C86" s="5"/>
    </row>
    <row r="87" spans="2:3" x14ac:dyDescent="0.2">
      <c r="B87" s="24"/>
      <c r="C87" s="5"/>
    </row>
    <row r="88" spans="2:3" x14ac:dyDescent="0.2">
      <c r="B88" s="24"/>
      <c r="C88" s="5"/>
    </row>
  </sheetData>
  <mergeCells count="1">
    <mergeCell ref="B5:C5"/>
  </mergeCells>
  <phoneticPr fontId="0" type="noConversion"/>
  <printOptions gridLines="1" gridLinesSet="0"/>
  <pageMargins left="0.25" right="0" top="0" bottom="0.5" header="0" footer="0"/>
  <pageSetup scale="70" orientation="portrait" r:id="rId1"/>
  <headerFooter alignWithMargins="0">
    <oddFooter>&amp;L&amp;D  &amp;T&amp;C&amp;F&amp;R&amp;A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09617D-39EA-481C-96C1-2DFA0A478B8A}">
  <sheetPr>
    <pageSetUpPr fitToPage="1"/>
  </sheetPr>
  <dimension ref="A1:J113"/>
  <sheetViews>
    <sheetView zoomScaleNormal="100" workbookViewId="0">
      <pane xSplit="1" ySplit="7" topLeftCell="B20" activePane="bottomRight" state="frozen"/>
      <selection activeCell="M70" sqref="M70"/>
      <selection pane="topRight" activeCell="M70" sqref="M70"/>
      <selection pane="bottomLeft" activeCell="M70" sqref="M70"/>
      <selection pane="bottomRight" activeCell="M70" sqref="M70"/>
    </sheetView>
  </sheetViews>
  <sheetFormatPr defaultRowHeight="12.75" x14ac:dyDescent="0.2"/>
  <cols>
    <col min="1" max="1" width="51.140625" bestFit="1" customWidth="1"/>
    <col min="2" max="2" width="13.7109375" style="50" bestFit="1" customWidth="1"/>
    <col min="3" max="3" width="14.7109375" style="50" customWidth="1"/>
    <col min="4" max="4" width="13.28515625" style="50" bestFit="1" customWidth="1"/>
    <col min="5" max="5" width="14.42578125" style="24" customWidth="1"/>
    <col min="6" max="6" width="13.5703125" style="5" customWidth="1"/>
    <col min="7" max="7" width="10.85546875" style="12" bestFit="1" customWidth="1"/>
    <col min="8" max="8" width="97.28515625" customWidth="1"/>
    <col min="10" max="10" width="9.42578125" bestFit="1" customWidth="1"/>
  </cols>
  <sheetData>
    <row r="1" spans="1:8" x14ac:dyDescent="0.2">
      <c r="A1" s="3" t="s">
        <v>54</v>
      </c>
    </row>
    <row r="2" spans="1:8" x14ac:dyDescent="0.2">
      <c r="A2" s="3" t="s">
        <v>78</v>
      </c>
      <c r="B2" s="60"/>
    </row>
    <row r="3" spans="1:8" x14ac:dyDescent="0.2">
      <c r="A3" s="4" t="str">
        <f>WTB!A3</f>
        <v>12/31/2024</v>
      </c>
      <c r="B3" s="60"/>
      <c r="C3" s="60"/>
      <c r="H3" s="8"/>
    </row>
    <row r="4" spans="1:8" x14ac:dyDescent="0.2">
      <c r="A4" s="1"/>
      <c r="C4" s="60"/>
    </row>
    <row r="5" spans="1:8" x14ac:dyDescent="0.2">
      <c r="A5" s="1"/>
      <c r="C5" s="60"/>
    </row>
    <row r="6" spans="1:8" x14ac:dyDescent="0.2">
      <c r="B6" s="65" t="s">
        <v>57</v>
      </c>
      <c r="C6" s="65"/>
      <c r="D6" s="54" t="s">
        <v>225</v>
      </c>
      <c r="E6" s="24" t="s">
        <v>79</v>
      </c>
      <c r="F6" s="5" t="s">
        <v>80</v>
      </c>
      <c r="G6" s="12" t="s">
        <v>81</v>
      </c>
    </row>
    <row r="7" spans="1:8" x14ac:dyDescent="0.2">
      <c r="B7" s="6" t="s">
        <v>82</v>
      </c>
      <c r="C7" s="6" t="s">
        <v>59</v>
      </c>
      <c r="D7" s="6" t="s">
        <v>226</v>
      </c>
      <c r="E7" s="24" t="s">
        <v>83</v>
      </c>
      <c r="F7" s="5" t="s">
        <v>84</v>
      </c>
      <c r="G7" s="12" t="s">
        <v>85</v>
      </c>
      <c r="H7" s="14" t="s">
        <v>86</v>
      </c>
    </row>
    <row r="8" spans="1:8" x14ac:dyDescent="0.2">
      <c r="A8" t="s">
        <v>87</v>
      </c>
      <c r="B8" s="60"/>
      <c r="C8" s="60"/>
      <c r="E8" s="52"/>
      <c r="H8" s="16"/>
    </row>
    <row r="9" spans="1:8" x14ac:dyDescent="0.2">
      <c r="A9" t="s">
        <v>88</v>
      </c>
      <c r="B9" s="60"/>
      <c r="C9" s="60">
        <v>2523685.8199999998</v>
      </c>
      <c r="D9" s="112" t="s">
        <v>89</v>
      </c>
      <c r="E9" s="60">
        <v>2440033.15</v>
      </c>
      <c r="F9" s="5">
        <f t="shared" ref="F9:F14" si="0">C9-E9</f>
        <v>83652.669999999925</v>
      </c>
      <c r="G9" s="12">
        <f>F9/E9</f>
        <v>3.4283415370811636E-2</v>
      </c>
      <c r="H9" s="51" t="s">
        <v>339</v>
      </c>
    </row>
    <row r="10" spans="1:8" x14ac:dyDescent="0.2">
      <c r="A10" t="s">
        <v>90</v>
      </c>
      <c r="B10" s="60"/>
      <c r="C10" s="60">
        <v>154.37</v>
      </c>
      <c r="D10" s="112" t="s">
        <v>89</v>
      </c>
      <c r="E10" s="60">
        <v>485.02</v>
      </c>
      <c r="F10" s="5">
        <f t="shared" si="0"/>
        <v>-330.65</v>
      </c>
      <c r="G10" s="12">
        <f t="shared" ref="G10:G37" si="1">F10/E10</f>
        <v>-0.68172446497051664</v>
      </c>
      <c r="H10" s="51"/>
    </row>
    <row r="11" spans="1:8" ht="25.5" x14ac:dyDescent="0.2">
      <c r="A11" t="s">
        <v>91</v>
      </c>
      <c r="B11" s="60"/>
      <c r="C11" s="84">
        <v>26107.31</v>
      </c>
      <c r="D11" s="112" t="s">
        <v>89</v>
      </c>
      <c r="E11" s="84">
        <v>24097.78</v>
      </c>
      <c r="F11" s="5">
        <f t="shared" si="0"/>
        <v>2009.5300000000025</v>
      </c>
      <c r="G11" s="12">
        <f t="shared" si="1"/>
        <v>8.3390669181974547E-2</v>
      </c>
      <c r="H11" s="51" t="s">
        <v>333</v>
      </c>
    </row>
    <row r="12" spans="1:8" x14ac:dyDescent="0.2">
      <c r="A12" t="s">
        <v>92</v>
      </c>
      <c r="B12" s="60"/>
      <c r="C12" s="60">
        <v>1100</v>
      </c>
      <c r="D12" s="112" t="s">
        <v>89</v>
      </c>
      <c r="E12" s="60">
        <v>1100</v>
      </c>
      <c r="F12" s="5">
        <f t="shared" si="0"/>
        <v>0</v>
      </c>
      <c r="G12" s="12">
        <f t="shared" si="1"/>
        <v>0</v>
      </c>
      <c r="H12" s="51"/>
    </row>
    <row r="13" spans="1:8" x14ac:dyDescent="0.2">
      <c r="A13" t="s">
        <v>93</v>
      </c>
      <c r="B13" s="60"/>
      <c r="C13" s="101">
        <v>675</v>
      </c>
      <c r="D13" s="112" t="s">
        <v>89</v>
      </c>
      <c r="E13" s="101">
        <v>1055</v>
      </c>
      <c r="F13" s="5">
        <f t="shared" si="0"/>
        <v>-380</v>
      </c>
      <c r="G13" s="12">
        <f t="shared" si="1"/>
        <v>-0.36018957345971564</v>
      </c>
      <c r="H13" s="51"/>
    </row>
    <row r="14" spans="1:8" x14ac:dyDescent="0.2">
      <c r="A14" t="s">
        <v>94</v>
      </c>
      <c r="B14" s="60"/>
      <c r="C14" s="101">
        <v>675</v>
      </c>
      <c r="D14" s="112" t="s">
        <v>89</v>
      </c>
      <c r="E14" s="101">
        <v>430</v>
      </c>
      <c r="F14" s="5">
        <f t="shared" si="0"/>
        <v>245</v>
      </c>
      <c r="G14" s="12">
        <f t="shared" si="1"/>
        <v>0.56976744186046513</v>
      </c>
      <c r="H14" s="50"/>
    </row>
    <row r="15" spans="1:8" ht="38.25" x14ac:dyDescent="0.2">
      <c r="A15" t="s">
        <v>96</v>
      </c>
      <c r="B15" s="60"/>
      <c r="C15" s="84">
        <v>23988.639999999999</v>
      </c>
      <c r="D15" s="15" t="s">
        <v>89</v>
      </c>
      <c r="E15" s="84">
        <v>24620.2</v>
      </c>
      <c r="F15" s="5">
        <f>C15-E15</f>
        <v>-631.56000000000131</v>
      </c>
      <c r="G15" s="12">
        <f t="shared" si="1"/>
        <v>-2.5652106806606009E-2</v>
      </c>
      <c r="H15" s="51" t="s">
        <v>332</v>
      </c>
    </row>
    <row r="16" spans="1:8" x14ac:dyDescent="0.2">
      <c r="A16" s="50" t="s">
        <v>185</v>
      </c>
      <c r="B16" s="60"/>
      <c r="C16" s="60">
        <v>2763.55</v>
      </c>
      <c r="D16" s="112" t="s">
        <v>260</v>
      </c>
      <c r="E16" s="60">
        <v>20000</v>
      </c>
      <c r="F16" s="5">
        <f>C16-E16</f>
        <v>-17236.45</v>
      </c>
      <c r="H16" s="50"/>
    </row>
    <row r="17" spans="1:8" x14ac:dyDescent="0.2">
      <c r="A17" s="50" t="s">
        <v>267</v>
      </c>
      <c r="B17" s="60"/>
      <c r="C17" s="60"/>
      <c r="D17" s="112"/>
      <c r="E17" s="60">
        <v>-21900</v>
      </c>
      <c r="F17" s="5">
        <f>B17-E17</f>
        <v>21900</v>
      </c>
      <c r="H17" s="50" t="s">
        <v>300</v>
      </c>
    </row>
    <row r="18" spans="1:8" x14ac:dyDescent="0.2">
      <c r="A18" t="s">
        <v>97</v>
      </c>
      <c r="B18" s="60"/>
      <c r="C18" s="60">
        <v>701.73</v>
      </c>
      <c r="D18" s="112" t="s">
        <v>19</v>
      </c>
      <c r="E18" s="60">
        <v>410.29</v>
      </c>
      <c r="F18" s="5">
        <f>C18-E18</f>
        <v>291.44</v>
      </c>
      <c r="G18" s="12">
        <f t="shared" si="1"/>
        <v>0.710326841989812</v>
      </c>
      <c r="H18" s="51"/>
    </row>
    <row r="19" spans="1:8" x14ac:dyDescent="0.2">
      <c r="A19" t="s">
        <v>204</v>
      </c>
      <c r="B19" s="60"/>
      <c r="C19" s="60">
        <v>17298.23</v>
      </c>
      <c r="D19" s="15" t="s">
        <v>7</v>
      </c>
      <c r="E19" s="60">
        <v>16729.650000000001</v>
      </c>
      <c r="F19" s="5">
        <f>C19-E19</f>
        <v>568.57999999999811</v>
      </c>
      <c r="G19" s="12">
        <f t="shared" si="1"/>
        <v>3.3986365524682108E-2</v>
      </c>
      <c r="H19" s="51"/>
    </row>
    <row r="20" spans="1:8" x14ac:dyDescent="0.2">
      <c r="A20" t="s">
        <v>98</v>
      </c>
      <c r="B20" s="60"/>
      <c r="C20" s="84">
        <v>34965.199999999997</v>
      </c>
      <c r="D20" s="15" t="s">
        <v>89</v>
      </c>
      <c r="E20" s="84">
        <v>37279.089999999997</v>
      </c>
      <c r="F20" s="5">
        <f>C20-E20</f>
        <v>-2313.8899999999994</v>
      </c>
      <c r="G20" s="12">
        <f t="shared" si="1"/>
        <v>-6.2069379912438841E-2</v>
      </c>
      <c r="H20" s="51" t="s">
        <v>330</v>
      </c>
    </row>
    <row r="21" spans="1:8" x14ac:dyDescent="0.2">
      <c r="A21" t="s">
        <v>99</v>
      </c>
      <c r="B21" s="60"/>
      <c r="C21" s="84">
        <v>1238.51</v>
      </c>
      <c r="D21" s="15" t="s">
        <v>89</v>
      </c>
      <c r="E21" s="84">
        <v>1052.8</v>
      </c>
      <c r="F21" s="5">
        <f t="shared" ref="F21:F37" si="2">C21-E21</f>
        <v>185.71000000000004</v>
      </c>
      <c r="G21" s="12">
        <f t="shared" si="1"/>
        <v>0.17639627659574472</v>
      </c>
      <c r="H21" s="50"/>
    </row>
    <row r="22" spans="1:8" ht="12.6" customHeight="1" x14ac:dyDescent="0.2">
      <c r="A22" t="s">
        <v>205</v>
      </c>
      <c r="B22" s="60"/>
      <c r="C22" s="60">
        <v>76649.5</v>
      </c>
      <c r="D22" s="15" t="s">
        <v>227</v>
      </c>
      <c r="E22" s="60">
        <v>103915.25</v>
      </c>
      <c r="F22" s="5">
        <f t="shared" si="2"/>
        <v>-27265.75</v>
      </c>
      <c r="G22" s="12">
        <f t="shared" si="1"/>
        <v>-0.26238449120797958</v>
      </c>
      <c r="H22" s="51" t="s">
        <v>331</v>
      </c>
    </row>
    <row r="23" spans="1:8" hidden="1" x14ac:dyDescent="0.2">
      <c r="A23" s="50" t="s">
        <v>47</v>
      </c>
      <c r="B23" s="60"/>
      <c r="C23" s="60"/>
      <c r="E23" s="60"/>
      <c r="F23" s="5">
        <f t="shared" si="2"/>
        <v>0</v>
      </c>
      <c r="G23" s="12" t="e">
        <f t="shared" si="1"/>
        <v>#DIV/0!</v>
      </c>
      <c r="H23" s="51" t="s">
        <v>221</v>
      </c>
    </row>
    <row r="24" spans="1:8" x14ac:dyDescent="0.2">
      <c r="A24" s="50" t="s">
        <v>261</v>
      </c>
      <c r="B24" s="60"/>
      <c r="C24" s="60"/>
      <c r="D24" s="15"/>
      <c r="E24" s="60">
        <v>771043</v>
      </c>
      <c r="F24" s="5">
        <f t="shared" si="2"/>
        <v>-771043</v>
      </c>
      <c r="H24" s="51"/>
    </row>
    <row r="25" spans="1:8" x14ac:dyDescent="0.2">
      <c r="A25" t="s">
        <v>206</v>
      </c>
      <c r="B25" s="60"/>
      <c r="C25" s="60">
        <v>-6434</v>
      </c>
      <c r="D25" s="15" t="s">
        <v>43</v>
      </c>
      <c r="E25" s="60">
        <v>-10801.36</v>
      </c>
      <c r="F25" s="5">
        <f t="shared" si="2"/>
        <v>4367.3600000000006</v>
      </c>
      <c r="H25" s="51" t="s">
        <v>307</v>
      </c>
    </row>
    <row r="26" spans="1:8" ht="25.5" x14ac:dyDescent="0.2">
      <c r="A26" s="50" t="s">
        <v>268</v>
      </c>
      <c r="B26" s="60"/>
      <c r="C26" s="60"/>
      <c r="D26" s="15"/>
      <c r="E26" s="60">
        <v>225002.56</v>
      </c>
      <c r="H26" s="51" t="s">
        <v>275</v>
      </c>
    </row>
    <row r="27" spans="1:8" ht="38.25" x14ac:dyDescent="0.2">
      <c r="A27" t="s">
        <v>95</v>
      </c>
      <c r="B27" s="60"/>
      <c r="C27" s="102">
        <v>192008.88</v>
      </c>
      <c r="D27" s="15" t="s">
        <v>62</v>
      </c>
      <c r="E27" s="102">
        <v>124684.7</v>
      </c>
      <c r="F27" s="5">
        <f t="shared" si="2"/>
        <v>67324.180000000008</v>
      </c>
      <c r="G27" s="12">
        <f t="shared" si="1"/>
        <v>0.53995542356038884</v>
      </c>
      <c r="H27" s="51" t="s">
        <v>327</v>
      </c>
    </row>
    <row r="28" spans="1:8" x14ac:dyDescent="0.2">
      <c r="A28" s="50" t="s">
        <v>23</v>
      </c>
      <c r="B28" s="60"/>
      <c r="C28" s="102">
        <v>-32.08</v>
      </c>
      <c r="D28" s="15" t="s">
        <v>62</v>
      </c>
      <c r="E28" s="102">
        <v>314.08999999999997</v>
      </c>
      <c r="F28" s="5">
        <f t="shared" si="2"/>
        <v>-346.16999999999996</v>
      </c>
      <c r="G28" s="12">
        <f t="shared" si="1"/>
        <v>-1.1021363303511731</v>
      </c>
      <c r="H28" s="51"/>
    </row>
    <row r="29" spans="1:8" x14ac:dyDescent="0.2">
      <c r="A29" s="50" t="s">
        <v>24</v>
      </c>
      <c r="B29" s="60"/>
      <c r="C29" s="102">
        <v>6325.75</v>
      </c>
      <c r="D29" s="15" t="s">
        <v>62</v>
      </c>
      <c r="E29" s="102">
        <v>2697.72</v>
      </c>
      <c r="F29" s="5">
        <f t="shared" si="2"/>
        <v>3628.03</v>
      </c>
      <c r="G29" s="12">
        <f t="shared" si="1"/>
        <v>1.3448504663197072</v>
      </c>
      <c r="H29" s="51"/>
    </row>
    <row r="30" spans="1:8" x14ac:dyDescent="0.2">
      <c r="A30" s="50" t="s">
        <v>308</v>
      </c>
      <c r="B30" s="60"/>
      <c r="C30" s="102">
        <v>-279.95999999999998</v>
      </c>
      <c r="D30" s="15" t="s">
        <v>62</v>
      </c>
      <c r="E30" s="102"/>
      <c r="F30" s="5">
        <f t="shared" si="2"/>
        <v>-279.95999999999998</v>
      </c>
      <c r="H30" s="51" t="s">
        <v>329</v>
      </c>
    </row>
    <row r="31" spans="1:8" x14ac:dyDescent="0.2">
      <c r="A31" s="50" t="s">
        <v>25</v>
      </c>
      <c r="B31" s="60"/>
      <c r="C31" s="102">
        <v>21303.73</v>
      </c>
      <c r="D31" s="15" t="s">
        <v>62</v>
      </c>
      <c r="E31" s="102">
        <v>19796.240000000002</v>
      </c>
      <c r="F31" s="5">
        <f t="shared" si="2"/>
        <v>1507.489999999998</v>
      </c>
      <c r="G31" s="12">
        <f t="shared" si="1"/>
        <v>7.6150319454603391E-2</v>
      </c>
      <c r="H31" s="50" t="s">
        <v>328</v>
      </c>
    </row>
    <row r="32" spans="1:8" x14ac:dyDescent="0.2">
      <c r="A32" s="50" t="s">
        <v>40</v>
      </c>
      <c r="B32" s="126">
        <v>2867.32</v>
      </c>
      <c r="C32" s="60"/>
      <c r="E32" s="60">
        <v>-2631.82</v>
      </c>
      <c r="F32" s="5">
        <f>B32+E32</f>
        <v>235.5</v>
      </c>
      <c r="G32" s="12">
        <f>-F32/E32</f>
        <v>8.9481803466802429E-2</v>
      </c>
      <c r="H32" s="51" t="s">
        <v>269</v>
      </c>
    </row>
    <row r="33" spans="1:8" x14ac:dyDescent="0.2">
      <c r="A33" s="50" t="s">
        <v>309</v>
      </c>
      <c r="B33" s="126">
        <v>1510.29</v>
      </c>
      <c r="C33" s="60"/>
      <c r="E33" s="60">
        <v>0</v>
      </c>
      <c r="F33" s="5">
        <f>B33+E33</f>
        <v>1510.29</v>
      </c>
      <c r="H33" s="51" t="s">
        <v>310</v>
      </c>
    </row>
    <row r="34" spans="1:8" x14ac:dyDescent="0.2">
      <c r="A34" s="50" t="s">
        <v>137</v>
      </c>
      <c r="B34" s="60"/>
      <c r="C34" s="102">
        <v>19203.55</v>
      </c>
      <c r="D34" s="15" t="s">
        <v>62</v>
      </c>
      <c r="E34" s="102">
        <v>8745.58</v>
      </c>
      <c r="F34" s="5">
        <f t="shared" si="2"/>
        <v>10457.969999999999</v>
      </c>
      <c r="G34" s="12">
        <f t="shared" si="1"/>
        <v>1.195800621571125</v>
      </c>
      <c r="H34" s="50"/>
    </row>
    <row r="35" spans="1:8" x14ac:dyDescent="0.2">
      <c r="A35" s="50" t="s">
        <v>138</v>
      </c>
      <c r="B35" s="60"/>
      <c r="C35" s="102">
        <v>-916.19</v>
      </c>
      <c r="D35" s="15" t="s">
        <v>62</v>
      </c>
      <c r="E35" s="102">
        <v>18885.419999999998</v>
      </c>
      <c r="F35" s="5">
        <f t="shared" si="2"/>
        <v>-19801.609999999997</v>
      </c>
      <c r="G35" s="12">
        <f t="shared" si="1"/>
        <v>-1.0485130857561018</v>
      </c>
      <c r="H35" s="50"/>
    </row>
    <row r="36" spans="1:8" x14ac:dyDescent="0.2">
      <c r="A36" s="50" t="s">
        <v>41</v>
      </c>
      <c r="B36" s="60"/>
      <c r="C36" s="102">
        <v>13135.29</v>
      </c>
      <c r="D36" s="15" t="s">
        <v>62</v>
      </c>
      <c r="E36" s="102"/>
      <c r="F36" s="5">
        <f t="shared" si="2"/>
        <v>13135.29</v>
      </c>
      <c r="H36" s="50" t="s">
        <v>270</v>
      </c>
    </row>
    <row r="37" spans="1:8" x14ac:dyDescent="0.2">
      <c r="A37" s="50" t="s">
        <v>42</v>
      </c>
      <c r="B37" s="60"/>
      <c r="C37" s="60">
        <v>6000</v>
      </c>
      <c r="D37" s="51"/>
      <c r="E37" s="60">
        <v>6000</v>
      </c>
      <c r="F37" s="5">
        <f t="shared" si="2"/>
        <v>0</v>
      </c>
      <c r="G37" s="12">
        <f t="shared" si="1"/>
        <v>0</v>
      </c>
      <c r="H37" s="51" t="s">
        <v>246</v>
      </c>
    </row>
    <row r="38" spans="1:8" x14ac:dyDescent="0.2">
      <c r="B38" s="60"/>
      <c r="C38" s="60"/>
      <c r="H38" s="50"/>
    </row>
    <row r="39" spans="1:8" x14ac:dyDescent="0.2">
      <c r="A39" t="s">
        <v>100</v>
      </c>
      <c r="B39" s="60"/>
      <c r="C39" s="60"/>
      <c r="H39" s="57"/>
    </row>
    <row r="40" spans="1:8" x14ac:dyDescent="0.2">
      <c r="A40" t="s">
        <v>101</v>
      </c>
      <c r="B40" s="83"/>
      <c r="C40" s="60"/>
      <c r="E40" s="60">
        <v>240</v>
      </c>
      <c r="F40" s="5">
        <f>B40-E40</f>
        <v>-240</v>
      </c>
      <c r="H40" s="50"/>
    </row>
    <row r="41" spans="1:8" x14ac:dyDescent="0.2">
      <c r="A41" t="s">
        <v>14</v>
      </c>
      <c r="B41" s="83">
        <v>541.51</v>
      </c>
      <c r="C41" s="60"/>
      <c r="E41" s="60"/>
      <c r="F41" s="9">
        <f t="shared" ref="F41:F52" si="3">B41-E41</f>
        <v>541.51</v>
      </c>
      <c r="H41" s="51"/>
    </row>
    <row r="42" spans="1:8" x14ac:dyDescent="0.2">
      <c r="A42" t="s">
        <v>191</v>
      </c>
      <c r="B42" s="60">
        <v>23355.25</v>
      </c>
      <c r="C42" s="60"/>
      <c r="E42" s="60">
        <v>18462.12</v>
      </c>
      <c r="F42" s="60">
        <f t="shared" si="3"/>
        <v>4893.130000000001</v>
      </c>
      <c r="G42" s="12">
        <f>F42/E42</f>
        <v>0.26503619302658638</v>
      </c>
      <c r="H42" s="51" t="s">
        <v>316</v>
      </c>
    </row>
    <row r="43" spans="1:8" x14ac:dyDescent="0.2">
      <c r="A43" t="s">
        <v>30</v>
      </c>
      <c r="B43" s="83"/>
      <c r="C43" s="60"/>
      <c r="E43" s="60"/>
      <c r="F43" s="5">
        <f t="shared" si="3"/>
        <v>0</v>
      </c>
      <c r="H43" s="51"/>
    </row>
    <row r="44" spans="1:8" x14ac:dyDescent="0.2">
      <c r="A44" s="50" t="s">
        <v>17</v>
      </c>
      <c r="B44" s="83">
        <v>683</v>
      </c>
      <c r="C44" s="60"/>
      <c r="E44" s="60">
        <v>15</v>
      </c>
      <c r="F44" s="5">
        <f t="shared" si="3"/>
        <v>668</v>
      </c>
      <c r="G44" s="12">
        <f>F44/E44</f>
        <v>44.533333333333331</v>
      </c>
      <c r="H44" s="51" t="s">
        <v>325</v>
      </c>
    </row>
    <row r="45" spans="1:8" ht="25.5" x14ac:dyDescent="0.2">
      <c r="A45" t="s">
        <v>37</v>
      </c>
      <c r="B45" s="83">
        <v>1980</v>
      </c>
      <c r="C45" s="60"/>
      <c r="E45" s="60">
        <v>3990</v>
      </c>
      <c r="F45" s="5">
        <f t="shared" si="3"/>
        <v>-2010</v>
      </c>
      <c r="G45" s="12">
        <f>F45/E45</f>
        <v>-0.50375939849624063</v>
      </c>
      <c r="H45" s="51" t="s">
        <v>306</v>
      </c>
    </row>
    <row r="46" spans="1:8" x14ac:dyDescent="0.2">
      <c r="A46" t="s">
        <v>130</v>
      </c>
      <c r="B46" s="83">
        <v>1375</v>
      </c>
      <c r="C46" s="60"/>
      <c r="E46" s="60">
        <v>1375</v>
      </c>
      <c r="F46" s="5">
        <f t="shared" si="3"/>
        <v>0</v>
      </c>
      <c r="G46" s="12">
        <f>F46/E46</f>
        <v>0</v>
      </c>
      <c r="H46" s="51"/>
    </row>
    <row r="47" spans="1:8" x14ac:dyDescent="0.2">
      <c r="A47" t="s">
        <v>127</v>
      </c>
      <c r="B47" s="60">
        <v>9680</v>
      </c>
      <c r="C47" s="60"/>
      <c r="E47" s="60">
        <v>12815</v>
      </c>
      <c r="F47" s="9">
        <f t="shared" si="3"/>
        <v>-3135</v>
      </c>
      <c r="G47" s="12">
        <f>F47/E47</f>
        <v>-0.24463519313304721</v>
      </c>
      <c r="H47" s="51" t="s">
        <v>274</v>
      </c>
    </row>
    <row r="48" spans="1:8" x14ac:dyDescent="0.2">
      <c r="A48" t="s">
        <v>38</v>
      </c>
      <c r="B48" s="83">
        <v>380.96</v>
      </c>
      <c r="C48" s="60"/>
      <c r="D48" s="57"/>
      <c r="E48" s="60">
        <v>624.47</v>
      </c>
      <c r="F48" s="5">
        <f t="shared" si="3"/>
        <v>-243.51000000000005</v>
      </c>
      <c r="H48" s="51"/>
    </row>
    <row r="49" spans="1:8" x14ac:dyDescent="0.2">
      <c r="A49" t="s">
        <v>131</v>
      </c>
      <c r="B49" s="60">
        <v>37500</v>
      </c>
      <c r="C49" s="60"/>
      <c r="D49" s="15" t="s">
        <v>64</v>
      </c>
      <c r="E49" s="60">
        <v>31900</v>
      </c>
      <c r="F49" s="5">
        <f t="shared" si="3"/>
        <v>5600</v>
      </c>
      <c r="G49" s="12">
        <f t="shared" ref="G49:G58" si="4">F49/E49</f>
        <v>0.17554858934169279</v>
      </c>
      <c r="H49" s="50" t="s">
        <v>302</v>
      </c>
    </row>
    <row r="50" spans="1:8" ht="51" x14ac:dyDescent="0.2">
      <c r="A50" t="s">
        <v>144</v>
      </c>
      <c r="B50" s="127">
        <v>76221.09</v>
      </c>
      <c r="C50" s="60"/>
      <c r="D50" s="15" t="s">
        <v>6</v>
      </c>
      <c r="E50" s="60">
        <v>61399.93</v>
      </c>
      <c r="F50" s="5">
        <f t="shared" si="3"/>
        <v>14821.159999999996</v>
      </c>
      <c r="G50" s="12">
        <f t="shared" si="4"/>
        <v>0.24138724588122487</v>
      </c>
      <c r="H50" s="51" t="s">
        <v>317</v>
      </c>
    </row>
    <row r="51" spans="1:8" ht="15.75" customHeight="1" x14ac:dyDescent="0.2">
      <c r="A51" t="s">
        <v>143</v>
      </c>
      <c r="B51" s="127">
        <v>960</v>
      </c>
      <c r="C51" s="60"/>
      <c r="D51" s="15" t="s">
        <v>6</v>
      </c>
      <c r="E51" s="60">
        <v>903.75</v>
      </c>
      <c r="F51" s="5">
        <f t="shared" si="3"/>
        <v>56.25</v>
      </c>
      <c r="G51" s="12">
        <f t="shared" si="4"/>
        <v>6.2240663900414939E-2</v>
      </c>
      <c r="H51" s="51"/>
    </row>
    <row r="52" spans="1:8" ht="15.75" customHeight="1" x14ac:dyDescent="0.2">
      <c r="A52" s="50" t="s">
        <v>303</v>
      </c>
      <c r="B52" s="127">
        <v>784.36</v>
      </c>
      <c r="C52" s="60"/>
      <c r="D52" s="15"/>
      <c r="E52" s="60"/>
      <c r="F52" s="5">
        <f t="shared" si="3"/>
        <v>784.36</v>
      </c>
      <c r="H52" s="51" t="s">
        <v>318</v>
      </c>
    </row>
    <row r="53" spans="1:8" x14ac:dyDescent="0.2">
      <c r="A53" t="s">
        <v>117</v>
      </c>
      <c r="B53" s="83">
        <v>2469.2199999999998</v>
      </c>
      <c r="C53" s="60"/>
      <c r="E53" s="60">
        <v>2226.6799999999998</v>
      </c>
      <c r="F53" s="5">
        <f>B53-E53</f>
        <v>242.53999999999996</v>
      </c>
      <c r="G53" s="12">
        <f t="shared" si="4"/>
        <v>0.10892449745809904</v>
      </c>
      <c r="H53" s="51"/>
    </row>
    <row r="54" spans="1:8" ht="15.75" customHeight="1" x14ac:dyDescent="0.2">
      <c r="A54" t="s">
        <v>193</v>
      </c>
      <c r="B54" s="83">
        <v>15</v>
      </c>
      <c r="C54" s="60"/>
      <c r="E54" s="60">
        <v>15</v>
      </c>
      <c r="F54" s="5">
        <f>B54-E54</f>
        <v>0</v>
      </c>
      <c r="G54" s="12">
        <f t="shared" si="4"/>
        <v>0</v>
      </c>
      <c r="H54" s="51"/>
    </row>
    <row r="55" spans="1:8" ht="15.75" customHeight="1" x14ac:dyDescent="0.2">
      <c r="A55" t="s">
        <v>39</v>
      </c>
      <c r="B55" s="83">
        <v>2331</v>
      </c>
      <c r="C55" s="60"/>
      <c r="E55" s="60">
        <v>2141.6799999999998</v>
      </c>
      <c r="F55" s="5">
        <f>B55-E55</f>
        <v>189.32000000000016</v>
      </c>
      <c r="G55" s="12">
        <f t="shared" si="4"/>
        <v>8.8397893242688069E-2</v>
      </c>
      <c r="H55" s="51"/>
    </row>
    <row r="56" spans="1:8" ht="15.75" customHeight="1" x14ac:dyDescent="0.2">
      <c r="A56" s="50" t="s">
        <v>301</v>
      </c>
      <c r="B56" s="83">
        <v>217</v>
      </c>
      <c r="C56" s="60"/>
      <c r="E56" s="60"/>
      <c r="F56" s="5">
        <f>B56-E56</f>
        <v>217</v>
      </c>
      <c r="H56" s="51" t="s">
        <v>326</v>
      </c>
    </row>
    <row r="57" spans="1:8" ht="15.75" customHeight="1" x14ac:dyDescent="0.2">
      <c r="A57" s="50" t="s">
        <v>305</v>
      </c>
      <c r="B57" s="83">
        <v>40</v>
      </c>
      <c r="C57" s="60"/>
      <c r="E57" s="60"/>
      <c r="F57" s="5">
        <f>B57-E57</f>
        <v>40</v>
      </c>
      <c r="H57" s="51"/>
    </row>
    <row r="58" spans="1:8" x14ac:dyDescent="0.2">
      <c r="A58" t="s">
        <v>182</v>
      </c>
      <c r="B58" s="83">
        <v>50</v>
      </c>
      <c r="C58" s="60"/>
      <c r="E58" s="60">
        <v>315</v>
      </c>
      <c r="F58" s="5">
        <f t="shared" ref="F58:F64" si="5">B58-E58</f>
        <v>-265</v>
      </c>
      <c r="G58" s="12">
        <f t="shared" si="4"/>
        <v>-0.84126984126984128</v>
      </c>
      <c r="H58" s="51"/>
    </row>
    <row r="59" spans="1:8" x14ac:dyDescent="0.2">
      <c r="A59" s="50" t="s">
        <v>46</v>
      </c>
      <c r="B59" s="83"/>
      <c r="C59" s="60"/>
      <c r="E59" s="60"/>
      <c r="H59" s="51"/>
    </row>
    <row r="60" spans="1:8" x14ac:dyDescent="0.2">
      <c r="A60" t="s">
        <v>125</v>
      </c>
      <c r="B60" s="83">
        <v>3206.06</v>
      </c>
      <c r="C60" s="60"/>
      <c r="E60" s="60">
        <v>2814.93</v>
      </c>
      <c r="F60" s="5">
        <f t="shared" si="5"/>
        <v>391.13000000000011</v>
      </c>
      <c r="H60" s="50"/>
    </row>
    <row r="61" spans="1:8" ht="25.5" x14ac:dyDescent="0.2">
      <c r="A61" t="s">
        <v>119</v>
      </c>
      <c r="B61" s="60">
        <v>23721.98</v>
      </c>
      <c r="C61" s="60"/>
      <c r="D61" s="57"/>
      <c r="E61" s="60">
        <v>19925.98</v>
      </c>
      <c r="F61" s="5">
        <f t="shared" si="5"/>
        <v>3796</v>
      </c>
      <c r="G61" s="12">
        <f t="shared" ref="G61:G66" si="6">F61/E61</f>
        <v>0.19050505922418873</v>
      </c>
      <c r="H61" s="51" t="s">
        <v>304</v>
      </c>
    </row>
    <row r="62" spans="1:8" x14ac:dyDescent="0.2">
      <c r="A62" t="s">
        <v>33</v>
      </c>
      <c r="B62" s="124">
        <v>35259.800000000003</v>
      </c>
      <c r="C62" s="60"/>
      <c r="D62" s="15" t="s">
        <v>28</v>
      </c>
      <c r="E62" s="60">
        <v>28279.74</v>
      </c>
      <c r="F62" s="5">
        <f t="shared" si="5"/>
        <v>6980.0600000000013</v>
      </c>
      <c r="G62" s="12">
        <f t="shared" si="6"/>
        <v>0.24682192976314496</v>
      </c>
      <c r="H62" s="51" t="s">
        <v>311</v>
      </c>
    </row>
    <row r="63" spans="1:8" x14ac:dyDescent="0.2">
      <c r="A63" t="s">
        <v>35</v>
      </c>
      <c r="B63" s="124">
        <v>8484.93</v>
      </c>
      <c r="C63" s="60"/>
      <c r="D63" s="15" t="s">
        <v>28</v>
      </c>
      <c r="E63" s="60">
        <v>8884.9</v>
      </c>
      <c r="F63" s="5">
        <f t="shared" si="5"/>
        <v>-399.96999999999935</v>
      </c>
      <c r="G63" s="12">
        <f t="shared" si="6"/>
        <v>-4.5016826300802414E-2</v>
      </c>
      <c r="H63" s="51" t="s">
        <v>313</v>
      </c>
    </row>
    <row r="64" spans="1:8" x14ac:dyDescent="0.2">
      <c r="A64" t="s">
        <v>36</v>
      </c>
      <c r="B64" s="124">
        <v>209.6</v>
      </c>
      <c r="C64" s="60"/>
      <c r="D64" s="15" t="s">
        <v>28</v>
      </c>
      <c r="E64" s="60">
        <v>101.8</v>
      </c>
      <c r="F64" s="5">
        <f t="shared" si="5"/>
        <v>107.8</v>
      </c>
      <c r="G64" s="12">
        <f t="shared" si="6"/>
        <v>1.0589390962671905</v>
      </c>
      <c r="H64" s="50" t="s">
        <v>312</v>
      </c>
    </row>
    <row r="65" spans="1:10" x14ac:dyDescent="0.2">
      <c r="A65" s="2" t="s">
        <v>107</v>
      </c>
      <c r="B65" s="60">
        <v>52349</v>
      </c>
      <c r="C65" s="60"/>
      <c r="D65" s="15" t="s">
        <v>108</v>
      </c>
      <c r="E65" s="60">
        <v>35322.5</v>
      </c>
      <c r="F65" s="5">
        <f>B65-E65</f>
        <v>17026.5</v>
      </c>
      <c r="G65" s="12">
        <f t="shared" si="6"/>
        <v>0.48202986764809963</v>
      </c>
      <c r="H65" s="51"/>
    </row>
    <row r="66" spans="1:10" x14ac:dyDescent="0.2">
      <c r="A66" t="s">
        <v>115</v>
      </c>
      <c r="B66" s="60">
        <v>4938.2</v>
      </c>
      <c r="C66" s="60"/>
      <c r="E66" s="60">
        <v>5772.01</v>
      </c>
      <c r="F66" s="9">
        <f t="shared" ref="F66:F79" si="7">B66-E66</f>
        <v>-833.8100000000004</v>
      </c>
      <c r="G66" s="12">
        <f t="shared" si="6"/>
        <v>-0.14445747668489839</v>
      </c>
      <c r="H66" s="51"/>
    </row>
    <row r="67" spans="1:10" ht="12" customHeight="1" x14ac:dyDescent="0.2">
      <c r="A67" t="s">
        <v>116</v>
      </c>
      <c r="B67" s="60">
        <v>56606.23</v>
      </c>
      <c r="C67" s="60"/>
      <c r="E67" s="60">
        <v>47093.96</v>
      </c>
      <c r="F67" s="5">
        <f>B67-E67</f>
        <v>9512.2700000000041</v>
      </c>
      <c r="G67" s="12">
        <f>F67/E67</f>
        <v>0.2019849254554088</v>
      </c>
      <c r="H67" s="51" t="s">
        <v>314</v>
      </c>
    </row>
    <row r="68" spans="1:10" ht="25.5" x14ac:dyDescent="0.2">
      <c r="A68" s="50" t="s">
        <v>55</v>
      </c>
      <c r="B68" s="118">
        <v>60746.559999999998</v>
      </c>
      <c r="C68" s="60"/>
      <c r="D68" s="57"/>
      <c r="E68" s="60">
        <v>64119.88</v>
      </c>
      <c r="F68" s="5">
        <f>B68-E68</f>
        <v>-3373.3199999999997</v>
      </c>
      <c r="G68" s="12">
        <f>F68/E68</f>
        <v>-5.260958067919029E-2</v>
      </c>
      <c r="H68" s="51" t="s">
        <v>315</v>
      </c>
    </row>
    <row r="69" spans="1:10" x14ac:dyDescent="0.2">
      <c r="A69" t="s">
        <v>190</v>
      </c>
      <c r="B69" s="118">
        <v>-6500.1</v>
      </c>
      <c r="C69" s="113"/>
      <c r="D69" s="15" t="s">
        <v>89</v>
      </c>
      <c r="E69" s="60">
        <v>-2454.25</v>
      </c>
      <c r="F69" s="5">
        <f>B69-E69</f>
        <v>-4045.8500000000004</v>
      </c>
      <c r="G69" s="12">
        <f>F69/E69</f>
        <v>1.6485076907405523</v>
      </c>
      <c r="H69" s="51"/>
    </row>
    <row r="70" spans="1:10" x14ac:dyDescent="0.2">
      <c r="A70" t="s">
        <v>111</v>
      </c>
      <c r="B70" s="118">
        <v>2400</v>
      </c>
      <c r="C70" s="60"/>
      <c r="E70" s="60">
        <v>2600</v>
      </c>
      <c r="F70" s="5">
        <f t="shared" si="7"/>
        <v>-200</v>
      </c>
      <c r="G70" s="12">
        <f>F70/E70</f>
        <v>-7.6923076923076927E-2</v>
      </c>
      <c r="H70" s="51"/>
    </row>
    <row r="71" spans="1:10" ht="25.5" x14ac:dyDescent="0.2">
      <c r="A71" t="s">
        <v>31</v>
      </c>
      <c r="B71" s="118">
        <v>8877.2199999999993</v>
      </c>
      <c r="C71" s="60"/>
      <c r="E71" s="60">
        <v>3136.29</v>
      </c>
      <c r="F71" s="5">
        <f t="shared" si="7"/>
        <v>5740.9299999999994</v>
      </c>
      <c r="G71" s="12">
        <f t="shared" ref="G71:G81" si="8">F71/E71</f>
        <v>1.8304844258662303</v>
      </c>
      <c r="H71" s="51" t="s">
        <v>319</v>
      </c>
    </row>
    <row r="72" spans="1:10" x14ac:dyDescent="0.2">
      <c r="A72" t="s">
        <v>112</v>
      </c>
      <c r="B72" s="118">
        <v>1772.47</v>
      </c>
      <c r="C72" s="60"/>
      <c r="E72" s="60">
        <v>560.96</v>
      </c>
      <c r="F72" s="5">
        <f>B72-E72</f>
        <v>1211.51</v>
      </c>
      <c r="G72" s="12">
        <f>F72/E72</f>
        <v>2.1597083571021107</v>
      </c>
      <c r="H72" s="51"/>
    </row>
    <row r="73" spans="1:10" x14ac:dyDescent="0.2">
      <c r="A73" t="s">
        <v>148</v>
      </c>
      <c r="B73" s="118">
        <v>8283</v>
      </c>
      <c r="C73" s="60"/>
      <c r="E73" s="60">
        <v>1355</v>
      </c>
      <c r="F73" s="9">
        <f t="shared" si="7"/>
        <v>6928</v>
      </c>
      <c r="G73" s="12">
        <f t="shared" si="8"/>
        <v>5.1129151291512915</v>
      </c>
      <c r="H73" s="51"/>
    </row>
    <row r="74" spans="1:10" x14ac:dyDescent="0.2">
      <c r="A74" t="s">
        <v>29</v>
      </c>
      <c r="B74" s="118">
        <v>3685.31</v>
      </c>
      <c r="C74" s="60"/>
      <c r="E74" s="60">
        <v>3439.21</v>
      </c>
      <c r="F74" s="5">
        <f>B74-E74</f>
        <v>246.09999999999991</v>
      </c>
      <c r="G74" s="12">
        <f t="shared" si="8"/>
        <v>7.1557130852724873E-2</v>
      </c>
      <c r="H74" s="51"/>
    </row>
    <row r="75" spans="1:10" x14ac:dyDescent="0.2">
      <c r="A75" t="s">
        <v>147</v>
      </c>
      <c r="B75" s="118">
        <v>12736.82</v>
      </c>
      <c r="C75" s="60"/>
      <c r="E75" s="60">
        <v>13112.82</v>
      </c>
      <c r="F75" s="5">
        <f>B75-E75</f>
        <v>-376</v>
      </c>
      <c r="G75" s="12">
        <f>F75/E75</f>
        <v>-2.8674228731882235E-2</v>
      </c>
      <c r="H75" s="51"/>
    </row>
    <row r="76" spans="1:10" x14ac:dyDescent="0.2">
      <c r="A76" s="50" t="s">
        <v>224</v>
      </c>
      <c r="B76" s="118">
        <v>29565.87</v>
      </c>
      <c r="C76" s="60"/>
      <c r="D76" s="15" t="s">
        <v>273</v>
      </c>
      <c r="E76" s="60">
        <v>23175.64</v>
      </c>
      <c r="F76" s="9">
        <f t="shared" si="7"/>
        <v>6390.23</v>
      </c>
      <c r="G76" s="12">
        <f t="shared" si="8"/>
        <v>0.27573046526438966</v>
      </c>
      <c r="H76" s="51" t="s">
        <v>271</v>
      </c>
    </row>
    <row r="77" spans="1:10" x14ac:dyDescent="0.2">
      <c r="A77" t="s">
        <v>32</v>
      </c>
      <c r="B77" s="118">
        <v>575</v>
      </c>
      <c r="C77" s="60"/>
      <c r="E77" s="60">
        <v>444.75</v>
      </c>
      <c r="F77" s="5">
        <f t="shared" si="7"/>
        <v>130.25</v>
      </c>
      <c r="G77" s="12">
        <f t="shared" si="8"/>
        <v>0.29286115795390671</v>
      </c>
      <c r="H77" s="51"/>
    </row>
    <row r="78" spans="1:10" x14ac:dyDescent="0.2">
      <c r="A78" t="s">
        <v>104</v>
      </c>
      <c r="B78" s="60">
        <v>34636.68</v>
      </c>
      <c r="C78" s="60"/>
      <c r="D78" s="15" t="s">
        <v>73</v>
      </c>
      <c r="E78" s="60">
        <v>31849.38</v>
      </c>
      <c r="F78" s="5">
        <f t="shared" si="7"/>
        <v>2787.2999999999993</v>
      </c>
      <c r="G78" s="12">
        <f t="shared" si="8"/>
        <v>8.7515047388677561E-2</v>
      </c>
      <c r="H78" s="51" t="s">
        <v>247</v>
      </c>
      <c r="J78" s="8"/>
    </row>
    <row r="79" spans="1:10" x14ac:dyDescent="0.2">
      <c r="A79" t="s">
        <v>34</v>
      </c>
      <c r="B79" s="60">
        <v>1318.42</v>
      </c>
      <c r="C79" s="60"/>
      <c r="D79" s="15" t="s">
        <v>73</v>
      </c>
      <c r="E79" s="60">
        <v>1007.99</v>
      </c>
      <c r="F79" s="5">
        <f t="shared" si="7"/>
        <v>310.43000000000006</v>
      </c>
      <c r="G79" s="12">
        <f t="shared" si="8"/>
        <v>0.3079693250925109</v>
      </c>
      <c r="H79" s="51"/>
    </row>
    <row r="80" spans="1:10" x14ac:dyDescent="0.2">
      <c r="A80" t="s">
        <v>128</v>
      </c>
      <c r="B80" s="60">
        <v>17176.560000000001</v>
      </c>
      <c r="C80" s="60"/>
      <c r="D80" s="15" t="s">
        <v>129</v>
      </c>
      <c r="E80" s="60">
        <v>14715.75</v>
      </c>
      <c r="F80" s="5">
        <f t="shared" ref="F80:F87" si="9">B80-E80</f>
        <v>2460.8100000000013</v>
      </c>
      <c r="G80" s="12">
        <f t="shared" si="8"/>
        <v>0.16722287345191386</v>
      </c>
      <c r="H80" s="51"/>
    </row>
    <row r="81" spans="1:8" x14ac:dyDescent="0.2">
      <c r="A81" t="s">
        <v>126</v>
      </c>
      <c r="B81" s="60">
        <v>3958.49</v>
      </c>
      <c r="C81" s="60"/>
      <c r="E81" s="60">
        <v>3072.65</v>
      </c>
      <c r="F81" s="5">
        <f t="shared" si="9"/>
        <v>885.83999999999969</v>
      </c>
      <c r="G81" s="12">
        <f t="shared" si="8"/>
        <v>0.28829837436740263</v>
      </c>
      <c r="H81" s="51"/>
    </row>
    <row r="82" spans="1:8" ht="25.5" x14ac:dyDescent="0.2">
      <c r="A82" t="s">
        <v>103</v>
      </c>
      <c r="B82" s="60">
        <v>1121957.3400000001</v>
      </c>
      <c r="C82" s="60"/>
      <c r="D82" s="15" t="s">
        <v>114</v>
      </c>
      <c r="E82" s="60">
        <v>1056334.67</v>
      </c>
      <c r="F82" s="5">
        <f t="shared" si="9"/>
        <v>65622.670000000158</v>
      </c>
      <c r="G82" s="12">
        <f t="shared" ref="G82:G88" si="10">F82/E82</f>
        <v>6.2122991759799157E-2</v>
      </c>
      <c r="H82" s="51" t="s">
        <v>340</v>
      </c>
    </row>
    <row r="83" spans="1:8" x14ac:dyDescent="0.2">
      <c r="A83" t="s">
        <v>105</v>
      </c>
      <c r="B83" s="60">
        <v>452766.49</v>
      </c>
      <c r="C83" s="60"/>
      <c r="D83" s="15" t="s">
        <v>73</v>
      </c>
      <c r="E83" s="60">
        <v>416290.92</v>
      </c>
      <c r="F83" s="5">
        <f t="shared" si="9"/>
        <v>36475.570000000007</v>
      </c>
      <c r="G83" s="12">
        <f t="shared" si="10"/>
        <v>8.7620383360751675E-2</v>
      </c>
      <c r="H83" s="51" t="s">
        <v>334</v>
      </c>
    </row>
    <row r="84" spans="1:8" x14ac:dyDescent="0.2">
      <c r="A84" t="s">
        <v>106</v>
      </c>
      <c r="B84" s="60">
        <v>-16400</v>
      </c>
      <c r="C84" s="60"/>
      <c r="D84" s="15" t="s">
        <v>142</v>
      </c>
      <c r="E84" s="60">
        <v>-22200</v>
      </c>
      <c r="F84" s="5">
        <f t="shared" si="9"/>
        <v>5800</v>
      </c>
      <c r="G84" s="12">
        <f t="shared" si="10"/>
        <v>-0.26126126126126126</v>
      </c>
      <c r="H84" s="51" t="s">
        <v>320</v>
      </c>
    </row>
    <row r="85" spans="1:8" x14ac:dyDescent="0.2">
      <c r="A85" t="s">
        <v>113</v>
      </c>
      <c r="B85" s="125">
        <v>11149.95</v>
      </c>
      <c r="C85" s="60"/>
      <c r="E85" s="60">
        <v>8127.15</v>
      </c>
      <c r="F85" s="5">
        <f t="shared" si="9"/>
        <v>3022.8000000000011</v>
      </c>
      <c r="G85" s="12">
        <f t="shared" si="10"/>
        <v>0.37193850242705023</v>
      </c>
      <c r="H85" s="51"/>
    </row>
    <row r="86" spans="1:8" x14ac:dyDescent="0.2">
      <c r="A86" t="s">
        <v>4</v>
      </c>
      <c r="B86" s="125">
        <v>3673.44</v>
      </c>
      <c r="C86" s="60"/>
      <c r="E86" s="60">
        <v>4091.47</v>
      </c>
      <c r="F86" s="5">
        <f t="shared" si="9"/>
        <v>-418.02999999999975</v>
      </c>
      <c r="G86" s="12">
        <f t="shared" si="10"/>
        <v>-0.10217110231774883</v>
      </c>
      <c r="H86" s="51"/>
    </row>
    <row r="87" spans="1:8" x14ac:dyDescent="0.2">
      <c r="A87" t="s">
        <v>124</v>
      </c>
      <c r="B87" s="125">
        <v>5706.73</v>
      </c>
      <c r="C87" s="60"/>
      <c r="E87" s="60">
        <v>4904.16</v>
      </c>
      <c r="F87" s="5">
        <f t="shared" si="9"/>
        <v>802.56999999999971</v>
      </c>
      <c r="G87" s="12">
        <f t="shared" si="10"/>
        <v>0.16365085967831386</v>
      </c>
      <c r="H87" s="51"/>
    </row>
    <row r="88" spans="1:8" ht="25.5" x14ac:dyDescent="0.2">
      <c r="A88" t="s">
        <v>102</v>
      </c>
      <c r="B88" s="60">
        <v>6315.94</v>
      </c>
      <c r="C88" s="60"/>
      <c r="D88" s="15" t="s">
        <v>27</v>
      </c>
      <c r="E88" s="60">
        <v>14355.54</v>
      </c>
      <c r="F88" s="5">
        <f>B88-E88</f>
        <v>-8039.6000000000013</v>
      </c>
      <c r="G88" s="12">
        <f t="shared" si="10"/>
        <v>-0.56003466257625978</v>
      </c>
      <c r="H88" s="51" t="s">
        <v>321</v>
      </c>
    </row>
    <row r="89" spans="1:8" x14ac:dyDescent="0.2">
      <c r="A89" s="50" t="s">
        <v>45</v>
      </c>
      <c r="B89" s="60">
        <v>878.32</v>
      </c>
      <c r="C89" s="60"/>
      <c r="E89" s="60">
        <v>831.94</v>
      </c>
      <c r="F89" s="5">
        <f>B89-E89</f>
        <v>46.379999999999995</v>
      </c>
      <c r="H89" s="51"/>
    </row>
    <row r="90" spans="1:8" x14ac:dyDescent="0.2">
      <c r="A90" s="50" t="s">
        <v>272</v>
      </c>
      <c r="B90" s="60"/>
      <c r="C90" s="60"/>
      <c r="E90" s="60">
        <v>1010</v>
      </c>
      <c r="F90" s="5">
        <f>B90-E90</f>
        <v>-1010</v>
      </c>
      <c r="H90" s="51" t="s">
        <v>322</v>
      </c>
    </row>
    <row r="91" spans="1:8" x14ac:dyDescent="0.2">
      <c r="A91" s="50" t="s">
        <v>1</v>
      </c>
      <c r="B91" s="60">
        <v>73849.149999999994</v>
      </c>
      <c r="C91" s="60"/>
      <c r="D91" s="15" t="s">
        <v>323</v>
      </c>
      <c r="E91" s="60">
        <v>20631.57</v>
      </c>
      <c r="F91" s="5">
        <f>B91-E91</f>
        <v>53217.579999999994</v>
      </c>
      <c r="H91" s="51" t="s">
        <v>324</v>
      </c>
    </row>
    <row r="92" spans="1:8" x14ac:dyDescent="0.2">
      <c r="A92" t="s">
        <v>118</v>
      </c>
      <c r="B92" s="60">
        <v>574172.31999999995</v>
      </c>
      <c r="C92" s="60"/>
      <c r="D92" s="15" t="s">
        <v>284</v>
      </c>
      <c r="E92" s="60">
        <v>462974.7</v>
      </c>
      <c r="F92" s="5">
        <f>B92-E92</f>
        <v>111197.61999999994</v>
      </c>
    </row>
    <row r="93" spans="1:8" x14ac:dyDescent="0.2">
      <c r="H93" s="13"/>
    </row>
    <row r="94" spans="1:8" x14ac:dyDescent="0.2">
      <c r="B94" s="60"/>
      <c r="C94" s="60"/>
    </row>
    <row r="95" spans="1:8" x14ac:dyDescent="0.2">
      <c r="A95" t="s">
        <v>132</v>
      </c>
      <c r="B95" s="60">
        <f>SUM(B8:B92)</f>
        <v>2761038.7799999993</v>
      </c>
      <c r="C95" s="60">
        <f>SUM(C8:C92)</f>
        <v>2960317.8299999996</v>
      </c>
      <c r="E95" s="24">
        <f>SUM(E9:E37)-SUM(E40:E92)</f>
        <v>1400936.7200000007</v>
      </c>
    </row>
    <row r="96" spans="1:8" x14ac:dyDescent="0.2">
      <c r="B96" s="60"/>
      <c r="C96" s="60">
        <f>B95</f>
        <v>2761038.7799999993</v>
      </c>
    </row>
    <row r="97" spans="1:6" x14ac:dyDescent="0.2">
      <c r="B97" s="60"/>
      <c r="C97" s="60">
        <f>C95-C96</f>
        <v>199279.05000000028</v>
      </c>
    </row>
    <row r="98" spans="1:6" x14ac:dyDescent="0.2">
      <c r="B98" s="60"/>
      <c r="C98" s="60"/>
      <c r="D98" s="56"/>
    </row>
    <row r="99" spans="1:6" ht="18" x14ac:dyDescent="0.25">
      <c r="A99" s="9" t="s">
        <v>199</v>
      </c>
      <c r="B99" s="83">
        <f>B40+B41+B43+B44+B45+B46+B48+B53+B54+B55+B56+B57+B58+B59+B60</f>
        <v>13288.75</v>
      </c>
      <c r="C99" s="60"/>
      <c r="D99" s="57"/>
      <c r="F99" s="18"/>
    </row>
    <row r="100" spans="1:6" ht="18" x14ac:dyDescent="0.25">
      <c r="A100" s="9" t="s">
        <v>207</v>
      </c>
      <c r="B100" s="60"/>
      <c r="C100" s="84">
        <f>C11+C15+C20+C21</f>
        <v>86299.659999999989</v>
      </c>
      <c r="F100" s="18"/>
    </row>
    <row r="101" spans="1:6" x14ac:dyDescent="0.2">
      <c r="A101" s="9" t="s">
        <v>222</v>
      </c>
      <c r="B101" s="60"/>
      <c r="C101" s="101">
        <f>C13+C14</f>
        <v>1350</v>
      </c>
    </row>
    <row r="102" spans="1:6" x14ac:dyDescent="0.2">
      <c r="A102" s="9" t="s">
        <v>223</v>
      </c>
      <c r="B102" s="60"/>
      <c r="C102" s="102">
        <f>C27+C28+C29+C30+C31+C34+C35+C36</f>
        <v>250748.97000000003</v>
      </c>
    </row>
    <row r="103" spans="1:6" x14ac:dyDescent="0.2">
      <c r="A103" s="9" t="s">
        <v>277</v>
      </c>
      <c r="B103" s="118">
        <f>SUM(B68:B77)</f>
        <v>122142.15</v>
      </c>
    </row>
    <row r="104" spans="1:6" x14ac:dyDescent="0.2">
      <c r="A104" s="9" t="s">
        <v>335</v>
      </c>
      <c r="B104" s="124">
        <f>SUM(B62:B64)</f>
        <v>43954.33</v>
      </c>
      <c r="C104" s="60"/>
    </row>
    <row r="105" spans="1:6" x14ac:dyDescent="0.2">
      <c r="A105" s="9" t="s">
        <v>336</v>
      </c>
      <c r="B105" s="125">
        <f>SUM(B85:B87)</f>
        <v>20530.120000000003</v>
      </c>
      <c r="C105" s="60"/>
    </row>
    <row r="106" spans="1:6" x14ac:dyDescent="0.2">
      <c r="A106" s="9" t="s">
        <v>337</v>
      </c>
      <c r="B106" s="126">
        <f>SUM(B32:B33)</f>
        <v>4377.6100000000006</v>
      </c>
      <c r="C106" s="60"/>
    </row>
    <row r="107" spans="1:6" x14ac:dyDescent="0.2">
      <c r="A107" s="9" t="s">
        <v>338</v>
      </c>
      <c r="B107" s="127">
        <f>SUM(B50:B52)</f>
        <v>77965.45</v>
      </c>
      <c r="C107" s="60"/>
    </row>
    <row r="108" spans="1:6" x14ac:dyDescent="0.2">
      <c r="B108" s="60"/>
      <c r="C108" s="60"/>
    </row>
    <row r="109" spans="1:6" x14ac:dyDescent="0.2">
      <c r="B109" s="60"/>
      <c r="C109" s="60"/>
    </row>
    <row r="110" spans="1:6" x14ac:dyDescent="0.2">
      <c r="B110" s="60"/>
      <c r="C110" s="60"/>
    </row>
    <row r="111" spans="1:6" x14ac:dyDescent="0.2">
      <c r="B111" s="60"/>
      <c r="C111" s="60"/>
    </row>
    <row r="112" spans="1:6" x14ac:dyDescent="0.2">
      <c r="B112" s="60"/>
      <c r="C112" s="60"/>
    </row>
    <row r="113" spans="2:3" x14ac:dyDescent="0.2">
      <c r="B113" s="60"/>
      <c r="C113" s="60"/>
    </row>
  </sheetData>
  <phoneticPr fontId="0" type="noConversion"/>
  <printOptions gridLines="1" gridLinesSet="0"/>
  <pageMargins left="0.25" right="0.25" top="0.25" bottom="0.5" header="0" footer="0"/>
  <pageSetup scale="59" fitToHeight="2" orientation="landscape" r:id="rId1"/>
  <headerFooter alignWithMargins="0">
    <oddFooter>&amp;L&amp;D  &amp;T&amp;C&amp;F&amp;R&amp;A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31C44C-CD58-49F0-B805-03C5D9FB1AF0}">
  <sheetPr>
    <pageSetUpPr fitToPage="1"/>
  </sheetPr>
  <dimension ref="A1:J125"/>
  <sheetViews>
    <sheetView tabSelected="1" topLeftCell="A31" workbookViewId="0">
      <pane xSplit="5" ySplit="3" topLeftCell="F34" activePane="bottomRight" state="frozen"/>
      <selection activeCell="M70" sqref="M70"/>
      <selection pane="topRight" activeCell="M70" sqref="M70"/>
      <selection pane="bottomLeft" activeCell="M70" sqref="M70"/>
      <selection pane="bottomRight" activeCell="D31" sqref="D31"/>
    </sheetView>
  </sheetViews>
  <sheetFormatPr defaultRowHeight="12.75" x14ac:dyDescent="0.2"/>
  <cols>
    <col min="1" max="1" width="38" customWidth="1"/>
    <col min="2" max="2" width="13.140625" style="50" bestFit="1" customWidth="1"/>
    <col min="3" max="3" width="2.140625" style="2" customWidth="1"/>
    <col min="4" max="4" width="14.42578125" style="21" customWidth="1"/>
    <col min="5" max="5" width="1.85546875" style="21" customWidth="1"/>
    <col min="6" max="7" width="14.42578125" style="17" customWidth="1"/>
    <col min="8" max="8" width="12.42578125" bestFit="1" customWidth="1"/>
    <col min="9" max="9" width="11.28515625" style="5" bestFit="1" customWidth="1"/>
    <col min="10" max="10" width="12.85546875" bestFit="1" customWidth="1"/>
  </cols>
  <sheetData>
    <row r="1" spans="1:10" x14ac:dyDescent="0.2">
      <c r="A1" s="3" t="s">
        <v>54</v>
      </c>
    </row>
    <row r="2" spans="1:10" x14ac:dyDescent="0.2">
      <c r="A2" s="3" t="s">
        <v>15</v>
      </c>
    </row>
    <row r="3" spans="1:10" x14ac:dyDescent="0.2">
      <c r="A3" s="4" t="str">
        <f>WTB!A3</f>
        <v>12/31/2024</v>
      </c>
      <c r="F3" s="21"/>
    </row>
    <row r="4" spans="1:10" x14ac:dyDescent="0.2">
      <c r="A4" s="1"/>
      <c r="F4" s="21"/>
      <c r="J4" s="8"/>
    </row>
    <row r="5" spans="1:10" x14ac:dyDescent="0.2">
      <c r="A5" s="1"/>
      <c r="B5" s="57"/>
    </row>
    <row r="6" spans="1:10" x14ac:dyDescent="0.2">
      <c r="D6" s="21" t="s">
        <v>79</v>
      </c>
    </row>
    <row r="7" spans="1:10" x14ac:dyDescent="0.2">
      <c r="B7" s="54" t="s">
        <v>181</v>
      </c>
      <c r="D7" s="21" t="s">
        <v>83</v>
      </c>
    </row>
    <row r="8" spans="1:10" x14ac:dyDescent="0.2">
      <c r="A8" t="s">
        <v>87</v>
      </c>
      <c r="B8" s="60"/>
      <c r="D8" s="28"/>
      <c r="E8" s="28"/>
      <c r="F8" s="25"/>
      <c r="G8" s="25"/>
    </row>
    <row r="9" spans="1:10" x14ac:dyDescent="0.2">
      <c r="A9" t="s">
        <v>88</v>
      </c>
      <c r="B9" s="9">
        <f>INCOME!C9</f>
        <v>2523685.8199999998</v>
      </c>
      <c r="C9" s="15"/>
      <c r="D9" s="9">
        <v>2440033.15</v>
      </c>
      <c r="E9" s="29"/>
      <c r="F9" s="21"/>
      <c r="G9" s="21"/>
    </row>
    <row r="10" spans="1:10" x14ac:dyDescent="0.2">
      <c r="A10" t="s">
        <v>90</v>
      </c>
      <c r="B10" s="9">
        <f>INCOME!C10</f>
        <v>154.37</v>
      </c>
      <c r="D10" s="9">
        <v>485.02</v>
      </c>
      <c r="E10" s="29"/>
      <c r="F10" s="21"/>
      <c r="G10" s="21"/>
    </row>
    <row r="11" spans="1:10" x14ac:dyDescent="0.2">
      <c r="A11" t="s">
        <v>92</v>
      </c>
      <c r="B11" s="9">
        <f>INCOME!C12</f>
        <v>1100</v>
      </c>
      <c r="C11" s="20"/>
      <c r="D11" s="9">
        <v>1100</v>
      </c>
      <c r="E11" s="29"/>
      <c r="F11" s="21"/>
      <c r="G11" s="21"/>
    </row>
    <row r="12" spans="1:10" x14ac:dyDescent="0.2">
      <c r="A12" t="s">
        <v>180</v>
      </c>
      <c r="B12" s="70">
        <f>SUM(B9:B11)</f>
        <v>2524940.19</v>
      </c>
      <c r="D12" s="70">
        <v>2441618.17</v>
      </c>
      <c r="E12" s="20"/>
      <c r="F12" s="21"/>
      <c r="G12" s="21"/>
    </row>
    <row r="13" spans="1:10" x14ac:dyDescent="0.2">
      <c r="A13" t="s">
        <v>91</v>
      </c>
      <c r="B13" s="9">
        <f>INCOME!C11</f>
        <v>26107.31</v>
      </c>
      <c r="C13" s="20"/>
      <c r="D13" s="9">
        <v>24097.78</v>
      </c>
      <c r="E13" s="29"/>
      <c r="F13" s="21"/>
      <c r="G13" s="21"/>
    </row>
    <row r="14" spans="1:10" x14ac:dyDescent="0.2">
      <c r="A14" t="s">
        <v>93</v>
      </c>
      <c r="B14" s="9">
        <f>INCOME!C13</f>
        <v>675</v>
      </c>
      <c r="D14" s="9">
        <v>1055</v>
      </c>
      <c r="E14" s="29"/>
      <c r="F14" s="21"/>
      <c r="G14" s="21"/>
    </row>
    <row r="15" spans="1:10" x14ac:dyDescent="0.2">
      <c r="A15" t="s">
        <v>94</v>
      </c>
      <c r="B15" s="9">
        <f>INCOME!C14</f>
        <v>675</v>
      </c>
      <c r="D15" s="9">
        <v>430</v>
      </c>
      <c r="E15" s="29"/>
      <c r="F15" s="21"/>
      <c r="G15" s="21"/>
    </row>
    <row r="16" spans="1:10" x14ac:dyDescent="0.2">
      <c r="A16" t="s">
        <v>96</v>
      </c>
      <c r="B16" s="9">
        <f>INCOME!C15</f>
        <v>23988.639999999999</v>
      </c>
      <c r="D16" s="9">
        <v>24620.2</v>
      </c>
      <c r="E16" s="29"/>
      <c r="F16" s="21"/>
      <c r="G16" s="21"/>
    </row>
    <row r="17" spans="1:7" x14ac:dyDescent="0.2">
      <c r="A17" t="s">
        <v>97</v>
      </c>
      <c r="B17" s="9">
        <f>INCOME!C18</f>
        <v>701.73</v>
      </c>
      <c r="D17" s="9">
        <v>410.29</v>
      </c>
      <c r="E17" s="29"/>
      <c r="F17" s="21"/>
      <c r="G17" s="21"/>
    </row>
    <row r="18" spans="1:7" x14ac:dyDescent="0.2">
      <c r="A18" s="50" t="s">
        <v>204</v>
      </c>
      <c r="B18" s="9">
        <f>INCOME!C19</f>
        <v>17298.23</v>
      </c>
      <c r="C18" s="15"/>
      <c r="D18" s="9">
        <v>16729.650000000001</v>
      </c>
      <c r="E18" s="29"/>
      <c r="F18" s="21"/>
      <c r="G18" s="21"/>
    </row>
    <row r="19" spans="1:7" x14ac:dyDescent="0.2">
      <c r="A19" t="s">
        <v>98</v>
      </c>
      <c r="B19" s="9">
        <f>INCOME!C20</f>
        <v>34965.199999999997</v>
      </c>
      <c r="C19" s="15"/>
      <c r="D19" s="9">
        <v>37279.089999999997</v>
      </c>
      <c r="E19" s="29"/>
      <c r="F19" s="21"/>
      <c r="G19" s="21"/>
    </row>
    <row r="20" spans="1:7" x14ac:dyDescent="0.2">
      <c r="A20" t="s">
        <v>99</v>
      </c>
      <c r="B20" s="9">
        <f>INCOME!C21</f>
        <v>1238.51</v>
      </c>
      <c r="D20" s="9">
        <v>1052.8</v>
      </c>
      <c r="E20" s="29"/>
      <c r="F20" s="21"/>
      <c r="G20" s="21"/>
    </row>
    <row r="21" spans="1:7" x14ac:dyDescent="0.2">
      <c r="A21" t="s">
        <v>184</v>
      </c>
      <c r="B21" s="71">
        <f>SUM(B12:B20)</f>
        <v>2630589.81</v>
      </c>
      <c r="D21" s="71">
        <v>2547292.9799999995</v>
      </c>
      <c r="E21" s="55"/>
      <c r="F21" s="21"/>
      <c r="G21" s="21"/>
    </row>
    <row r="22" spans="1:7" x14ac:dyDescent="0.2">
      <c r="A22" s="50"/>
      <c r="B22" s="72"/>
      <c r="D22" s="55"/>
      <c r="E22" s="55"/>
      <c r="F22" s="21"/>
      <c r="G22" s="21"/>
    </row>
    <row r="23" spans="1:7" x14ac:dyDescent="0.2">
      <c r="A23" t="s">
        <v>187</v>
      </c>
      <c r="B23" s="9">
        <f>INCOME!C16</f>
        <v>2763.55</v>
      </c>
      <c r="D23" s="9">
        <v>20000</v>
      </c>
      <c r="E23" s="55"/>
      <c r="F23" s="21"/>
      <c r="G23" s="21"/>
    </row>
    <row r="24" spans="1:7" x14ac:dyDescent="0.2">
      <c r="A24" s="50" t="s">
        <v>267</v>
      </c>
      <c r="B24" s="9">
        <f>INCOME!C17</f>
        <v>0</v>
      </c>
      <c r="D24" s="9">
        <v>-21900</v>
      </c>
      <c r="E24" s="55"/>
      <c r="F24" s="21"/>
      <c r="G24" s="21"/>
    </row>
    <row r="25" spans="1:7" x14ac:dyDescent="0.2">
      <c r="A25" t="s">
        <v>95</v>
      </c>
      <c r="B25" s="9">
        <f>INCOME!C27+INCOME!C28</f>
        <v>191976.80000000002</v>
      </c>
      <c r="C25" s="15"/>
      <c r="D25" s="9">
        <v>124998.79</v>
      </c>
      <c r="E25" s="29"/>
      <c r="F25" s="21"/>
      <c r="G25" s="21"/>
    </row>
    <row r="26" spans="1:7" x14ac:dyDescent="0.2">
      <c r="A26" t="s">
        <v>139</v>
      </c>
      <c r="B26" s="9">
        <f>INCOME!C31+INCOME!C29</f>
        <v>27629.48</v>
      </c>
      <c r="C26" s="15"/>
      <c r="D26" s="9">
        <v>22493.960000000003</v>
      </c>
      <c r="E26" s="29"/>
      <c r="F26" s="21"/>
      <c r="G26" s="21"/>
    </row>
    <row r="27" spans="1:7" x14ac:dyDescent="0.2">
      <c r="A27" s="50" t="s">
        <v>308</v>
      </c>
      <c r="B27" s="9">
        <f>INCOME!C30</f>
        <v>-279.95999999999998</v>
      </c>
      <c r="C27" s="15"/>
      <c r="D27" s="9"/>
      <c r="E27" s="29"/>
      <c r="F27" s="21"/>
      <c r="G27" s="21"/>
    </row>
    <row r="28" spans="1:7" x14ac:dyDescent="0.2">
      <c r="A28" s="50" t="s">
        <v>176</v>
      </c>
      <c r="B28" s="9">
        <f>INCOME!C34+INCOME!C35</f>
        <v>18287.36</v>
      </c>
      <c r="C28" s="15"/>
      <c r="D28" s="9">
        <v>27631</v>
      </c>
      <c r="E28" s="29"/>
      <c r="F28" s="21"/>
      <c r="G28" s="21"/>
    </row>
    <row r="29" spans="1:7" x14ac:dyDescent="0.2">
      <c r="A29" s="50" t="s">
        <v>41</v>
      </c>
      <c r="B29" s="9">
        <f>INCOME!C36</f>
        <v>13135.29</v>
      </c>
      <c r="C29" s="15"/>
      <c r="D29" s="9">
        <v>0</v>
      </c>
      <c r="E29" s="29"/>
      <c r="F29" s="21"/>
      <c r="G29" s="21"/>
    </row>
    <row r="30" spans="1:7" x14ac:dyDescent="0.2">
      <c r="A30" s="50" t="s">
        <v>42</v>
      </c>
      <c r="B30" s="66">
        <f>INCOME!C37</f>
        <v>6000</v>
      </c>
      <c r="C30" s="15"/>
      <c r="D30" s="66">
        <v>6000</v>
      </c>
      <c r="E30" s="29"/>
      <c r="F30" s="21"/>
      <c r="G30" s="21"/>
    </row>
    <row r="31" spans="1:7" x14ac:dyDescent="0.2">
      <c r="A31" t="s">
        <v>211</v>
      </c>
      <c r="B31" s="9">
        <f>SUM(B22:B30)</f>
        <v>259512.52000000005</v>
      </c>
      <c r="C31" s="15"/>
      <c r="D31" s="9">
        <v>179223.75</v>
      </c>
      <c r="E31" s="29"/>
      <c r="F31" s="21"/>
      <c r="G31" s="21"/>
    </row>
    <row r="32" spans="1:7" ht="13.5" thickBot="1" x14ac:dyDescent="0.25">
      <c r="A32" s="50" t="s">
        <v>183</v>
      </c>
      <c r="B32" s="73">
        <f>B21+B31</f>
        <v>2890102.33</v>
      </c>
      <c r="C32" s="15"/>
      <c r="D32" s="73">
        <v>2726516.7299999995</v>
      </c>
      <c r="E32" s="29"/>
      <c r="F32" s="21"/>
      <c r="G32" s="21"/>
    </row>
    <row r="33" spans="1:10" ht="15" x14ac:dyDescent="0.35">
      <c r="A33" t="s">
        <v>100</v>
      </c>
      <c r="B33" s="60"/>
      <c r="F33" s="68" t="s">
        <v>11</v>
      </c>
      <c r="G33" s="68" t="s">
        <v>52</v>
      </c>
      <c r="H33" s="68" t="s">
        <v>50</v>
      </c>
      <c r="I33" s="69" t="s">
        <v>51</v>
      </c>
      <c r="J33" s="68" t="s">
        <v>48</v>
      </c>
    </row>
    <row r="34" spans="1:10" x14ac:dyDescent="0.2">
      <c r="A34" t="s">
        <v>101</v>
      </c>
      <c r="B34" s="9">
        <f>INCOME!B40</f>
        <v>0</v>
      </c>
      <c r="C34" s="58"/>
      <c r="D34" s="29">
        <v>240</v>
      </c>
      <c r="F34" s="9"/>
      <c r="G34" s="9"/>
      <c r="H34" s="50"/>
      <c r="I34" s="9">
        <f>B34</f>
        <v>0</v>
      </c>
      <c r="J34" s="57">
        <f>SUM(F34:I34)</f>
        <v>0</v>
      </c>
    </row>
    <row r="35" spans="1:10" x14ac:dyDescent="0.2">
      <c r="A35" t="s">
        <v>30</v>
      </c>
      <c r="B35" s="9">
        <f>INCOME!B43</f>
        <v>0</v>
      </c>
      <c r="C35" s="15"/>
      <c r="D35" s="29">
        <v>0</v>
      </c>
      <c r="F35" s="9"/>
      <c r="G35" s="9">
        <f>B35</f>
        <v>0</v>
      </c>
      <c r="H35" s="50"/>
      <c r="I35" s="9"/>
      <c r="J35" s="57">
        <f>SUM(F35:I35)</f>
        <v>0</v>
      </c>
    </row>
    <row r="36" spans="1:10" x14ac:dyDescent="0.2">
      <c r="A36" t="s">
        <v>127</v>
      </c>
      <c r="B36" s="9">
        <f>INCOME!B47</f>
        <v>9680</v>
      </c>
      <c r="D36" s="29">
        <v>12815</v>
      </c>
      <c r="F36" s="9"/>
      <c r="G36" s="9">
        <f>B36</f>
        <v>9680</v>
      </c>
      <c r="H36" s="50"/>
      <c r="I36" s="9"/>
      <c r="J36" s="57">
        <f>SUM(F36:I36)</f>
        <v>9680</v>
      </c>
    </row>
    <row r="37" spans="1:10" x14ac:dyDescent="0.2">
      <c r="E37" s="29"/>
      <c r="F37" s="9"/>
      <c r="G37" s="9"/>
      <c r="H37" s="50"/>
      <c r="I37" s="9"/>
      <c r="J37" s="50"/>
    </row>
    <row r="38" spans="1:10" x14ac:dyDescent="0.2">
      <c r="A38" t="s">
        <v>144</v>
      </c>
      <c r="B38" s="84">
        <f>INCOME!B50</f>
        <v>76221.09</v>
      </c>
      <c r="C38" s="15"/>
      <c r="D38" s="29">
        <v>61399.93</v>
      </c>
      <c r="E38" s="29"/>
      <c r="F38" s="9"/>
      <c r="G38" s="9"/>
      <c r="H38" s="50"/>
      <c r="I38" s="9"/>
      <c r="J38" s="50"/>
    </row>
    <row r="39" spans="1:10" x14ac:dyDescent="0.2">
      <c r="A39" t="s">
        <v>143</v>
      </c>
      <c r="B39" s="84">
        <f>INCOME!B51</f>
        <v>960</v>
      </c>
      <c r="C39" s="15"/>
      <c r="D39" s="29">
        <v>903.75</v>
      </c>
      <c r="E39" s="29"/>
      <c r="F39" s="9"/>
      <c r="G39" s="9"/>
      <c r="H39" s="50"/>
      <c r="I39" s="9"/>
      <c r="J39" s="50"/>
    </row>
    <row r="40" spans="1:10" x14ac:dyDescent="0.2">
      <c r="A40" s="50" t="s">
        <v>303</v>
      </c>
      <c r="B40" s="84">
        <f>INCOME!B52</f>
        <v>784.36</v>
      </c>
      <c r="C40" s="15"/>
      <c r="D40" s="29"/>
      <c r="E40" s="29"/>
      <c r="F40" s="9"/>
      <c r="G40" s="9"/>
      <c r="H40" s="50"/>
      <c r="I40" s="9"/>
      <c r="J40" s="50"/>
    </row>
    <row r="41" spans="1:10" x14ac:dyDescent="0.2">
      <c r="A41" t="s">
        <v>128</v>
      </c>
      <c r="B41" s="84">
        <f>INCOME!B80</f>
        <v>17176.560000000001</v>
      </c>
      <c r="D41" s="29">
        <v>14715.75</v>
      </c>
      <c r="F41" s="9"/>
      <c r="G41" s="9"/>
      <c r="H41" s="57"/>
      <c r="I41" s="9"/>
      <c r="J41" s="57"/>
    </row>
    <row r="42" spans="1:10" x14ac:dyDescent="0.2">
      <c r="A42" s="58" t="s">
        <v>9</v>
      </c>
      <c r="B42" s="119">
        <f>SUM(B38:B41)</f>
        <v>95142.01</v>
      </c>
      <c r="D42" s="76">
        <v>77019.429999999993</v>
      </c>
      <c r="F42" s="84"/>
      <c r="G42" s="84">
        <v>35571.08</v>
      </c>
      <c r="H42" s="86">
        <v>47891.01</v>
      </c>
      <c r="I42" s="84">
        <v>11679.92</v>
      </c>
      <c r="J42" s="86">
        <f>SUM(F42:I42)</f>
        <v>95142.01</v>
      </c>
    </row>
    <row r="43" spans="1:10" x14ac:dyDescent="0.2">
      <c r="A43" s="58"/>
      <c r="B43" s="9"/>
      <c r="C43" s="19"/>
      <c r="D43" s="19"/>
      <c r="F43" s="60"/>
      <c r="G43" s="60"/>
      <c r="H43" s="57"/>
      <c r="I43" s="60"/>
      <c r="J43" s="57"/>
    </row>
    <row r="44" spans="1:10" x14ac:dyDescent="0.2">
      <c r="A44" t="s">
        <v>186</v>
      </c>
      <c r="B44" s="120">
        <f>INCOME!B41</f>
        <v>541.51</v>
      </c>
      <c r="D44" s="29">
        <v>0</v>
      </c>
      <c r="F44" s="9"/>
      <c r="G44" s="9"/>
      <c r="H44" s="50"/>
      <c r="I44" s="9"/>
      <c r="J44" s="50"/>
    </row>
    <row r="45" spans="1:10" x14ac:dyDescent="0.2">
      <c r="A45" t="s">
        <v>37</v>
      </c>
      <c r="B45" s="120">
        <f>INCOME!B45</f>
        <v>1980</v>
      </c>
      <c r="D45" s="29">
        <v>3990</v>
      </c>
      <c r="F45" s="9"/>
      <c r="G45" s="9"/>
      <c r="H45" s="50"/>
      <c r="I45" s="9"/>
      <c r="J45" s="50"/>
    </row>
    <row r="46" spans="1:10" x14ac:dyDescent="0.2">
      <c r="A46" t="s">
        <v>130</v>
      </c>
      <c r="B46" s="120">
        <f>INCOME!B46</f>
        <v>1375</v>
      </c>
      <c r="C46" s="15"/>
      <c r="D46" s="29">
        <v>1375</v>
      </c>
      <c r="F46" s="9"/>
      <c r="G46" s="9"/>
      <c r="H46" s="50"/>
      <c r="I46" s="9"/>
      <c r="J46" s="50"/>
    </row>
    <row r="47" spans="1:10" x14ac:dyDescent="0.2">
      <c r="A47" t="s">
        <v>117</v>
      </c>
      <c r="B47" s="120">
        <f>INCOME!B53</f>
        <v>2469.2199999999998</v>
      </c>
      <c r="C47" s="15"/>
      <c r="D47" s="29">
        <v>2226.6799999999998</v>
      </c>
      <c r="E47" s="58"/>
      <c r="F47" s="9"/>
      <c r="G47" s="9"/>
      <c r="H47" s="50"/>
      <c r="I47" s="9"/>
      <c r="J47" s="50"/>
    </row>
    <row r="48" spans="1:10" x14ac:dyDescent="0.2">
      <c r="A48" t="s">
        <v>193</v>
      </c>
      <c r="B48" s="120">
        <f>INCOME!B54</f>
        <v>15</v>
      </c>
      <c r="D48" s="29">
        <v>15</v>
      </c>
      <c r="E48" s="58"/>
      <c r="F48" s="9"/>
      <c r="G48" s="9"/>
      <c r="H48" s="50"/>
      <c r="I48" s="9"/>
      <c r="J48" s="50"/>
    </row>
    <row r="49" spans="1:10" x14ac:dyDescent="0.2">
      <c r="A49" s="50" t="s">
        <v>301</v>
      </c>
      <c r="B49" s="120">
        <f>INCOME!B56</f>
        <v>217</v>
      </c>
      <c r="D49" s="29"/>
      <c r="E49" s="58"/>
      <c r="F49" s="9"/>
      <c r="G49" s="9"/>
      <c r="H49" s="50"/>
      <c r="I49" s="9"/>
      <c r="J49" s="50"/>
    </row>
    <row r="50" spans="1:10" x14ac:dyDescent="0.2">
      <c r="A50" s="50" t="s">
        <v>305</v>
      </c>
      <c r="B50" s="120">
        <f>INCOME!B57</f>
        <v>40</v>
      </c>
      <c r="D50" s="29"/>
      <c r="E50" s="58"/>
      <c r="F50" s="9"/>
      <c r="G50" s="9"/>
      <c r="H50" s="50"/>
      <c r="I50" s="9"/>
      <c r="J50" s="50"/>
    </row>
    <row r="51" spans="1:10" x14ac:dyDescent="0.2">
      <c r="A51" s="50" t="s">
        <v>17</v>
      </c>
      <c r="B51" s="120">
        <f>INCOME!B44</f>
        <v>683</v>
      </c>
      <c r="D51" s="29">
        <v>15</v>
      </c>
      <c r="E51" s="58"/>
      <c r="F51" s="9"/>
      <c r="G51" s="9"/>
      <c r="H51" s="50"/>
      <c r="I51" s="9"/>
      <c r="J51" s="50"/>
    </row>
    <row r="52" spans="1:10" x14ac:dyDescent="0.2">
      <c r="A52" t="s">
        <v>182</v>
      </c>
      <c r="B52" s="120">
        <f>INCOME!B58</f>
        <v>50</v>
      </c>
      <c r="D52" s="29">
        <v>315</v>
      </c>
      <c r="F52" s="9"/>
      <c r="G52" s="9"/>
      <c r="H52" s="50"/>
      <c r="I52" s="9"/>
      <c r="J52" s="50"/>
    </row>
    <row r="53" spans="1:10" x14ac:dyDescent="0.2">
      <c r="A53" s="50" t="s">
        <v>46</v>
      </c>
      <c r="B53" s="120">
        <f>INCOME!B59</f>
        <v>0</v>
      </c>
      <c r="D53" s="29">
        <v>0</v>
      </c>
      <c r="F53" s="9"/>
      <c r="G53" s="9"/>
      <c r="H53" s="50"/>
      <c r="I53" s="9"/>
      <c r="J53" s="50"/>
    </row>
    <row r="54" spans="1:10" x14ac:dyDescent="0.2">
      <c r="A54" t="s">
        <v>125</v>
      </c>
      <c r="B54" s="120">
        <f>INCOME!B60</f>
        <v>3206.06</v>
      </c>
      <c r="D54" s="29">
        <v>2814.93</v>
      </c>
      <c r="F54" s="9"/>
      <c r="G54" s="9"/>
      <c r="H54" s="50"/>
      <c r="I54" s="9"/>
      <c r="J54" s="50"/>
    </row>
    <row r="55" spans="1:10" ht="14.25" customHeight="1" x14ac:dyDescent="0.2">
      <c r="A55" s="58" t="s">
        <v>8</v>
      </c>
      <c r="B55" s="121">
        <f>SUM(B44:B54)</f>
        <v>10576.789999999999</v>
      </c>
      <c r="D55" s="26">
        <v>10751.61</v>
      </c>
      <c r="F55" s="87"/>
      <c r="G55" s="87">
        <f>SUM(B50:B53)</f>
        <v>773</v>
      </c>
      <c r="H55" s="87">
        <f>B54+B49</f>
        <v>3423.06</v>
      </c>
      <c r="I55" s="87">
        <f>SUM(B44:B48)</f>
        <v>6380.73</v>
      </c>
      <c r="J55" s="87">
        <f>SUM(F55:I55)</f>
        <v>10576.789999999999</v>
      </c>
    </row>
    <row r="56" spans="1:10" x14ac:dyDescent="0.2">
      <c r="A56" t="s">
        <v>119</v>
      </c>
      <c r="B56" s="88">
        <f>INCOME!B61</f>
        <v>23721.98</v>
      </c>
      <c r="C56" s="20"/>
      <c r="D56" s="29">
        <v>19925.98</v>
      </c>
      <c r="E56" s="29"/>
      <c r="F56" s="9"/>
      <c r="G56" s="9"/>
      <c r="H56" s="50"/>
      <c r="I56" s="9"/>
      <c r="J56" s="50"/>
    </row>
    <row r="57" spans="1:10" ht="15" customHeight="1" x14ac:dyDescent="0.2">
      <c r="A57" s="58" t="s">
        <v>10</v>
      </c>
      <c r="B57" s="122">
        <f>SUM(B56:B56)</f>
        <v>23721.98</v>
      </c>
      <c r="D57" s="70">
        <v>19925.98</v>
      </c>
      <c r="F57" s="88"/>
      <c r="G57" s="88">
        <f>B56</f>
        <v>23721.98</v>
      </c>
      <c r="H57" s="89"/>
      <c r="I57" s="88"/>
      <c r="J57" s="90">
        <f>SUM(F57:I57)</f>
        <v>23721.98</v>
      </c>
    </row>
    <row r="58" spans="1:10" x14ac:dyDescent="0.2">
      <c r="A58" t="s">
        <v>33</v>
      </c>
      <c r="B58" s="9">
        <f>INCOME!B62</f>
        <v>35259.800000000003</v>
      </c>
      <c r="D58" s="9">
        <v>28279.74</v>
      </c>
      <c r="E58" s="58"/>
      <c r="F58" s="9"/>
      <c r="G58" s="9"/>
      <c r="H58" s="50"/>
      <c r="I58" s="9">
        <f>B58</f>
        <v>35259.800000000003</v>
      </c>
      <c r="J58" s="57">
        <f>SUM(F58:I58)</f>
        <v>35259.800000000003</v>
      </c>
    </row>
    <row r="59" spans="1:10" ht="25.5" x14ac:dyDescent="0.2">
      <c r="A59" s="51" t="s">
        <v>13</v>
      </c>
      <c r="B59" s="9">
        <f>INCOME!B63</f>
        <v>8484.93</v>
      </c>
      <c r="D59" s="9">
        <v>8884.9</v>
      </c>
      <c r="E59" s="59"/>
      <c r="F59" s="9">
        <f>$B$59*WAGES!I24</f>
        <v>0</v>
      </c>
      <c r="G59" s="9">
        <f>$B$59*WAGES!F24</f>
        <v>4332.8343372482805</v>
      </c>
      <c r="H59" s="9">
        <f>ROUND($B$59*WAGES!E24,2)</f>
        <v>3140.12</v>
      </c>
      <c r="I59" s="9">
        <f>ROUND($B$59*WAGES!H24,2)</f>
        <v>1011.97</v>
      </c>
      <c r="J59" s="57">
        <f>SUM(F59:I59)</f>
        <v>8484.9243372482797</v>
      </c>
    </row>
    <row r="60" spans="1:10" x14ac:dyDescent="0.2">
      <c r="A60" t="s">
        <v>36</v>
      </c>
      <c r="B60" s="9">
        <f>INCOME!B64</f>
        <v>209.6</v>
      </c>
      <c r="C60" s="58"/>
      <c r="D60" s="9">
        <v>101.8</v>
      </c>
      <c r="E60" s="58"/>
      <c r="F60" s="9"/>
      <c r="G60" s="9"/>
      <c r="H60" s="50"/>
      <c r="I60" s="9">
        <f>B60</f>
        <v>209.6</v>
      </c>
      <c r="J60" s="57">
        <f>SUM(F60:I60)</f>
        <v>209.6</v>
      </c>
    </row>
    <row r="61" spans="1:10" x14ac:dyDescent="0.2">
      <c r="A61" s="50" t="s">
        <v>12</v>
      </c>
      <c r="B61" s="9">
        <f>INCOME!B65</f>
        <v>52349</v>
      </c>
      <c r="C61" s="15"/>
      <c r="D61" s="9">
        <v>35322.5</v>
      </c>
      <c r="E61" s="58"/>
      <c r="F61" s="9"/>
      <c r="G61" s="9"/>
      <c r="H61" s="50"/>
      <c r="I61" s="9">
        <f>B61</f>
        <v>52349</v>
      </c>
      <c r="J61" s="57">
        <f>SUM(F61:I61)</f>
        <v>52349</v>
      </c>
    </row>
    <row r="62" spans="1:10" x14ac:dyDescent="0.2">
      <c r="D62" s="50"/>
      <c r="E62" s="29"/>
      <c r="F62" s="9"/>
      <c r="G62" s="9"/>
      <c r="H62" s="50"/>
      <c r="I62" s="9"/>
      <c r="J62" s="50"/>
    </row>
    <row r="63" spans="1:10" x14ac:dyDescent="0.2">
      <c r="A63" t="s">
        <v>39</v>
      </c>
      <c r="B63" s="74">
        <f>INCOME!B55</f>
        <v>2331</v>
      </c>
      <c r="D63" s="57">
        <v>2141.6799999999998</v>
      </c>
      <c r="E63" s="29"/>
      <c r="F63" s="9"/>
      <c r="G63" s="9"/>
      <c r="H63" s="50"/>
      <c r="I63" s="9"/>
      <c r="J63" s="50"/>
    </row>
    <row r="64" spans="1:10" x14ac:dyDescent="0.2">
      <c r="A64" t="s">
        <v>115</v>
      </c>
      <c r="B64" s="91">
        <f>INCOME!B66</f>
        <v>4938.2</v>
      </c>
      <c r="D64" s="60">
        <v>5772.01</v>
      </c>
      <c r="E64" s="30"/>
      <c r="F64" s="9"/>
      <c r="G64" s="9"/>
      <c r="H64" s="50"/>
      <c r="I64" s="9"/>
      <c r="J64" s="50"/>
    </row>
    <row r="65" spans="1:10" x14ac:dyDescent="0.2">
      <c r="A65" t="s">
        <v>116</v>
      </c>
      <c r="B65" s="91">
        <f>INCOME!B67</f>
        <v>56606.23</v>
      </c>
      <c r="D65" s="60">
        <v>47093.96</v>
      </c>
      <c r="E65" s="30"/>
      <c r="F65" s="60"/>
      <c r="G65" s="60"/>
      <c r="H65" s="50"/>
      <c r="I65" s="9"/>
      <c r="J65" s="50"/>
    </row>
    <row r="66" spans="1:10" x14ac:dyDescent="0.2">
      <c r="A66" s="2" t="s">
        <v>5</v>
      </c>
      <c r="B66" s="91">
        <f>INCOME!B68</f>
        <v>60746.559999999998</v>
      </c>
      <c r="D66" s="60">
        <v>64119.88</v>
      </c>
      <c r="E66" s="63"/>
      <c r="F66" s="9"/>
      <c r="G66" s="9"/>
      <c r="H66" s="50"/>
      <c r="I66" s="9"/>
      <c r="J66" s="50"/>
    </row>
    <row r="67" spans="1:10" x14ac:dyDescent="0.2">
      <c r="A67" t="s">
        <v>190</v>
      </c>
      <c r="B67" s="91">
        <f>INCOME!B69</f>
        <v>-6500.1</v>
      </c>
      <c r="D67" s="60">
        <v>-2454.25</v>
      </c>
      <c r="E67" s="57"/>
      <c r="F67" s="9"/>
      <c r="G67" s="9"/>
      <c r="H67" s="50"/>
      <c r="I67" s="9"/>
      <c r="J67" s="50"/>
    </row>
    <row r="68" spans="1:10" x14ac:dyDescent="0.2">
      <c r="B68" s="123">
        <f>SUM(B63:B67)</f>
        <v>118121.88999999998</v>
      </c>
      <c r="C68" s="20"/>
      <c r="D68" s="76">
        <v>116673.28</v>
      </c>
      <c r="E68" s="20"/>
      <c r="F68" s="91"/>
      <c r="G68" s="91">
        <f>B63+B66+B67</f>
        <v>56577.46</v>
      </c>
      <c r="H68" s="91">
        <f>B64+B65-I68</f>
        <v>60244.43</v>
      </c>
      <c r="I68" s="74">
        <v>1300</v>
      </c>
      <c r="J68" s="74">
        <f>SUM(F68:I68)</f>
        <v>118121.89</v>
      </c>
    </row>
    <row r="69" spans="1:10" x14ac:dyDescent="0.2">
      <c r="B69" s="75"/>
      <c r="C69" s="61"/>
      <c r="D69" s="29"/>
      <c r="E69" s="61"/>
      <c r="F69" s="9"/>
      <c r="G69" s="9"/>
      <c r="H69" s="50"/>
      <c r="I69" s="9"/>
      <c r="J69" s="50"/>
    </row>
    <row r="70" spans="1:10" x14ac:dyDescent="0.2">
      <c r="A70" t="s">
        <v>38</v>
      </c>
      <c r="B70" s="64">
        <f>INCOME!B48</f>
        <v>380.96</v>
      </c>
      <c r="C70" s="20"/>
      <c r="D70" s="58">
        <v>624.47</v>
      </c>
      <c r="E70" s="61"/>
      <c r="F70" s="9"/>
      <c r="G70" s="9"/>
      <c r="H70" s="50"/>
      <c r="I70" s="9"/>
      <c r="J70" s="50"/>
    </row>
    <row r="71" spans="1:10" x14ac:dyDescent="0.2">
      <c r="A71" t="s">
        <v>191</v>
      </c>
      <c r="B71" s="64">
        <f>INCOME!B42</f>
        <v>23355.25</v>
      </c>
      <c r="D71" s="58">
        <v>18462.12</v>
      </c>
      <c r="E71" s="61"/>
      <c r="F71" s="9"/>
      <c r="G71" s="9"/>
      <c r="H71" s="50"/>
      <c r="I71" s="9"/>
      <c r="J71" s="50"/>
    </row>
    <row r="72" spans="1:10" x14ac:dyDescent="0.2">
      <c r="A72" t="s">
        <v>111</v>
      </c>
      <c r="B72" s="64">
        <f>INCOME!B70</f>
        <v>2400</v>
      </c>
      <c r="D72" s="58">
        <v>2600</v>
      </c>
      <c r="E72" s="29"/>
      <c r="F72" s="9"/>
      <c r="G72" s="9"/>
      <c r="H72" s="50"/>
      <c r="I72" s="9"/>
      <c r="J72" s="50"/>
    </row>
    <row r="73" spans="1:10" x14ac:dyDescent="0.2">
      <c r="A73" t="s">
        <v>31</v>
      </c>
      <c r="B73" s="64">
        <f>INCOME!B71</f>
        <v>8877.2199999999993</v>
      </c>
      <c r="D73" s="58">
        <v>3136.29</v>
      </c>
      <c r="E73" s="30"/>
      <c r="F73" s="9"/>
      <c r="G73" s="9"/>
      <c r="H73" s="50"/>
      <c r="I73" s="9"/>
      <c r="J73" s="50"/>
    </row>
    <row r="74" spans="1:10" x14ac:dyDescent="0.2">
      <c r="A74" t="s">
        <v>148</v>
      </c>
      <c r="B74" s="64">
        <f>INCOME!B73</f>
        <v>8283</v>
      </c>
      <c r="D74" s="58">
        <v>1355</v>
      </c>
      <c r="E74" s="29"/>
      <c r="F74" s="9"/>
      <c r="G74" s="9"/>
      <c r="H74" s="50"/>
      <c r="I74" s="9"/>
      <c r="J74" s="50"/>
    </row>
    <row r="75" spans="1:10" x14ac:dyDescent="0.2">
      <c r="A75" t="s">
        <v>112</v>
      </c>
      <c r="B75" s="64">
        <f>INCOME!B72</f>
        <v>1772.47</v>
      </c>
      <c r="D75" s="58">
        <v>560.96</v>
      </c>
      <c r="E75" s="30"/>
      <c r="F75" s="9"/>
      <c r="G75" s="9"/>
      <c r="H75" s="50"/>
      <c r="I75" s="9"/>
      <c r="J75" s="50"/>
    </row>
    <row r="76" spans="1:10" x14ac:dyDescent="0.2">
      <c r="A76" t="s">
        <v>29</v>
      </c>
      <c r="B76" s="64">
        <f>INCOME!B74</f>
        <v>3685.31</v>
      </c>
      <c r="D76" s="58">
        <v>3439.21</v>
      </c>
      <c r="E76" s="29"/>
      <c r="F76" s="9"/>
      <c r="G76" s="9"/>
      <c r="H76" s="50"/>
      <c r="I76" s="9"/>
      <c r="J76" s="50"/>
    </row>
    <row r="77" spans="1:10" x14ac:dyDescent="0.2">
      <c r="A77" s="50" t="s">
        <v>234</v>
      </c>
      <c r="B77" s="64">
        <f>INCOME!B76</f>
        <v>29565.87</v>
      </c>
      <c r="D77" s="58">
        <v>23175.64</v>
      </c>
      <c r="E77" s="63"/>
      <c r="F77" s="9"/>
      <c r="G77" s="9"/>
      <c r="H77" s="50"/>
      <c r="I77" s="9"/>
      <c r="J77" s="50"/>
    </row>
    <row r="78" spans="1:10" x14ac:dyDescent="0.2">
      <c r="A78" t="s">
        <v>32</v>
      </c>
      <c r="B78" s="64">
        <f>INCOME!B77</f>
        <v>575</v>
      </c>
      <c r="D78" s="29">
        <v>444.75</v>
      </c>
      <c r="E78" s="20"/>
      <c r="F78" s="9"/>
      <c r="G78" s="9"/>
      <c r="H78" s="50"/>
      <c r="I78" s="9"/>
      <c r="J78" s="50"/>
    </row>
    <row r="79" spans="1:10" x14ac:dyDescent="0.2">
      <c r="A79" t="s">
        <v>147</v>
      </c>
      <c r="B79" s="64">
        <f>INCOME!B75</f>
        <v>12736.82</v>
      </c>
      <c r="C79" s="20"/>
      <c r="D79" s="29">
        <v>13112.82</v>
      </c>
      <c r="E79" s="61"/>
      <c r="F79" s="9"/>
      <c r="G79" s="9"/>
      <c r="H79" s="50"/>
      <c r="I79" s="9"/>
      <c r="J79" s="50"/>
    </row>
    <row r="80" spans="1:10" x14ac:dyDescent="0.2">
      <c r="A80" s="50" t="s">
        <v>272</v>
      </c>
      <c r="B80" s="64">
        <f>INCOME!B90</f>
        <v>0</v>
      </c>
      <c r="C80" s="20"/>
      <c r="D80" s="29">
        <v>1010</v>
      </c>
      <c r="E80" s="61"/>
      <c r="F80" s="9"/>
      <c r="G80" s="9"/>
      <c r="H80" s="50"/>
      <c r="I80" s="9"/>
      <c r="J80" s="50"/>
    </row>
    <row r="81" spans="1:10" x14ac:dyDescent="0.2">
      <c r="B81" s="82">
        <f>SUM(B70:B80)</f>
        <v>91631.9</v>
      </c>
      <c r="D81" s="70">
        <v>67921.260000000009</v>
      </c>
      <c r="E81" s="29"/>
      <c r="F81" s="83"/>
      <c r="G81" s="83">
        <f>+B73+B75+B77+B70</f>
        <v>40596.519999999997</v>
      </c>
      <c r="H81" s="92">
        <f>B71+B72+B74+B76+B78+B79</f>
        <v>51035.38</v>
      </c>
      <c r="I81" s="92">
        <f>B80</f>
        <v>0</v>
      </c>
      <c r="J81" s="92">
        <f>SUM(F81:I81)</f>
        <v>91631.9</v>
      </c>
    </row>
    <row r="82" spans="1:10" x14ac:dyDescent="0.2">
      <c r="B82" s="57"/>
      <c r="E82" s="29"/>
      <c r="F82" s="9"/>
      <c r="G82" s="9"/>
      <c r="H82" s="50"/>
      <c r="I82" s="9"/>
      <c r="J82" s="50"/>
    </row>
    <row r="83" spans="1:10" x14ac:dyDescent="0.2">
      <c r="A83" t="s">
        <v>103</v>
      </c>
      <c r="B83" s="9">
        <f>INCOME!B82</f>
        <v>1121957.3400000001</v>
      </c>
      <c r="C83" s="15"/>
      <c r="D83" s="29">
        <v>1056334.67</v>
      </c>
      <c r="E83" s="29"/>
      <c r="F83" s="9">
        <f>B83</f>
        <v>1121957.3400000001</v>
      </c>
      <c r="G83" s="9"/>
      <c r="H83" s="50"/>
      <c r="I83" s="9"/>
      <c r="J83" s="57">
        <f>SUM(F83:I83)</f>
        <v>1121957.3400000001</v>
      </c>
    </row>
    <row r="84" spans="1:10" x14ac:dyDescent="0.2">
      <c r="A84" s="50" t="s">
        <v>105</v>
      </c>
      <c r="B84" s="9">
        <f>INCOME!B83</f>
        <v>452766.49</v>
      </c>
      <c r="C84" s="15"/>
      <c r="D84" s="29">
        <v>416290.92</v>
      </c>
      <c r="E84" s="29"/>
      <c r="F84" s="9"/>
      <c r="G84" s="9">
        <f>WAGES!F23</f>
        <v>231205.46600000001</v>
      </c>
      <c r="H84" s="57">
        <f>WAGES!E23</f>
        <v>167561</v>
      </c>
      <c r="I84" s="57">
        <f>WAGES!H23</f>
        <v>54000.023999999998</v>
      </c>
      <c r="J84" s="57">
        <f>SUM(F84:I84)</f>
        <v>452766.49</v>
      </c>
    </row>
    <row r="85" spans="1:10" x14ac:dyDescent="0.2">
      <c r="A85" s="50" t="s">
        <v>106</v>
      </c>
      <c r="B85" s="9">
        <f>INCOME!B84</f>
        <v>-16400</v>
      </c>
      <c r="C85" s="15"/>
      <c r="D85" s="29">
        <v>-22200</v>
      </c>
      <c r="E85" s="29"/>
      <c r="F85" s="9"/>
      <c r="G85" s="9">
        <f>B85</f>
        <v>-16400</v>
      </c>
      <c r="H85" s="50"/>
      <c r="I85" s="9"/>
      <c r="J85" s="57">
        <f>SUM(F85:I85)</f>
        <v>-16400</v>
      </c>
    </row>
    <row r="86" spans="1:10" x14ac:dyDescent="0.2">
      <c r="A86" s="50" t="s">
        <v>131</v>
      </c>
      <c r="B86" s="9">
        <f>INCOME!B49</f>
        <v>37500</v>
      </c>
      <c r="C86" s="15"/>
      <c r="D86" s="29">
        <v>31900</v>
      </c>
      <c r="E86" s="29"/>
      <c r="F86" s="9"/>
      <c r="G86" s="9"/>
      <c r="H86" s="50"/>
      <c r="I86" s="57">
        <f>B86</f>
        <v>37500</v>
      </c>
      <c r="J86" s="57">
        <f>SUM(F86:I86)</f>
        <v>37500</v>
      </c>
    </row>
    <row r="87" spans="1:10" x14ac:dyDescent="0.2">
      <c r="A87" t="s">
        <v>113</v>
      </c>
      <c r="B87" s="9">
        <f>INCOME!B85</f>
        <v>11149.95</v>
      </c>
      <c r="D87" s="29">
        <v>8127.15</v>
      </c>
      <c r="E87" s="29"/>
      <c r="F87" s="9">
        <f>B87</f>
        <v>11149.95</v>
      </c>
      <c r="G87" s="9"/>
      <c r="H87" s="50"/>
      <c r="I87" s="9"/>
      <c r="J87" s="57">
        <f>B87</f>
        <v>11149.95</v>
      </c>
    </row>
    <row r="88" spans="1:10" x14ac:dyDescent="0.2">
      <c r="A88" t="s">
        <v>4</v>
      </c>
      <c r="B88" s="9">
        <f>INCOME!B86</f>
        <v>3673.44</v>
      </c>
      <c r="D88" s="29">
        <v>4091.47</v>
      </c>
      <c r="E88" s="29"/>
      <c r="F88" s="9"/>
      <c r="G88" s="9"/>
      <c r="H88" s="57">
        <f>B88</f>
        <v>3673.44</v>
      </c>
      <c r="I88" s="9"/>
      <c r="J88" s="57">
        <f>B88</f>
        <v>3673.44</v>
      </c>
    </row>
    <row r="89" spans="1:10" x14ac:dyDescent="0.2">
      <c r="A89" t="s">
        <v>124</v>
      </c>
      <c r="B89" s="9">
        <f>INCOME!B87</f>
        <v>5706.73</v>
      </c>
      <c r="D89" s="29">
        <v>4904.16</v>
      </c>
      <c r="E89" s="29"/>
      <c r="F89" s="9"/>
      <c r="G89" s="9"/>
      <c r="H89" s="57">
        <f>B89</f>
        <v>5706.73</v>
      </c>
      <c r="I89" s="9"/>
      <c r="J89" s="57">
        <f>B89</f>
        <v>5706.73</v>
      </c>
    </row>
    <row r="90" spans="1:10" x14ac:dyDescent="0.2">
      <c r="A90" t="s">
        <v>102</v>
      </c>
      <c r="B90" s="9">
        <f>INCOME!B88</f>
        <v>6315.94</v>
      </c>
      <c r="C90" s="50"/>
      <c r="D90" s="29">
        <v>14355.54</v>
      </c>
      <c r="E90" s="29"/>
      <c r="F90" s="9"/>
      <c r="G90" s="9"/>
      <c r="H90" s="57">
        <f>B90</f>
        <v>6315.94</v>
      </c>
      <c r="I90" s="9"/>
      <c r="J90" s="57">
        <f>B90</f>
        <v>6315.94</v>
      </c>
    </row>
    <row r="91" spans="1:10" x14ac:dyDescent="0.2">
      <c r="A91" t="s">
        <v>200</v>
      </c>
      <c r="B91" s="9"/>
      <c r="C91" s="50"/>
      <c r="D91" s="29"/>
      <c r="E91" s="29"/>
      <c r="F91" s="9"/>
      <c r="G91" s="9"/>
      <c r="H91" s="57"/>
      <c r="I91" s="9"/>
      <c r="J91" s="57">
        <f>B91</f>
        <v>0</v>
      </c>
    </row>
    <row r="92" spans="1:10" x14ac:dyDescent="0.2">
      <c r="A92" t="s">
        <v>178</v>
      </c>
      <c r="B92" s="76">
        <f>B83+B84+B85+B86+B87+B88+B89+B90+B81+B68+B61+B60+B59+B58+B57+B55+B42+B36+B35+B34+B91</f>
        <v>2067847.7899999998</v>
      </c>
      <c r="C92" s="20"/>
      <c r="D92" s="76">
        <v>1891739.4099999997</v>
      </c>
      <c r="E92" s="19"/>
      <c r="F92" s="71">
        <f>SUM(F34:F91)</f>
        <v>1133107.29</v>
      </c>
      <c r="G92" s="71">
        <f>SUM(G34:G91)</f>
        <v>386058.34033724829</v>
      </c>
      <c r="H92" s="71">
        <f>SUM(H34:H91)</f>
        <v>348991.11</v>
      </c>
      <c r="I92" s="71">
        <f>SUM(I34:I91)</f>
        <v>199691.04399999999</v>
      </c>
      <c r="J92" s="71">
        <f>SUM(J34:J91)</f>
        <v>2067847.7843372482</v>
      </c>
    </row>
    <row r="93" spans="1:10" x14ac:dyDescent="0.2">
      <c r="B93" s="60"/>
      <c r="D93" s="29"/>
      <c r="E93" s="29"/>
    </row>
    <row r="94" spans="1:10" x14ac:dyDescent="0.2">
      <c r="A94" t="s">
        <v>104</v>
      </c>
      <c r="B94" s="9">
        <f>INCOME!B78</f>
        <v>34636.68</v>
      </c>
      <c r="C94" s="15"/>
      <c r="D94" s="29">
        <v>31849.38</v>
      </c>
      <c r="E94" s="29"/>
      <c r="J94" s="8"/>
    </row>
    <row r="95" spans="1:10" ht="13.5" customHeight="1" x14ac:dyDescent="0.2">
      <c r="A95" t="s">
        <v>34</v>
      </c>
      <c r="B95" s="9">
        <f>INCOME!B79</f>
        <v>1318.42</v>
      </c>
      <c r="C95" s="15"/>
      <c r="D95" s="29">
        <v>1007.99</v>
      </c>
      <c r="E95" s="29"/>
    </row>
    <row r="96" spans="1:10" ht="13.5" customHeight="1" x14ac:dyDescent="0.2">
      <c r="A96" t="s">
        <v>126</v>
      </c>
      <c r="B96" s="9">
        <f>INCOME!B81</f>
        <v>3958.49</v>
      </c>
      <c r="D96" s="29">
        <v>3072.65</v>
      </c>
      <c r="E96" s="29"/>
    </row>
    <row r="97" spans="1:5" ht="13.5" customHeight="1" x14ac:dyDescent="0.2">
      <c r="A97" s="50" t="s">
        <v>45</v>
      </c>
      <c r="B97" s="9">
        <f>INCOME!B89</f>
        <v>878.32</v>
      </c>
      <c r="D97" s="29">
        <v>831.94</v>
      </c>
      <c r="E97" s="29"/>
    </row>
    <row r="98" spans="1:5" x14ac:dyDescent="0.2">
      <c r="A98" t="s">
        <v>177</v>
      </c>
      <c r="B98" s="70">
        <f>SUM(B94:B97)</f>
        <v>40791.909999999996</v>
      </c>
      <c r="D98" s="70">
        <v>36761.960000000006</v>
      </c>
      <c r="E98" s="20"/>
    </row>
    <row r="99" spans="1:5" x14ac:dyDescent="0.2">
      <c r="B99" s="57"/>
      <c r="D99" s="20"/>
      <c r="E99" s="20"/>
    </row>
    <row r="100" spans="1:5" x14ac:dyDescent="0.2">
      <c r="A100" t="s">
        <v>118</v>
      </c>
      <c r="B100" s="9">
        <f>INCOME!B92</f>
        <v>574172.31999999995</v>
      </c>
      <c r="C100" s="15"/>
      <c r="D100" s="29">
        <v>462974.7</v>
      </c>
      <c r="E100" s="29"/>
    </row>
    <row r="101" spans="1:5" x14ac:dyDescent="0.2">
      <c r="A101" t="s">
        <v>179</v>
      </c>
      <c r="B101" s="71">
        <f>B92+B98+B100</f>
        <v>2682812.0199999996</v>
      </c>
      <c r="C101" s="15"/>
      <c r="D101" s="71">
        <v>2391476.0699999998</v>
      </c>
      <c r="E101" s="29"/>
    </row>
    <row r="102" spans="1:5" x14ac:dyDescent="0.2">
      <c r="A102" s="50" t="s">
        <v>40</v>
      </c>
      <c r="B102" s="60">
        <f>INCOME!B32</f>
        <v>2867.32</v>
      </c>
      <c r="C102" s="15"/>
      <c r="D102" s="29">
        <v>2631.82</v>
      </c>
      <c r="E102" s="29"/>
    </row>
    <row r="103" spans="1:5" x14ac:dyDescent="0.2">
      <c r="A103" s="50" t="s">
        <v>309</v>
      </c>
      <c r="B103" s="60">
        <f>INCOME!B33</f>
        <v>1510.29</v>
      </c>
      <c r="C103" s="15"/>
      <c r="D103" s="29"/>
      <c r="E103" s="29"/>
    </row>
    <row r="104" spans="1:5" x14ac:dyDescent="0.2">
      <c r="A104" s="50" t="s">
        <v>1</v>
      </c>
      <c r="B104" s="60">
        <f>INCOME!B91</f>
        <v>73849.149999999994</v>
      </c>
      <c r="C104" s="15"/>
      <c r="D104" s="29">
        <v>20631.57</v>
      </c>
      <c r="E104" s="29"/>
    </row>
    <row r="105" spans="1:5" x14ac:dyDescent="0.2">
      <c r="A105" t="s">
        <v>26</v>
      </c>
      <c r="B105" s="70">
        <f>SUM(B101:B104)</f>
        <v>2761038.7799999993</v>
      </c>
      <c r="D105" s="70">
        <v>2414739.4599999995</v>
      </c>
      <c r="E105" s="29"/>
    </row>
    <row r="106" spans="1:5" x14ac:dyDescent="0.2">
      <c r="B106" s="9"/>
      <c r="C106" s="56"/>
      <c r="D106" s="29"/>
      <c r="E106" s="29"/>
    </row>
    <row r="107" spans="1:5" ht="13.5" thickBot="1" x14ac:dyDescent="0.25">
      <c r="A107" t="s">
        <v>208</v>
      </c>
      <c r="B107" s="78">
        <f>B32-B105</f>
        <v>129063.55000000075</v>
      </c>
      <c r="D107" s="78">
        <v>311777.27</v>
      </c>
    </row>
    <row r="108" spans="1:5" ht="13.5" thickTop="1" x14ac:dyDescent="0.2">
      <c r="A108" t="s">
        <v>209</v>
      </c>
      <c r="B108" s="57"/>
    </row>
    <row r="109" spans="1:5" x14ac:dyDescent="0.2">
      <c r="A109" t="s">
        <v>205</v>
      </c>
      <c r="B109" s="60">
        <f>INCOME!C22</f>
        <v>76649.5</v>
      </c>
    </row>
    <row r="110" spans="1:5" x14ac:dyDescent="0.2">
      <c r="A110" s="50" t="s">
        <v>268</v>
      </c>
      <c r="B110" s="60">
        <f>INCOME!C26</f>
        <v>0</v>
      </c>
    </row>
    <row r="111" spans="1:5" x14ac:dyDescent="0.2">
      <c r="A111" s="50" t="s">
        <v>261</v>
      </c>
      <c r="B111" s="60">
        <f>INCOME!C24</f>
        <v>0</v>
      </c>
    </row>
    <row r="112" spans="1:5" x14ac:dyDescent="0.2">
      <c r="A112" t="s">
        <v>206</v>
      </c>
      <c r="B112" s="60">
        <f>INCOME!C25</f>
        <v>-6434</v>
      </c>
      <c r="C112" s="20"/>
    </row>
    <row r="113" spans="1:2" ht="13.5" thickBot="1" x14ac:dyDescent="0.25">
      <c r="A113" t="s">
        <v>210</v>
      </c>
      <c r="B113" s="85">
        <f>SUM(B107:B112)</f>
        <v>199279.05000000075</v>
      </c>
    </row>
    <row r="114" spans="1:2" ht="13.5" thickTop="1" x14ac:dyDescent="0.2">
      <c r="B114" s="60"/>
    </row>
    <row r="115" spans="1:2" x14ac:dyDescent="0.2">
      <c r="B115" s="60"/>
    </row>
    <row r="116" spans="1:2" x14ac:dyDescent="0.2">
      <c r="B116" s="60"/>
    </row>
    <row r="117" spans="1:2" x14ac:dyDescent="0.2">
      <c r="B117" s="60"/>
    </row>
    <row r="118" spans="1:2" x14ac:dyDescent="0.2">
      <c r="B118" s="60"/>
    </row>
    <row r="119" spans="1:2" x14ac:dyDescent="0.2">
      <c r="B119" s="60"/>
    </row>
    <row r="120" spans="1:2" x14ac:dyDescent="0.2">
      <c r="B120" s="60"/>
    </row>
    <row r="121" spans="1:2" x14ac:dyDescent="0.2">
      <c r="B121" s="60"/>
    </row>
    <row r="122" spans="1:2" x14ac:dyDescent="0.2">
      <c r="B122" s="60"/>
    </row>
    <row r="123" spans="1:2" x14ac:dyDescent="0.2">
      <c r="B123" s="60"/>
    </row>
    <row r="124" spans="1:2" x14ac:dyDescent="0.2">
      <c r="B124" s="60"/>
    </row>
    <row r="125" spans="1:2" x14ac:dyDescent="0.2">
      <c r="B125" s="60"/>
    </row>
  </sheetData>
  <phoneticPr fontId="0" type="noConversion"/>
  <printOptions gridLines="1" gridLinesSet="0"/>
  <pageMargins left="0" right="0" top="0.25" bottom="0" header="0" footer="0"/>
  <pageSetup paperSize="5" scale="82" fitToHeight="3"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D38928-5262-4D30-A77E-FA7325BA9816}">
  <sheetPr>
    <pageSetUpPr fitToPage="1"/>
  </sheetPr>
  <dimension ref="A1:I37"/>
  <sheetViews>
    <sheetView workbookViewId="0">
      <pane xSplit="1" ySplit="6" topLeftCell="B7" activePane="bottomRight" state="frozen"/>
      <selection pane="topRight" activeCell="B1" sqref="B1"/>
      <selection pane="bottomLeft" activeCell="A7" sqref="A7"/>
      <selection pane="bottomRight" activeCell="E23" sqref="E23"/>
    </sheetView>
  </sheetViews>
  <sheetFormatPr defaultRowHeight="12.75" x14ac:dyDescent="0.2"/>
  <cols>
    <col min="1" max="1" width="70.85546875" customWidth="1"/>
    <col min="2" max="2" width="14" bestFit="1" customWidth="1"/>
    <col min="3" max="3" width="17.85546875" bestFit="1" customWidth="1"/>
    <col min="4" max="4" width="15.140625" bestFit="1" customWidth="1"/>
    <col min="5" max="5" width="17.85546875" customWidth="1"/>
    <col min="6" max="6" width="17.28515625" bestFit="1" customWidth="1"/>
    <col min="7" max="7" width="11.140625" customWidth="1"/>
    <col min="8" max="8" width="13.42578125" customWidth="1"/>
  </cols>
  <sheetData>
    <row r="1" spans="1:9" x14ac:dyDescent="0.2">
      <c r="A1" s="130" t="s">
        <v>123</v>
      </c>
      <c r="B1" s="130"/>
      <c r="C1" s="130"/>
      <c r="D1" s="130"/>
      <c r="E1" s="130"/>
      <c r="F1" s="130"/>
      <c r="G1" s="130"/>
      <c r="H1" s="130"/>
    </row>
    <row r="2" spans="1:9" x14ac:dyDescent="0.2">
      <c r="A2" s="130" t="s">
        <v>253</v>
      </c>
      <c r="B2" s="130"/>
      <c r="C2" s="130"/>
      <c r="D2" s="130"/>
      <c r="E2" s="130"/>
      <c r="F2" s="130"/>
      <c r="G2" s="130"/>
      <c r="H2" s="130"/>
    </row>
    <row r="3" spans="1:9" x14ac:dyDescent="0.2">
      <c r="A3" s="131">
        <v>45657</v>
      </c>
      <c r="B3" s="131"/>
      <c r="C3" s="131"/>
      <c r="D3" s="131"/>
      <c r="E3" s="131"/>
      <c r="F3" s="131"/>
      <c r="G3" s="131"/>
      <c r="H3" s="131"/>
    </row>
    <row r="6" spans="1:9" ht="38.25" x14ac:dyDescent="0.2">
      <c r="A6" s="15" t="s">
        <v>285</v>
      </c>
      <c r="B6" s="22" t="s">
        <v>49</v>
      </c>
      <c r="C6" s="22" t="s">
        <v>236</v>
      </c>
      <c r="D6" s="108" t="s">
        <v>235</v>
      </c>
      <c r="E6" s="109" t="s">
        <v>237</v>
      </c>
      <c r="F6" s="22" t="s">
        <v>213</v>
      </c>
      <c r="G6" s="22" t="s">
        <v>202</v>
      </c>
      <c r="H6" s="22" t="s">
        <v>149</v>
      </c>
    </row>
    <row r="7" spans="1:9" x14ac:dyDescent="0.2">
      <c r="A7" s="50" t="s">
        <v>286</v>
      </c>
      <c r="B7" s="23">
        <v>2435.2199999999998</v>
      </c>
      <c r="C7" s="23">
        <v>139.44</v>
      </c>
      <c r="D7" s="23"/>
      <c r="E7" s="23"/>
      <c r="F7" s="23">
        <f>22.64+72.06</f>
        <v>94.7</v>
      </c>
      <c r="G7" s="23">
        <v>446.67</v>
      </c>
      <c r="H7" s="67">
        <f>SUM(B7:G7)</f>
        <v>3116.0299999999997</v>
      </c>
    </row>
    <row r="8" spans="1:9" x14ac:dyDescent="0.2">
      <c r="A8" s="50" t="s">
        <v>287</v>
      </c>
      <c r="B8" s="23">
        <v>1277.71</v>
      </c>
      <c r="C8" s="23">
        <v>41.33</v>
      </c>
      <c r="D8" s="23"/>
      <c r="E8" s="23"/>
      <c r="F8" s="23">
        <f>28.08+38.69</f>
        <v>66.77</v>
      </c>
      <c r="G8" s="23">
        <v>229.33</v>
      </c>
      <c r="H8" s="67">
        <f>SUM(B8:G8)</f>
        <v>1615.1399999999999</v>
      </c>
    </row>
    <row r="9" spans="1:9" x14ac:dyDescent="0.2">
      <c r="A9" s="50" t="s">
        <v>288</v>
      </c>
      <c r="B9" s="23">
        <v>3347.95</v>
      </c>
      <c r="C9" s="23">
        <v>130.03</v>
      </c>
      <c r="D9" s="23"/>
      <c r="E9" s="23">
        <v>25</v>
      </c>
      <c r="F9" s="23">
        <f>49.56+101.52</f>
        <v>151.07999999999998</v>
      </c>
      <c r="G9" s="23">
        <v>305.56</v>
      </c>
      <c r="H9" s="67">
        <f>SUM(B9:G9)</f>
        <v>3959.62</v>
      </c>
    </row>
    <row r="10" spans="1:9" x14ac:dyDescent="0.2">
      <c r="A10" s="50" t="s">
        <v>289</v>
      </c>
      <c r="B10" s="23">
        <v>5395.21</v>
      </c>
      <c r="C10" s="23">
        <v>341.21</v>
      </c>
      <c r="D10" s="23"/>
      <c r="E10" s="23"/>
      <c r="F10" s="23">
        <f>104.24+163.17</f>
        <v>267.40999999999997</v>
      </c>
      <c r="G10" s="23">
        <v>453.75</v>
      </c>
      <c r="H10" s="67">
        <f>SUM(B10:G10)</f>
        <v>6457.58</v>
      </c>
    </row>
    <row r="11" spans="1:9" x14ac:dyDescent="0.2">
      <c r="A11" s="50" t="s">
        <v>290</v>
      </c>
      <c r="B11" s="116">
        <f t="shared" ref="B11:H11" si="0">SUM(B7:B10)</f>
        <v>12456.09</v>
      </c>
      <c r="C11" s="116">
        <f t="shared" si="0"/>
        <v>652.01</v>
      </c>
      <c r="D11" s="116">
        <f t="shared" si="0"/>
        <v>0</v>
      </c>
      <c r="E11" s="116">
        <f t="shared" si="0"/>
        <v>25</v>
      </c>
      <c r="F11" s="62">
        <f t="shared" si="0"/>
        <v>579.95999999999992</v>
      </c>
      <c r="G11" s="62">
        <f t="shared" si="0"/>
        <v>1435.31</v>
      </c>
      <c r="H11" s="62">
        <f t="shared" si="0"/>
        <v>15148.37</v>
      </c>
      <c r="I11" s="115"/>
    </row>
    <row r="12" spans="1:9" x14ac:dyDescent="0.2">
      <c r="A12" s="50" t="s">
        <v>291</v>
      </c>
      <c r="B12" s="114">
        <v>11108.16</v>
      </c>
      <c r="C12" s="114">
        <v>625.76</v>
      </c>
      <c r="D12" s="114">
        <v>0</v>
      </c>
      <c r="E12" s="114">
        <v>25</v>
      </c>
      <c r="F12" s="63">
        <v>524.37</v>
      </c>
      <c r="G12" s="63">
        <v>1194.05</v>
      </c>
      <c r="H12" s="67">
        <f>SUM(B12:G12)</f>
        <v>13477.34</v>
      </c>
      <c r="I12" s="115" t="s">
        <v>258</v>
      </c>
    </row>
    <row r="13" spans="1:9" x14ac:dyDescent="0.2">
      <c r="A13" s="50" t="s">
        <v>259</v>
      </c>
      <c r="B13" s="95">
        <f>B11-B12</f>
        <v>1347.9300000000003</v>
      </c>
      <c r="C13" s="95">
        <f t="shared" ref="C13:H13" si="1">C11-C12</f>
        <v>26.25</v>
      </c>
      <c r="D13" s="95">
        <f t="shared" si="1"/>
        <v>0</v>
      </c>
      <c r="E13" s="95">
        <f t="shared" si="1"/>
        <v>0</v>
      </c>
      <c r="F13" s="95">
        <f t="shared" si="1"/>
        <v>55.589999999999918</v>
      </c>
      <c r="G13" s="95">
        <f t="shared" si="1"/>
        <v>241.26</v>
      </c>
      <c r="H13" s="95">
        <f t="shared" si="1"/>
        <v>1671.0300000000007</v>
      </c>
      <c r="I13" s="115" t="s">
        <v>258</v>
      </c>
    </row>
    <row r="14" spans="1:9" x14ac:dyDescent="0.2">
      <c r="B14" s="8"/>
      <c r="C14" s="8"/>
      <c r="D14" s="8"/>
      <c r="F14" s="8"/>
      <c r="G14" s="8"/>
    </row>
    <row r="15" spans="1:9" ht="25.5" x14ac:dyDescent="0.2">
      <c r="A15" s="51" t="s">
        <v>292</v>
      </c>
      <c r="B15" s="93">
        <v>110725.87</v>
      </c>
      <c r="C15" s="93">
        <v>4759.46</v>
      </c>
      <c r="D15" s="93">
        <v>1352.96</v>
      </c>
      <c r="E15" s="93">
        <v>210</v>
      </c>
      <c r="F15" s="93">
        <v>3469.04</v>
      </c>
      <c r="G15" s="93">
        <v>8270.18</v>
      </c>
      <c r="H15" s="93">
        <f>SUM(B15:G15)</f>
        <v>128787.51000000001</v>
      </c>
    </row>
    <row r="16" spans="1:9" x14ac:dyDescent="0.2">
      <c r="A16" s="50" t="s">
        <v>203</v>
      </c>
      <c r="B16" s="63">
        <f>B12+B15</f>
        <v>121834.03</v>
      </c>
      <c r="C16" s="63">
        <f t="shared" ref="C16:H16" si="2">C12+C15</f>
        <v>5385.22</v>
      </c>
      <c r="D16" s="63">
        <f t="shared" si="2"/>
        <v>1352.96</v>
      </c>
      <c r="E16" s="63">
        <f t="shared" si="2"/>
        <v>235</v>
      </c>
      <c r="F16" s="63">
        <f t="shared" si="2"/>
        <v>3993.41</v>
      </c>
      <c r="G16" s="63">
        <f t="shared" si="2"/>
        <v>9464.23</v>
      </c>
      <c r="H16" s="63">
        <f t="shared" si="2"/>
        <v>142264.85</v>
      </c>
    </row>
    <row r="17" spans="1:8" x14ac:dyDescent="0.2">
      <c r="A17" s="50" t="s">
        <v>293</v>
      </c>
      <c r="B17" s="95">
        <v>119032.32000000001</v>
      </c>
      <c r="C17" s="95">
        <v>5244.26</v>
      </c>
      <c r="D17" s="95">
        <v>1352.96</v>
      </c>
      <c r="E17" s="95">
        <v>235</v>
      </c>
      <c r="F17" s="95">
        <v>3900.26</v>
      </c>
      <c r="G17" s="95">
        <v>9320.23</v>
      </c>
      <c r="H17" s="95">
        <f>SUM(B17:G17)</f>
        <v>139085.03</v>
      </c>
    </row>
    <row r="18" spans="1:8" ht="13.5" thickBot="1" x14ac:dyDescent="0.25">
      <c r="A18" s="50" t="s">
        <v>214</v>
      </c>
      <c r="B18" s="117">
        <f t="shared" ref="B18:H18" si="3">B16-B17</f>
        <v>2801.7099999999919</v>
      </c>
      <c r="C18" s="117">
        <f>C16-C17</f>
        <v>140.96000000000004</v>
      </c>
      <c r="D18" s="117">
        <f>D16-D17</f>
        <v>0</v>
      </c>
      <c r="E18" s="117">
        <f>E16-E17</f>
        <v>0</v>
      </c>
      <c r="F18" s="96">
        <f>F16-F17</f>
        <v>93.149999999999636</v>
      </c>
      <c r="G18" s="96">
        <f t="shared" si="3"/>
        <v>144</v>
      </c>
      <c r="H18" s="96">
        <f t="shared" si="3"/>
        <v>3179.820000000007</v>
      </c>
    </row>
    <row r="19" spans="1:8" ht="13.5" thickTop="1" x14ac:dyDescent="0.2">
      <c r="H19" s="8"/>
    </row>
    <row r="20" spans="1:8" ht="13.5" thickBot="1" x14ac:dyDescent="0.25">
      <c r="A20" s="15" t="s">
        <v>245</v>
      </c>
      <c r="B20" s="110">
        <f>B18+C18+D18+E18</f>
        <v>2942.6699999999919</v>
      </c>
      <c r="H20" s="8"/>
    </row>
    <row r="21" spans="1:8" ht="13.5" thickTop="1" x14ac:dyDescent="0.2">
      <c r="H21" s="8"/>
    </row>
    <row r="22" spans="1:8" x14ac:dyDescent="0.2">
      <c r="A22" s="50" t="s">
        <v>217</v>
      </c>
      <c r="B22" s="111">
        <f>B12+C12+D12+E12-B20</f>
        <v>8816.2500000000073</v>
      </c>
      <c r="H22" s="8"/>
    </row>
    <row r="23" spans="1:8" x14ac:dyDescent="0.2">
      <c r="H23" s="8"/>
    </row>
    <row r="24" spans="1:8" x14ac:dyDescent="0.2">
      <c r="A24" s="50" t="s">
        <v>238</v>
      </c>
      <c r="H24" s="8"/>
    </row>
    <row r="25" spans="1:8" x14ac:dyDescent="0.2">
      <c r="A25" s="50"/>
      <c r="H25" s="8"/>
    </row>
    <row r="26" spans="1:8" x14ac:dyDescent="0.2">
      <c r="A26" s="50" t="s">
        <v>294</v>
      </c>
    </row>
    <row r="27" spans="1:8" x14ac:dyDescent="0.2">
      <c r="A27" s="50" t="s">
        <v>295</v>
      </c>
    </row>
    <row r="28" spans="1:8" x14ac:dyDescent="0.2">
      <c r="A28" s="50" t="s">
        <v>296</v>
      </c>
    </row>
    <row r="29" spans="1:8" ht="19.899999999999999" customHeight="1" x14ac:dyDescent="0.2">
      <c r="A29" s="50"/>
    </row>
    <row r="30" spans="1:8" x14ac:dyDescent="0.2">
      <c r="A30" s="50"/>
    </row>
    <row r="31" spans="1:8" x14ac:dyDescent="0.2">
      <c r="A31" s="50"/>
    </row>
    <row r="32" spans="1:8" x14ac:dyDescent="0.2">
      <c r="A32" s="50"/>
    </row>
    <row r="33" spans="1:1" ht="20.45" customHeight="1" x14ac:dyDescent="0.2">
      <c r="A33" s="50"/>
    </row>
    <row r="34" spans="1:1" x14ac:dyDescent="0.2">
      <c r="A34" s="50"/>
    </row>
    <row r="37" spans="1:1" x14ac:dyDescent="0.2">
      <c r="A37" s="50"/>
    </row>
  </sheetData>
  <mergeCells count="3">
    <mergeCell ref="A1:H1"/>
    <mergeCell ref="A2:H2"/>
    <mergeCell ref="A3:H3"/>
  </mergeCells>
  <phoneticPr fontId="9" type="noConversion"/>
  <pageMargins left="0.25" right="0.25" top="1" bottom="0.5" header="0.5" footer="0.5"/>
  <pageSetup scale="73" orientation="landscape" horizontalDpi="4294967293" r:id="rId1"/>
  <headerFooter alignWithMargins="0">
    <oddFooter>&amp;L&amp;F&amp;R&amp;A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ABB61C-C2C7-451D-8D17-D5C66AC6C69C}">
  <sheetPr>
    <pageSetUpPr fitToPage="1"/>
  </sheetPr>
  <dimension ref="A1:G43"/>
  <sheetViews>
    <sheetView workbookViewId="0">
      <selection activeCell="A21" sqref="A21"/>
    </sheetView>
  </sheetViews>
  <sheetFormatPr defaultRowHeight="12.75" x14ac:dyDescent="0.2"/>
  <cols>
    <col min="1" max="1" width="56.42578125" style="31" bestFit="1" customWidth="1"/>
    <col min="2" max="2" width="9.28515625" style="31" bestFit="1" customWidth="1"/>
    <col min="3" max="16384" width="9.140625" style="31"/>
  </cols>
  <sheetData>
    <row r="1" spans="1:4" x14ac:dyDescent="0.2">
      <c r="A1" s="33" t="s">
        <v>54</v>
      </c>
    </row>
    <row r="2" spans="1:4" x14ac:dyDescent="0.2">
      <c r="A2" s="31" t="s">
        <v>175</v>
      </c>
    </row>
    <row r="3" spans="1:4" x14ac:dyDescent="0.2">
      <c r="A3" s="77">
        <v>45657</v>
      </c>
    </row>
    <row r="5" spans="1:4" x14ac:dyDescent="0.2">
      <c r="A5" s="38" t="s">
        <v>174</v>
      </c>
      <c r="B5" s="38" t="s">
        <v>120</v>
      </c>
    </row>
    <row r="6" spans="1:4" x14ac:dyDescent="0.2">
      <c r="A6" s="31" t="s">
        <v>173</v>
      </c>
      <c r="B6" s="99">
        <v>3600</v>
      </c>
      <c r="D6" s="53"/>
    </row>
    <row r="7" spans="1:4" x14ac:dyDescent="0.2">
      <c r="A7" s="53" t="s">
        <v>283</v>
      </c>
      <c r="B7" s="99">
        <v>5500</v>
      </c>
    </row>
    <row r="8" spans="1:4" x14ac:dyDescent="0.2">
      <c r="A8" s="31" t="s">
        <v>172</v>
      </c>
      <c r="B8" s="99">
        <v>6000</v>
      </c>
    </row>
    <row r="9" spans="1:4" x14ac:dyDescent="0.2">
      <c r="A9" s="31" t="s">
        <v>171</v>
      </c>
      <c r="B9" s="99">
        <v>6000</v>
      </c>
    </row>
    <row r="10" spans="1:4" x14ac:dyDescent="0.2">
      <c r="A10" s="31" t="s">
        <v>170</v>
      </c>
      <c r="B10" s="99">
        <v>6000</v>
      </c>
    </row>
    <row r="11" spans="1:4" x14ac:dyDescent="0.2">
      <c r="A11" s="31" t="s">
        <v>169</v>
      </c>
      <c r="B11" s="99">
        <v>4400</v>
      </c>
    </row>
    <row r="12" spans="1:4" x14ac:dyDescent="0.2">
      <c r="A12" s="31" t="s">
        <v>121</v>
      </c>
      <c r="B12" s="100">
        <v>6000</v>
      </c>
    </row>
    <row r="13" spans="1:4" x14ac:dyDescent="0.2">
      <c r="A13" s="31" t="s">
        <v>150</v>
      </c>
      <c r="B13" s="48">
        <f>SUM(B6:B12)</f>
        <v>37500</v>
      </c>
    </row>
    <row r="14" spans="1:4" x14ac:dyDescent="0.2">
      <c r="A14" s="31" t="s">
        <v>168</v>
      </c>
      <c r="B14" s="49">
        <v>37500</v>
      </c>
    </row>
    <row r="15" spans="1:4" x14ac:dyDescent="0.2">
      <c r="A15" s="31" t="s">
        <v>167</v>
      </c>
      <c r="B15" s="48">
        <f>B13-B14</f>
        <v>0</v>
      </c>
    </row>
    <row r="17" spans="1:3" x14ac:dyDescent="0.2">
      <c r="A17" s="31" t="s">
        <v>166</v>
      </c>
      <c r="B17" s="47">
        <v>31900</v>
      </c>
    </row>
    <row r="18" spans="1:3" ht="13.5" thickBot="1" x14ac:dyDescent="0.25">
      <c r="A18" s="31" t="s">
        <v>195</v>
      </c>
      <c r="B18" s="94">
        <f>B13-B17</f>
        <v>5600</v>
      </c>
      <c r="C18" s="53" t="s">
        <v>188</v>
      </c>
    </row>
    <row r="19" spans="1:3" ht="13.5" thickTop="1" x14ac:dyDescent="0.2">
      <c r="B19" s="46"/>
    </row>
    <row r="20" spans="1:3" x14ac:dyDescent="0.2">
      <c r="A20" s="53" t="s">
        <v>279</v>
      </c>
      <c r="B20" s="46"/>
    </row>
    <row r="21" spans="1:3" x14ac:dyDescent="0.2">
      <c r="A21" s="53" t="s">
        <v>255</v>
      </c>
      <c r="B21" s="46"/>
    </row>
    <row r="22" spans="1:3" x14ac:dyDescent="0.2">
      <c r="A22" s="53" t="s">
        <v>256</v>
      </c>
      <c r="B22" s="46"/>
    </row>
    <row r="23" spans="1:3" x14ac:dyDescent="0.2">
      <c r="A23" s="53" t="s">
        <v>257</v>
      </c>
      <c r="B23" s="46"/>
    </row>
    <row r="24" spans="1:3" x14ac:dyDescent="0.2">
      <c r="A24" s="53" t="s">
        <v>281</v>
      </c>
      <c r="B24" s="46"/>
    </row>
    <row r="25" spans="1:3" x14ac:dyDescent="0.2">
      <c r="A25" s="53" t="s">
        <v>243</v>
      </c>
      <c r="B25" s="46"/>
    </row>
    <row r="26" spans="1:3" x14ac:dyDescent="0.2">
      <c r="A26" s="53" t="s">
        <v>282</v>
      </c>
      <c r="B26" s="46"/>
    </row>
    <row r="27" spans="1:3" x14ac:dyDescent="0.2">
      <c r="A27" s="53"/>
      <c r="B27" s="46"/>
    </row>
    <row r="43" spans="7:7" x14ac:dyDescent="0.2">
      <c r="G43" s="35"/>
    </row>
  </sheetData>
  <phoneticPr fontId="0" type="noConversion"/>
  <pageMargins left="0.75" right="0.75" top="2" bottom="1" header="0.5" footer="0.5"/>
  <pageSetup scale="96" orientation="portrait" horizontalDpi="300" verticalDpi="300" r:id="rId1"/>
  <headerFooter alignWithMargins="0">
    <oddFooter>&amp;L&amp;D  &amp;T&amp;C&amp;F&amp;R&amp;A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69D415-B017-4C14-B894-9A59309B8F00}">
  <sheetPr>
    <pageSetUpPr fitToPage="1"/>
  </sheetPr>
  <dimension ref="A1:I26"/>
  <sheetViews>
    <sheetView zoomScale="80" workbookViewId="0">
      <selection activeCell="D31" sqref="D31"/>
    </sheetView>
  </sheetViews>
  <sheetFormatPr defaultRowHeight="12.75" x14ac:dyDescent="0.2"/>
  <cols>
    <col min="1" max="1" width="10.85546875" style="31" bestFit="1" customWidth="1"/>
    <col min="2" max="2" width="17.7109375" style="31" customWidth="1"/>
    <col min="3" max="3" width="12.42578125" style="31" bestFit="1" customWidth="1"/>
    <col min="4" max="4" width="14.28515625" style="31" customWidth="1"/>
    <col min="5" max="5" width="12.28515625" style="31" customWidth="1"/>
    <col min="6" max="6" width="19" style="31" customWidth="1"/>
    <col min="7" max="7" width="2.42578125" style="31" customWidth="1"/>
    <col min="8" max="8" width="23.7109375" style="31" customWidth="1"/>
    <col min="9" max="9" width="19.5703125" style="31" customWidth="1"/>
    <col min="10" max="16384" width="9.140625" style="31"/>
  </cols>
  <sheetData>
    <row r="1" spans="1:9" x14ac:dyDescent="0.2">
      <c r="A1" s="33" t="s">
        <v>54</v>
      </c>
    </row>
    <row r="2" spans="1:9" x14ac:dyDescent="0.2">
      <c r="A2" s="31" t="s">
        <v>105</v>
      </c>
    </row>
    <row r="3" spans="1:9" x14ac:dyDescent="0.2">
      <c r="A3" s="45">
        <v>45657</v>
      </c>
    </row>
    <row r="4" spans="1:9" x14ac:dyDescent="0.2">
      <c r="A4" s="44"/>
      <c r="D4" s="53"/>
    </row>
    <row r="5" spans="1:9" x14ac:dyDescent="0.2">
      <c r="A5" s="38" t="s">
        <v>165</v>
      </c>
      <c r="E5" s="43" t="s">
        <v>164</v>
      </c>
    </row>
    <row r="6" spans="1:9" ht="25.5" x14ac:dyDescent="0.2">
      <c r="A6" s="38" t="s">
        <v>163</v>
      </c>
      <c r="B6" s="38"/>
      <c r="C6" s="42" t="s">
        <v>162</v>
      </c>
      <c r="D6" s="38" t="s">
        <v>161</v>
      </c>
      <c r="E6" s="38" t="s">
        <v>160</v>
      </c>
      <c r="F6" s="41" t="s">
        <v>159</v>
      </c>
      <c r="G6" s="41"/>
      <c r="H6" s="42" t="s">
        <v>158</v>
      </c>
      <c r="I6" s="41" t="s">
        <v>157</v>
      </c>
    </row>
    <row r="7" spans="1:9" x14ac:dyDescent="0.2">
      <c r="A7" s="31" t="s">
        <v>156</v>
      </c>
      <c r="C7" s="32">
        <v>47404</v>
      </c>
      <c r="D7" s="31" t="s">
        <v>155</v>
      </c>
      <c r="E7" s="32">
        <f>C7</f>
        <v>47404</v>
      </c>
      <c r="F7" s="32"/>
      <c r="G7" s="32"/>
      <c r="H7" s="32"/>
    </row>
    <row r="8" spans="1:9" x14ac:dyDescent="0.2">
      <c r="A8" s="31" t="s">
        <v>3</v>
      </c>
      <c r="C8" s="32">
        <v>41430</v>
      </c>
      <c r="D8" s="31" t="s">
        <v>155</v>
      </c>
      <c r="E8" s="32">
        <f>C8</f>
        <v>41430</v>
      </c>
      <c r="F8" s="32"/>
      <c r="G8" s="32"/>
      <c r="H8" s="32"/>
    </row>
    <row r="9" spans="1:9" x14ac:dyDescent="0.2">
      <c r="A9" s="53" t="s">
        <v>201</v>
      </c>
      <c r="C9" s="32">
        <v>35330</v>
      </c>
      <c r="D9" s="31" t="s">
        <v>155</v>
      </c>
      <c r="E9" s="32">
        <f>C9</f>
        <v>35330</v>
      </c>
      <c r="F9" s="32"/>
      <c r="G9" s="32"/>
      <c r="H9" s="32"/>
    </row>
    <row r="10" spans="1:9" x14ac:dyDescent="0.2">
      <c r="A10" s="53" t="s">
        <v>44</v>
      </c>
      <c r="C10" s="32">
        <v>42900</v>
      </c>
      <c r="D10" s="31" t="s">
        <v>151</v>
      </c>
      <c r="E10" s="34"/>
      <c r="F10" s="32">
        <f t="shared" ref="F10:F15" si="0">C10</f>
        <v>42900</v>
      </c>
      <c r="G10" s="32"/>
      <c r="H10" s="32"/>
    </row>
    <row r="11" spans="1:9" x14ac:dyDescent="0.2">
      <c r="A11" s="53" t="s">
        <v>212</v>
      </c>
      <c r="C11" s="32">
        <v>42215.45</v>
      </c>
      <c r="D11" s="31" t="s">
        <v>151</v>
      </c>
      <c r="E11" s="34"/>
      <c r="F11" s="32">
        <f t="shared" si="0"/>
        <v>42215.45</v>
      </c>
      <c r="G11" s="32"/>
      <c r="H11" s="32"/>
    </row>
    <row r="12" spans="1:9" x14ac:dyDescent="0.2">
      <c r="A12" s="31" t="s">
        <v>152</v>
      </c>
      <c r="C12" s="32"/>
      <c r="D12" s="31" t="s">
        <v>151</v>
      </c>
      <c r="E12" s="32"/>
      <c r="F12" s="32">
        <f t="shared" si="0"/>
        <v>0</v>
      </c>
      <c r="G12" s="32"/>
      <c r="H12" s="32"/>
    </row>
    <row r="13" spans="1:9" x14ac:dyDescent="0.2">
      <c r="A13" s="53" t="s">
        <v>241</v>
      </c>
      <c r="C13" s="32">
        <v>34530</v>
      </c>
      <c r="D13" s="31" t="s">
        <v>151</v>
      </c>
      <c r="E13" s="32"/>
      <c r="F13" s="32">
        <f t="shared" si="0"/>
        <v>34530</v>
      </c>
      <c r="G13" s="32"/>
      <c r="H13" s="32"/>
    </row>
    <row r="14" spans="1:9" x14ac:dyDescent="0.2">
      <c r="A14" s="53" t="s">
        <v>280</v>
      </c>
      <c r="C14" s="32">
        <v>31312.5</v>
      </c>
      <c r="D14" s="31" t="s">
        <v>151</v>
      </c>
      <c r="E14" s="32"/>
      <c r="F14" s="32">
        <f t="shared" si="0"/>
        <v>31312.5</v>
      </c>
      <c r="G14" s="32"/>
      <c r="H14" s="32"/>
    </row>
    <row r="15" spans="1:9" x14ac:dyDescent="0.2">
      <c r="A15" s="53" t="s">
        <v>242</v>
      </c>
      <c r="C15" s="32">
        <v>44247.5</v>
      </c>
      <c r="D15" s="31" t="s">
        <v>151</v>
      </c>
      <c r="E15" s="32"/>
      <c r="F15" s="32">
        <f t="shared" si="0"/>
        <v>44247.5</v>
      </c>
      <c r="G15" s="32"/>
      <c r="H15" s="32"/>
    </row>
    <row r="16" spans="1:9" x14ac:dyDescent="0.2">
      <c r="A16" s="53" t="s">
        <v>215</v>
      </c>
      <c r="C16" s="32">
        <v>9028</v>
      </c>
      <c r="D16" s="31" t="s">
        <v>153</v>
      </c>
      <c r="E16" s="32">
        <f t="shared" ref="E16:E21" si="1">C16</f>
        <v>9028</v>
      </c>
      <c r="F16" s="32"/>
      <c r="G16" s="32"/>
      <c r="H16" s="32"/>
    </row>
    <row r="17" spans="1:9" x14ac:dyDescent="0.2">
      <c r="A17" s="53" t="s">
        <v>216</v>
      </c>
      <c r="C17" s="32">
        <v>6753</v>
      </c>
      <c r="D17" s="31" t="s">
        <v>153</v>
      </c>
      <c r="E17" s="32">
        <f t="shared" si="1"/>
        <v>6753</v>
      </c>
      <c r="F17" s="32"/>
      <c r="G17" s="32"/>
      <c r="H17" s="32"/>
    </row>
    <row r="18" spans="1:9" x14ac:dyDescent="0.2">
      <c r="A18" s="53" t="s">
        <v>240</v>
      </c>
      <c r="C18" s="32">
        <v>4948</v>
      </c>
      <c r="D18" s="31" t="s">
        <v>153</v>
      </c>
      <c r="E18" s="32">
        <f t="shared" si="1"/>
        <v>4948</v>
      </c>
      <c r="F18" s="32"/>
      <c r="G18" s="32"/>
      <c r="H18" s="32"/>
    </row>
    <row r="19" spans="1:9" x14ac:dyDescent="0.2">
      <c r="A19" s="53" t="s">
        <v>18</v>
      </c>
      <c r="C19" s="32">
        <v>12433</v>
      </c>
      <c r="D19" s="31" t="s">
        <v>153</v>
      </c>
      <c r="E19" s="32">
        <f t="shared" si="1"/>
        <v>12433</v>
      </c>
      <c r="F19" s="32"/>
      <c r="G19" s="32"/>
      <c r="H19" s="32"/>
    </row>
    <row r="20" spans="1:9" x14ac:dyDescent="0.2">
      <c r="A20" s="31" t="s">
        <v>154</v>
      </c>
      <c r="C20" s="32">
        <v>3712</v>
      </c>
      <c r="D20" s="31" t="s">
        <v>153</v>
      </c>
      <c r="E20" s="32">
        <f t="shared" si="1"/>
        <v>3712</v>
      </c>
      <c r="F20" s="32"/>
      <c r="G20" s="32"/>
      <c r="H20" s="32"/>
    </row>
    <row r="21" spans="1:9" x14ac:dyDescent="0.2">
      <c r="A21" s="53" t="s">
        <v>254</v>
      </c>
      <c r="C21" s="32">
        <v>6523</v>
      </c>
      <c r="D21" s="31" t="s">
        <v>153</v>
      </c>
      <c r="E21" s="32">
        <f t="shared" si="1"/>
        <v>6523</v>
      </c>
      <c r="F21" s="32"/>
      <c r="G21" s="32"/>
      <c r="H21" s="32"/>
    </row>
    <row r="22" spans="1:9" x14ac:dyDescent="0.2">
      <c r="A22" s="31" t="s">
        <v>121</v>
      </c>
      <c r="C22" s="40">
        <v>90000.04</v>
      </c>
      <c r="D22" s="80" t="s">
        <v>22</v>
      </c>
      <c r="E22" s="32"/>
      <c r="F22" s="32">
        <f>0.4*C22</f>
        <v>36000.015999999996</v>
      </c>
      <c r="G22" s="32"/>
      <c r="H22" s="32">
        <f>0.6*C22</f>
        <v>54000.023999999998</v>
      </c>
    </row>
    <row r="23" spans="1:9" ht="13.5" thickBot="1" x14ac:dyDescent="0.25">
      <c r="C23" s="32">
        <f>SUM(C7:C22)</f>
        <v>452766.49</v>
      </c>
      <c r="E23" s="79">
        <f>SUM(E7:E22)</f>
        <v>167561</v>
      </c>
      <c r="F23" s="79">
        <f>SUM(F7:F22)</f>
        <v>231205.46600000001</v>
      </c>
      <c r="G23" s="32"/>
      <c r="H23" s="79">
        <f>SUM(H7:H22)</f>
        <v>54000.023999999998</v>
      </c>
      <c r="I23" s="79">
        <f>SUM(I7:I22)</f>
        <v>0</v>
      </c>
    </row>
    <row r="24" spans="1:9" ht="13.5" thickTop="1" x14ac:dyDescent="0.2">
      <c r="E24" s="39">
        <f>E23/$C$23</f>
        <v>0.37008260041506164</v>
      </c>
      <c r="F24" s="39">
        <f>F23/$C$23</f>
        <v>0.51065056956843258</v>
      </c>
      <c r="G24" s="39"/>
      <c r="H24" s="39">
        <f>H23/$C$23</f>
        <v>0.11926683001650586</v>
      </c>
      <c r="I24" s="39">
        <f>I23/$C$23</f>
        <v>0</v>
      </c>
    </row>
    <row r="25" spans="1:9" x14ac:dyDescent="0.2">
      <c r="A25" s="31" t="s">
        <v>141</v>
      </c>
      <c r="D25" s="37"/>
      <c r="I25" s="36"/>
    </row>
    <row r="26" spans="1:9" x14ac:dyDescent="0.2">
      <c r="A26" s="53"/>
      <c r="D26" s="37"/>
    </row>
  </sheetData>
  <phoneticPr fontId="0" type="noConversion"/>
  <printOptions gridLines="1"/>
  <pageMargins left="0" right="0" top="2" bottom="1" header="0.5" footer="0.5"/>
  <pageSetup scale="74" orientation="portrait" r:id="rId1"/>
  <headerFooter alignWithMargins="0">
    <oddFooter>&amp;L&amp;D &amp;T&amp;C&amp;F &amp;R&amp;A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2</vt:i4>
      </vt:variant>
    </vt:vector>
  </HeadingPairs>
  <TitlesOfParts>
    <vt:vector size="9" baseType="lpstr">
      <vt:lpstr>Projected Amounts</vt:lpstr>
      <vt:lpstr>WTB</vt:lpstr>
      <vt:lpstr>INCOME</vt:lpstr>
      <vt:lpstr>INCOME PSC</vt:lpstr>
      <vt:lpstr>Bad debts charged off in 2024</vt:lpstr>
      <vt:lpstr>DIRECTORS</vt:lpstr>
      <vt:lpstr>WAGES</vt:lpstr>
      <vt:lpstr>INCOME!Print_Titles</vt:lpstr>
      <vt:lpstr>'INCOME PSC'!Print_Titles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GCWA AUDIT WORKPAPERS</dc:title>
  <dc:subject>1994 AUDIT</dc:subject>
  <dc:creator>MICHAEL K. STEVENS</dc:creator>
  <cp:keywords>GCWA</cp:keywords>
  <dc:description>PLEASE CHECK FLOPPY DISK FOR OTHER GCWA FILES.</dc:description>
  <cp:lastModifiedBy>Mark Frost</cp:lastModifiedBy>
  <cp:lastPrinted>2025-02-20T02:15:20Z</cp:lastPrinted>
  <dcterms:created xsi:type="dcterms:W3CDTF">1998-12-29T22:36:30Z</dcterms:created>
  <dcterms:modified xsi:type="dcterms:W3CDTF">2026-02-06T03:46:52Z</dcterms:modified>
</cp:coreProperties>
</file>