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nna\Desktop\Cova's Documents\PSC RATE COST ADJUSTMENT\2026 PSC 1st Quarter\"/>
    </mc:Choice>
  </mc:AlternateContent>
  <xr:revisionPtr revIDLastSave="0" documentId="13_ncr:1_{6D8DCA07-117E-4EA0-A432-01D9729E2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ule IV (2)" sheetId="14" r:id="rId1"/>
    <sheet name="Purchases and Sales Data" sheetId="13" r:id="rId2"/>
    <sheet name="GCR Rate and Recovery" sheetId="1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W.O.R.K.B.O.O.K..C.O.N.T.E.N.T.S____">'[1]Workbook Contents'!$A$1</definedName>
    <definedName name="_Fill" hidden="1">#REF!</definedName>
    <definedName name="ACT_BEGIN_DATE">'[1]1. MAIN INPUTS'!$F$24</definedName>
    <definedName name="ACT_END_DATE">'[1]1. MAIN INPUTS'!$F$23</definedName>
    <definedName name="AREA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'[2]Pipeline Cashout'!$A$9:$C$140</definedName>
    <definedName name="Cashouts">'[3]tbl Texas'!$A$8:$E$52</definedName>
    <definedName name="CF_Month_1">#REF!</definedName>
    <definedName name="CF_Month_2">#REF!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>#REF!</definedName>
    <definedName name="CRIT_SALES_DB">#REF!</definedName>
    <definedName name="CRIT_STORAGE_DB">#REF!</definedName>
    <definedName name="CRIT_TRANS_DB">#REF!</definedName>
    <definedName name="Database_PBR_Savings">#REF!</definedName>
    <definedName name="DatabaseStats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>[4]Macros!$D$9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>#REF!</definedName>
    <definedName name="DB_STORAGE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olFirm">'[1]gca G1'!$B$8:$K$94</definedName>
    <definedName name="DolInt">'[1]gca G2'!$B$8:$K$98</definedName>
    <definedName name="DolIntTran">'[1]gca T2 G2'!$B$8:$G$98</definedName>
    <definedName name="EffectiveDate">#REF!</definedName>
    <definedName name="EWACOG">'[5]Backup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FirmDemRefFactor">#REF!</definedName>
    <definedName name="FirmRefFactor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[5]History!$A$12:$N$145</definedName>
    <definedName name="HLF">'[1]gca G1 HLF'!$B$8:$L$98</definedName>
    <definedName name="int_rate">#REF!</definedName>
    <definedName name="InterDemRefFactor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>#REF!</definedName>
    <definedName name="LVS_COG_FINAL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'[6]C.2'!#REF!</definedName>
    <definedName name="MarketPrice">'[6]C.2'!#REF!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>#REF!</definedName>
    <definedName name="Month2">#REF!</definedName>
    <definedName name="Month3">#REF!</definedName>
    <definedName name="NA">'[7]Main Inputs'!$C$5</definedName>
    <definedName name="NumberTrueUp">'[5]Additional Backup'!$J$1</definedName>
    <definedName name="OVERVIEW_RP">#REF!</definedName>
    <definedName name="PBRRF">[1]PBRRF!$A$8:$C$52</definedName>
    <definedName name="PriceCommodity">'[6]C.2'!#REF!</definedName>
    <definedName name="PriceCommodityAdjusted">'[6]C.2'!#REF!</definedName>
    <definedName name="Print_Total">#REF!</definedName>
    <definedName name="SALES_DB">#REF!</definedName>
    <definedName name="SEASON">'[1]1. MAIN INPUTS'!$F$13</definedName>
    <definedName name="SecondEffectiveDate">'[5]Additional Backup'!$B$1</definedName>
    <definedName name="SecondTrueUp">'[5]Additional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>#REF!</definedName>
    <definedName name="TEN_SS">'[1]S S'!$A$10:$L$22</definedName>
    <definedName name="TEN_STORAGE">#REF!</definedName>
    <definedName name="TEN_TRANSITION">#REF!</definedName>
    <definedName name="Tenn">[2]Tenn!$A$8:$F$22</definedName>
    <definedName name="test">'[1]gca G1'!$H$1:$I$2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>'[1]Cont. T13687'!#REF!</definedName>
    <definedName name="Texas">[2]Texas!$A$7:$E$37</definedName>
    <definedName name="TexasGasNNS">'[6]C.2'!#REF!</definedName>
    <definedName name="TexasGasNoticePayback">#REF!</definedName>
    <definedName name="TGX_2">[1]B.1!$B$11:$K$21</definedName>
    <definedName name="ThirdEffectiveDate">'[5]Additional Backup'!$B$39</definedName>
    <definedName name="ThirdTrueUp">'[5]Additional Backup'!$F$73</definedName>
    <definedName name="TrueUp">'[5]Backup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3" i="16" l="1"/>
  <c r="N153" i="16"/>
  <c r="I153" i="16"/>
  <c r="P152" i="16"/>
  <c r="N152" i="16"/>
  <c r="I152" i="16"/>
  <c r="R3" i="13"/>
  <c r="G49" i="14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3" i="13"/>
  <c r="P16" i="13"/>
  <c r="P83" i="13"/>
  <c r="G50" i="14"/>
  <c r="D50" i="14"/>
  <c r="D49" i="14"/>
  <c r="V4" i="13" l="1"/>
  <c r="V3" i="13" s="1"/>
  <c r="P82" i="13"/>
  <c r="P81" i="13"/>
  <c r="P80" i="13"/>
  <c r="P79" i="13"/>
  <c r="P78" i="13"/>
  <c r="P77" i="13"/>
  <c r="P76" i="13"/>
  <c r="P75" i="13"/>
  <c r="P72" i="13" l="1"/>
  <c r="P73" i="13"/>
  <c r="P74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G3" i="16" l="1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4" i="16"/>
  <c r="G5" i="16" s="1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140" i="13"/>
  <c r="R141" i="13"/>
  <c r="R142" i="13"/>
  <c r="R143" i="13"/>
  <c r="R144" i="13"/>
  <c r="R145" i="13"/>
  <c r="R146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12" i="13"/>
  <c r="Q4" i="13"/>
  <c r="Q5" i="13"/>
  <c r="Q6" i="13"/>
  <c r="Q7" i="13"/>
  <c r="Q8" i="13"/>
  <c r="Q9" i="13"/>
  <c r="Q10" i="13"/>
  <c r="Q11" i="13"/>
  <c r="Q3" i="13"/>
  <c r="L57" i="13"/>
  <c r="L58" i="13"/>
  <c r="L59" i="13"/>
  <c r="L60" i="13" s="1"/>
  <c r="L61" i="13" s="1"/>
  <c r="L62" i="13" s="1"/>
  <c r="L63" i="13" s="1"/>
  <c r="L64" i="13" s="1"/>
  <c r="L65" i="13" s="1"/>
  <c r="L66" i="13" s="1"/>
  <c r="L67" i="13" s="1"/>
  <c r="L68" i="13" s="1"/>
  <c r="L69" i="13" s="1"/>
  <c r="L70" i="13" s="1"/>
  <c r="L71" i="13" s="1"/>
  <c r="L72" i="13" s="1"/>
  <c r="L73" i="13" s="1"/>
  <c r="L74" i="13" s="1"/>
  <c r="L75" i="13" s="1"/>
  <c r="L76" i="13" s="1"/>
  <c r="L77" i="13" s="1"/>
  <c r="L78" i="13" s="1"/>
  <c r="L79" i="13" s="1"/>
  <c r="L80" i="13" s="1"/>
  <c r="L81" i="13" s="1"/>
  <c r="L82" i="13" s="1"/>
  <c r="L83" i="13" s="1"/>
  <c r="L84" i="13" s="1"/>
  <c r="L85" i="13" s="1"/>
  <c r="L86" i="13" s="1"/>
  <c r="L87" i="13" s="1"/>
  <c r="L88" i="13" s="1"/>
  <c r="L89" i="13" s="1"/>
  <c r="L90" i="13" s="1"/>
  <c r="L91" i="13" s="1"/>
  <c r="L92" i="13" s="1"/>
  <c r="L93" i="13" s="1"/>
  <c r="L94" i="13" s="1"/>
  <c r="L95" i="13" s="1"/>
  <c r="L96" i="13" s="1"/>
  <c r="L97" i="13" s="1"/>
  <c r="L98" i="13" s="1"/>
  <c r="L99" i="13" s="1"/>
  <c r="L100" i="13" s="1"/>
  <c r="L101" i="13" s="1"/>
  <c r="L102" i="13" s="1"/>
  <c r="L103" i="13" s="1"/>
  <c r="L104" i="13" s="1"/>
  <c r="L105" i="13" s="1"/>
  <c r="L106" i="13" s="1"/>
  <c r="L107" i="13" s="1"/>
  <c r="L108" i="13" s="1"/>
  <c r="L109" i="13" s="1"/>
  <c r="L110" i="13" s="1"/>
  <c r="L111" i="13" s="1"/>
  <c r="L112" i="13" s="1"/>
  <c r="L113" i="13" s="1"/>
  <c r="L114" i="13" s="1"/>
  <c r="L115" i="13" s="1"/>
  <c r="L116" i="13" s="1"/>
  <c r="L117" i="13" s="1"/>
  <c r="L118" i="13" s="1"/>
  <c r="L119" i="13" s="1"/>
  <c r="L120" i="13" s="1"/>
  <c r="L121" i="13" s="1"/>
  <c r="L122" i="13" s="1"/>
  <c r="L123" i="13" s="1"/>
  <c r="L124" i="13" s="1"/>
  <c r="L125" i="13" s="1"/>
  <c r="L126" i="13" s="1"/>
  <c r="L127" i="13" s="1"/>
  <c r="L128" i="13" s="1"/>
  <c r="L129" i="13" s="1"/>
  <c r="L130" i="13" s="1"/>
  <c r="L131" i="13" s="1"/>
  <c r="L132" i="13" s="1"/>
  <c r="L133" i="13" s="1"/>
  <c r="L134" i="13" s="1"/>
  <c r="L135" i="13" s="1"/>
  <c r="L136" i="13" s="1"/>
  <c r="L137" i="13" s="1"/>
  <c r="L138" i="13" s="1"/>
  <c r="L139" i="13" s="1"/>
  <c r="L140" i="13" s="1"/>
  <c r="L141" i="13" s="1"/>
  <c r="L142" i="13" s="1"/>
  <c r="L143" i="13" s="1"/>
  <c r="L144" i="13" s="1"/>
  <c r="L145" i="13" s="1"/>
  <c r="L146" i="13" s="1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B139" i="13"/>
  <c r="A139" i="13" s="1"/>
  <c r="B132" i="13"/>
  <c r="A132" i="13" s="1"/>
  <c r="B133" i="13"/>
  <c r="A133" i="13" s="1"/>
  <c r="B134" i="13"/>
  <c r="B135" i="13" s="1"/>
  <c r="B87" i="13"/>
  <c r="A87" i="13" s="1"/>
  <c r="B88" i="13"/>
  <c r="A88" i="13" s="1"/>
  <c r="B4" i="16"/>
  <c r="B5" i="16" s="1"/>
  <c r="A3" i="16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3" i="13"/>
  <c r="H1" i="14"/>
  <c r="H4" i="14" s="1"/>
  <c r="I1" i="14"/>
  <c r="I6" i="14" s="1"/>
  <c r="G1" i="14"/>
  <c r="G4" i="14" s="1"/>
  <c r="H45" i="14"/>
  <c r="D48" i="14"/>
  <c r="G16" i="14"/>
  <c r="G11" i="14"/>
  <c r="J3" i="14"/>
  <c r="K45" i="14" s="1"/>
  <c r="G32" i="14" l="1"/>
  <c r="I4" i="14"/>
  <c r="H38" i="14"/>
  <c r="J1" i="14"/>
  <c r="J4" i="14" s="1"/>
  <c r="A4" i="16"/>
  <c r="J4" i="16" s="1"/>
  <c r="J3" i="16"/>
  <c r="C3" i="16"/>
  <c r="I3" i="16" s="1"/>
  <c r="L3" i="16"/>
  <c r="M3" i="16"/>
  <c r="L4" i="16"/>
  <c r="M4" i="16"/>
  <c r="C4" i="16"/>
  <c r="I4" i="16" s="1"/>
  <c r="B140" i="13"/>
  <c r="A135" i="13"/>
  <c r="B136" i="13"/>
  <c r="A134" i="13"/>
  <c r="B89" i="13"/>
  <c r="B6" i="16"/>
  <c r="G6" i="16" s="1"/>
  <c r="G7" i="16" s="1"/>
  <c r="G8" i="16" s="1"/>
  <c r="A5" i="16"/>
  <c r="G7" i="14"/>
  <c r="G24" i="14" s="1"/>
  <c r="G25" i="14" s="1"/>
  <c r="H7" i="14"/>
  <c r="H24" i="14" s="1"/>
  <c r="H25" i="14" s="1"/>
  <c r="K3" i="14"/>
  <c r="G48" i="14"/>
  <c r="I7" i="14"/>
  <c r="I24" i="14" s="1"/>
  <c r="I25" i="14" s="1"/>
  <c r="H5" i="14"/>
  <c r="I26" i="14"/>
  <c r="I34" i="14" s="1"/>
  <c r="I5" i="14"/>
  <c r="G5" i="14"/>
  <c r="H26" i="14"/>
  <c r="H34" i="14" s="1"/>
  <c r="G6" i="14"/>
  <c r="G26" i="14"/>
  <c r="G34" i="14" s="1"/>
  <c r="H6" i="14"/>
  <c r="J6" i="14" l="1"/>
  <c r="N4" i="16"/>
  <c r="L3" i="14"/>
  <c r="K1" i="14"/>
  <c r="K4" i="14" s="1"/>
  <c r="L5" i="16"/>
  <c r="M5" i="16"/>
  <c r="J5" i="16"/>
  <c r="C5" i="16"/>
  <c r="I5" i="16" s="1"/>
  <c r="N3" i="16"/>
  <c r="B141" i="13"/>
  <c r="A140" i="13"/>
  <c r="G28" i="14"/>
  <c r="A136" i="13"/>
  <c r="B137" i="13"/>
  <c r="G27" i="14"/>
  <c r="G8" i="14"/>
  <c r="G18" i="14" s="1"/>
  <c r="A89" i="13"/>
  <c r="B90" i="13"/>
  <c r="A6" i="16"/>
  <c r="B7" i="16"/>
  <c r="H8" i="14"/>
  <c r="H18" i="14" s="1"/>
  <c r="H27" i="14"/>
  <c r="I8" i="14"/>
  <c r="I12" i="14" s="1"/>
  <c r="J5" i="14"/>
  <c r="J26" i="14"/>
  <c r="J34" i="14" s="1"/>
  <c r="I21" i="14"/>
  <c r="I9" i="14"/>
  <c r="I30" i="14"/>
  <c r="H21" i="14"/>
  <c r="H9" i="14"/>
  <c r="H30" i="14"/>
  <c r="I28" i="14"/>
  <c r="I27" i="14"/>
  <c r="H28" i="14"/>
  <c r="G9" i="14"/>
  <c r="G21" i="14"/>
  <c r="G30" i="14"/>
  <c r="J9" i="14" l="1"/>
  <c r="K6" i="14"/>
  <c r="H13" i="14"/>
  <c r="L1" i="14"/>
  <c r="L4" i="14" s="1"/>
  <c r="M3" i="14"/>
  <c r="K5" i="14"/>
  <c r="K21" i="14" s="1"/>
  <c r="L6" i="16"/>
  <c r="M6" i="16"/>
  <c r="J6" i="16"/>
  <c r="C6" i="16"/>
  <c r="I6" i="16" s="1"/>
  <c r="N5" i="16"/>
  <c r="A141" i="13"/>
  <c r="B142" i="13"/>
  <c r="G13" i="14"/>
  <c r="H17" i="14"/>
  <c r="I17" i="14"/>
  <c r="A137" i="13"/>
  <c r="B138" i="13"/>
  <c r="A138" i="13" s="1"/>
  <c r="G17" i="14"/>
  <c r="G19" i="14" s="1"/>
  <c r="H16" i="14" s="1"/>
  <c r="G12" i="14"/>
  <c r="G22" i="14" s="1"/>
  <c r="H12" i="14"/>
  <c r="I18" i="14"/>
  <c r="A90" i="13"/>
  <c r="B91" i="13"/>
  <c r="B8" i="16"/>
  <c r="A7" i="16"/>
  <c r="J21" i="14"/>
  <c r="H22" i="14" l="1"/>
  <c r="H31" i="14" s="1"/>
  <c r="H19" i="14"/>
  <c r="I16" i="14" s="1"/>
  <c r="I19" i="14" s="1"/>
  <c r="J47" i="14" s="1"/>
  <c r="J49" i="14" s="1"/>
  <c r="K9" i="14"/>
  <c r="L7" i="14"/>
  <c r="L24" i="14" s="1"/>
  <c r="L25" i="14" s="1"/>
  <c r="L6" i="14"/>
  <c r="L5" i="14"/>
  <c r="M1" i="14"/>
  <c r="M4" i="14" s="1"/>
  <c r="N3" i="14"/>
  <c r="N45" i="14"/>
  <c r="C7" i="16"/>
  <c r="I7" i="16" s="1"/>
  <c r="M7" i="16"/>
  <c r="L7" i="16"/>
  <c r="J7" i="16"/>
  <c r="N6" i="16"/>
  <c r="G31" i="14"/>
  <c r="G14" i="14"/>
  <c r="H11" i="14" s="1"/>
  <c r="H14" i="14" s="1"/>
  <c r="I11" i="14" s="1"/>
  <c r="B143" i="13"/>
  <c r="A142" i="13"/>
  <c r="B92" i="13"/>
  <c r="A91" i="13"/>
  <c r="A8" i="16"/>
  <c r="B9" i="16"/>
  <c r="G9" i="16" s="1"/>
  <c r="G10" i="16" s="1"/>
  <c r="G11" i="16" s="1"/>
  <c r="I13" i="14" l="1"/>
  <c r="I22" i="14" s="1"/>
  <c r="I31" i="14" s="1"/>
  <c r="L8" i="14"/>
  <c r="L17" i="14" s="1"/>
  <c r="J16" i="14"/>
  <c r="M5" i="14"/>
  <c r="M7" i="14"/>
  <c r="M24" i="14" s="1"/>
  <c r="M25" i="14" s="1"/>
  <c r="M26" i="14"/>
  <c r="M34" i="14" s="1"/>
  <c r="M6" i="14"/>
  <c r="N1" i="14"/>
  <c r="N4" i="14" s="1"/>
  <c r="O3" i="14"/>
  <c r="L9" i="14"/>
  <c r="L21" i="14"/>
  <c r="L30" i="14"/>
  <c r="N7" i="16"/>
  <c r="C8" i="16"/>
  <c r="I8" i="16" s="1"/>
  <c r="M8" i="16"/>
  <c r="L8" i="16"/>
  <c r="J8" i="16"/>
  <c r="B144" i="13"/>
  <c r="A143" i="13"/>
  <c r="A92" i="13"/>
  <c r="B93" i="13"/>
  <c r="B10" i="16"/>
  <c r="A9" i="16"/>
  <c r="M8" i="14" l="1"/>
  <c r="M17" i="14" s="1"/>
  <c r="I14" i="14"/>
  <c r="J46" i="14" s="1"/>
  <c r="L12" i="14"/>
  <c r="L13" i="14"/>
  <c r="L18" i="14"/>
  <c r="N5" i="14"/>
  <c r="N26" i="14"/>
  <c r="N34" i="14" s="1"/>
  <c r="N7" i="14"/>
  <c r="N24" i="14" s="1"/>
  <c r="N25" i="14" s="1"/>
  <c r="N6" i="14"/>
  <c r="P3" i="14"/>
  <c r="O1" i="14"/>
  <c r="O4" i="14" s="1"/>
  <c r="M27" i="14"/>
  <c r="M28" i="14"/>
  <c r="M21" i="14"/>
  <c r="M30" i="14"/>
  <c r="M9" i="14"/>
  <c r="N8" i="16"/>
  <c r="C9" i="16"/>
  <c r="I9" i="16" s="1"/>
  <c r="M9" i="16"/>
  <c r="J9" i="16"/>
  <c r="L9" i="16"/>
  <c r="B145" i="13"/>
  <c r="A144" i="13"/>
  <c r="A93" i="13"/>
  <c r="B94" i="13"/>
  <c r="B11" i="16"/>
  <c r="A10" i="16"/>
  <c r="J11" i="14" l="1"/>
  <c r="J50" i="14"/>
  <c r="L22" i="14"/>
  <c r="M12" i="14"/>
  <c r="M13" i="14"/>
  <c r="M18" i="14"/>
  <c r="N8" i="14"/>
  <c r="N17" i="14" s="1"/>
  <c r="Q45" i="14"/>
  <c r="P1" i="14"/>
  <c r="P4" i="14" s="1"/>
  <c r="Q3" i="14"/>
  <c r="O5" i="14"/>
  <c r="O7" i="14"/>
  <c r="O24" i="14" s="1"/>
  <c r="O25" i="14" s="1"/>
  <c r="O6" i="14"/>
  <c r="O26" i="14"/>
  <c r="O34" i="14" s="1"/>
  <c r="N27" i="14"/>
  <c r="N28" i="14"/>
  <c r="N30" i="14"/>
  <c r="N21" i="14"/>
  <c r="N9" i="14"/>
  <c r="N9" i="16"/>
  <c r="C10" i="16"/>
  <c r="I10" i="16" s="1"/>
  <c r="L10" i="16"/>
  <c r="M10" i="16"/>
  <c r="J10" i="16"/>
  <c r="A145" i="13"/>
  <c r="B146" i="13"/>
  <c r="A94" i="13"/>
  <c r="B95" i="13"/>
  <c r="A11" i="16"/>
  <c r="B12" i="16"/>
  <c r="G12" i="16" s="1"/>
  <c r="G13" i="16" s="1"/>
  <c r="G14" i="16" s="1"/>
  <c r="J48" i="14"/>
  <c r="N12" i="14" l="1"/>
  <c r="N18" i="14"/>
  <c r="M22" i="14"/>
  <c r="M31" i="14" s="1"/>
  <c r="O8" i="14"/>
  <c r="O18" i="14" s="1"/>
  <c r="O28" i="14"/>
  <c r="O27" i="14"/>
  <c r="O21" i="14"/>
  <c r="O30" i="14"/>
  <c r="O9" i="14"/>
  <c r="Q1" i="14"/>
  <c r="Q4" i="14" s="1"/>
  <c r="R3" i="14"/>
  <c r="S3" i="14" s="1"/>
  <c r="P6" i="14"/>
  <c r="P5" i="14"/>
  <c r="P7" i="14"/>
  <c r="P24" i="14" s="1"/>
  <c r="P25" i="14" s="1"/>
  <c r="P26" i="14"/>
  <c r="P34" i="14" s="1"/>
  <c r="N10" i="16"/>
  <c r="C11" i="16"/>
  <c r="I11" i="16" s="1"/>
  <c r="J11" i="16"/>
  <c r="L11" i="16"/>
  <c r="M11" i="16"/>
  <c r="A146" i="13"/>
  <c r="B96" i="13"/>
  <c r="A95" i="13"/>
  <c r="A12" i="16"/>
  <c r="B13" i="16"/>
  <c r="T3" i="14" l="1"/>
  <c r="S1" i="14"/>
  <c r="T45" i="14"/>
  <c r="O13" i="14"/>
  <c r="O17" i="14"/>
  <c r="O12" i="14"/>
  <c r="P27" i="14"/>
  <c r="P28" i="14"/>
  <c r="R1" i="14"/>
  <c r="R4" i="14" s="1"/>
  <c r="P9" i="14"/>
  <c r="P30" i="14"/>
  <c r="P21" i="14"/>
  <c r="P8" i="14"/>
  <c r="Q7" i="14"/>
  <c r="Q24" i="14" s="1"/>
  <c r="Q25" i="14" s="1"/>
  <c r="Q5" i="14"/>
  <c r="Q26" i="14"/>
  <c r="Q34" i="14" s="1"/>
  <c r="Q6" i="14"/>
  <c r="C12" i="16"/>
  <c r="I12" i="16" s="1"/>
  <c r="J12" i="16"/>
  <c r="L12" i="16"/>
  <c r="M12" i="16"/>
  <c r="N11" i="16"/>
  <c r="A96" i="13"/>
  <c r="B97" i="13"/>
  <c r="B14" i="16"/>
  <c r="A13" i="16"/>
  <c r="S32" i="14" l="1"/>
  <c r="S6" i="14"/>
  <c r="S7" i="14"/>
  <c r="S24" i="14" s="1"/>
  <c r="S25" i="14" s="1"/>
  <c r="S5" i="14"/>
  <c r="S26" i="14"/>
  <c r="S34" i="14" s="1"/>
  <c r="S4" i="14"/>
  <c r="U3" i="14"/>
  <c r="T1" i="14"/>
  <c r="O22" i="14"/>
  <c r="O31" i="14" s="1"/>
  <c r="Q8" i="14"/>
  <c r="Q18" i="14" s="1"/>
  <c r="Q21" i="14"/>
  <c r="Q9" i="14"/>
  <c r="Q30" i="14"/>
  <c r="Q27" i="14"/>
  <c r="Q28" i="14"/>
  <c r="P18" i="14"/>
  <c r="P17" i="14"/>
  <c r="P13" i="14"/>
  <c r="P12" i="14"/>
  <c r="R6" i="14"/>
  <c r="R5" i="14"/>
  <c r="R7" i="14"/>
  <c r="R24" i="14" s="1"/>
  <c r="R25" i="14" s="1"/>
  <c r="R26" i="14"/>
  <c r="R34" i="14" s="1"/>
  <c r="N12" i="16"/>
  <c r="C13" i="16"/>
  <c r="I13" i="16" s="1"/>
  <c r="J13" i="16"/>
  <c r="L13" i="16"/>
  <c r="M13" i="16"/>
  <c r="B98" i="13"/>
  <c r="A97" i="13"/>
  <c r="A14" i="16"/>
  <c r="B15" i="16"/>
  <c r="G15" i="16" s="1"/>
  <c r="G16" i="16" s="1"/>
  <c r="G17" i="16" s="1"/>
  <c r="S28" i="14" l="1"/>
  <c r="S27" i="14"/>
  <c r="S8" i="14"/>
  <c r="T4" i="14"/>
  <c r="T7" i="14"/>
  <c r="T24" i="14" s="1"/>
  <c r="T25" i="14" s="1"/>
  <c r="T6" i="14"/>
  <c r="T32" i="14"/>
  <c r="T26" i="14"/>
  <c r="T34" i="14" s="1"/>
  <c r="T5" i="14"/>
  <c r="U1" i="14"/>
  <c r="V3" i="14"/>
  <c r="S21" i="14"/>
  <c r="S9" i="14"/>
  <c r="S30" i="14"/>
  <c r="Q17" i="14"/>
  <c r="Q12" i="14"/>
  <c r="P22" i="14"/>
  <c r="P31" i="14" s="1"/>
  <c r="R8" i="14"/>
  <c r="R27" i="14"/>
  <c r="R28" i="14"/>
  <c r="R30" i="14"/>
  <c r="R9" i="14"/>
  <c r="R21" i="14"/>
  <c r="J14" i="16"/>
  <c r="L14" i="16"/>
  <c r="C14" i="16"/>
  <c r="I14" i="16" s="1"/>
  <c r="M14" i="16"/>
  <c r="N13" i="16"/>
  <c r="A98" i="13"/>
  <c r="B99" i="13"/>
  <c r="A15" i="16"/>
  <c r="B16" i="16"/>
  <c r="T8" i="14" l="1"/>
  <c r="T12" i="14" s="1"/>
  <c r="U32" i="14"/>
  <c r="U6" i="14"/>
  <c r="U5" i="14"/>
  <c r="U7" i="14"/>
  <c r="U24" i="14" s="1"/>
  <c r="U25" i="14" s="1"/>
  <c r="U4" i="14"/>
  <c r="U26" i="14"/>
  <c r="U34" i="14" s="1"/>
  <c r="V1" i="14"/>
  <c r="W3" i="14"/>
  <c r="W45" i="14"/>
  <c r="T27" i="14"/>
  <c r="T28" i="14"/>
  <c r="S18" i="14"/>
  <c r="S17" i="14"/>
  <c r="S12" i="14"/>
  <c r="T21" i="14"/>
  <c r="T30" i="14"/>
  <c r="T9" i="14"/>
  <c r="R17" i="14"/>
  <c r="R12" i="14"/>
  <c r="R18" i="14"/>
  <c r="J15" i="16"/>
  <c r="L15" i="16"/>
  <c r="M15" i="16"/>
  <c r="N14" i="16"/>
  <c r="A99" i="13"/>
  <c r="B100" i="13"/>
  <c r="B17" i="16"/>
  <c r="A16" i="16"/>
  <c r="T18" i="14" l="1"/>
  <c r="T17" i="14"/>
  <c r="V6" i="14"/>
  <c r="V32" i="14"/>
  <c r="V26" i="14"/>
  <c r="V34" i="14" s="1"/>
  <c r="V5" i="14"/>
  <c r="V4" i="14"/>
  <c r="V7" i="14"/>
  <c r="V24" i="14" s="1"/>
  <c r="V25" i="14" s="1"/>
  <c r="U8" i="14"/>
  <c r="W1" i="14"/>
  <c r="X3" i="14"/>
  <c r="U27" i="14"/>
  <c r="U28" i="14"/>
  <c r="U9" i="14"/>
  <c r="U21" i="14"/>
  <c r="U30" i="14"/>
  <c r="N15" i="16"/>
  <c r="M16" i="16"/>
  <c r="L16" i="16"/>
  <c r="J16" i="16"/>
  <c r="A100" i="13"/>
  <c r="B101" i="13"/>
  <c r="A17" i="16"/>
  <c r="B18" i="16"/>
  <c r="G18" i="16" s="1"/>
  <c r="G19" i="16" s="1"/>
  <c r="G20" i="16" s="1"/>
  <c r="X1" i="14" l="1"/>
  <c r="Y3" i="14"/>
  <c r="V28" i="14"/>
  <c r="V27" i="14"/>
  <c r="U18" i="14"/>
  <c r="U12" i="14"/>
  <c r="U17" i="14"/>
  <c r="V21" i="14"/>
  <c r="V30" i="14"/>
  <c r="V9" i="14"/>
  <c r="W5" i="14"/>
  <c r="W4" i="14"/>
  <c r="W7" i="14"/>
  <c r="W24" i="14" s="1"/>
  <c r="W25" i="14" s="1"/>
  <c r="W32" i="14"/>
  <c r="W6" i="14"/>
  <c r="W26" i="14"/>
  <c r="W34" i="14" s="1"/>
  <c r="V8" i="14"/>
  <c r="N16" i="16"/>
  <c r="L17" i="16"/>
  <c r="J17" i="16"/>
  <c r="M17" i="16"/>
  <c r="B102" i="13"/>
  <c r="A101" i="13"/>
  <c r="B19" i="16"/>
  <c r="A18" i="16"/>
  <c r="W8" i="14" l="1"/>
  <c r="W21" i="14"/>
  <c r="W30" i="14"/>
  <c r="W9" i="14"/>
  <c r="V18" i="14"/>
  <c r="V12" i="14"/>
  <c r="V17" i="14"/>
  <c r="Y1" i="14"/>
  <c r="Z45" i="14"/>
  <c r="Z3" i="14"/>
  <c r="W18" i="14"/>
  <c r="W12" i="14"/>
  <c r="W17" i="14"/>
  <c r="W27" i="14"/>
  <c r="W28" i="14"/>
  <c r="W38" i="14"/>
  <c r="X7" i="14"/>
  <c r="X24" i="14" s="1"/>
  <c r="X25" i="14" s="1"/>
  <c r="X26" i="14"/>
  <c r="X34" i="14" s="1"/>
  <c r="X6" i="14"/>
  <c r="X32" i="14"/>
  <c r="X5" i="14"/>
  <c r="X4" i="14"/>
  <c r="J18" i="16"/>
  <c r="M18" i="16"/>
  <c r="C18" i="16"/>
  <c r="I18" i="16" s="1"/>
  <c r="L18" i="16"/>
  <c r="N17" i="16"/>
  <c r="B103" i="13"/>
  <c r="A102" i="13"/>
  <c r="B20" i="16"/>
  <c r="A19" i="16"/>
  <c r="X8" i="14" l="1"/>
  <c r="AA3" i="14"/>
  <c r="Z1" i="14"/>
  <c r="X21" i="14"/>
  <c r="X30" i="14"/>
  <c r="X9" i="14"/>
  <c r="Y32" i="14"/>
  <c r="Y4" i="14"/>
  <c r="Y6" i="14"/>
  <c r="Y26" i="14"/>
  <c r="Y34" i="14" s="1"/>
  <c r="Y7" i="14"/>
  <c r="Y24" i="14" s="1"/>
  <c r="Y25" i="14" s="1"/>
  <c r="Y5" i="14"/>
  <c r="X18" i="14"/>
  <c r="X17" i="14"/>
  <c r="X13" i="14"/>
  <c r="X28" i="14"/>
  <c r="X27" i="14"/>
  <c r="N18" i="16"/>
  <c r="J19" i="16"/>
  <c r="C19" i="16"/>
  <c r="I19" i="16" s="1"/>
  <c r="L19" i="16"/>
  <c r="M19" i="16"/>
  <c r="A103" i="13"/>
  <c r="B104" i="13"/>
  <c r="A20" i="16"/>
  <c r="B21" i="16"/>
  <c r="G21" i="16" s="1"/>
  <c r="G22" i="16" s="1"/>
  <c r="G23" i="16" s="1"/>
  <c r="X12" i="14" l="1"/>
  <c r="Y8" i="14"/>
  <c r="Y28" i="14"/>
  <c r="Y27" i="14"/>
  <c r="Y30" i="14"/>
  <c r="Y9" i="14"/>
  <c r="Y21" i="14"/>
  <c r="X22" i="14"/>
  <c r="X31" i="14" s="1"/>
  <c r="X33" i="14" s="1"/>
  <c r="X35" i="14" s="1"/>
  <c r="Z5" i="14"/>
  <c r="Z7" i="14"/>
  <c r="Z24" i="14" s="1"/>
  <c r="Z25" i="14" s="1"/>
  <c r="Z32" i="14"/>
  <c r="Z4" i="14"/>
  <c r="Z26" i="14"/>
  <c r="Z34" i="14" s="1"/>
  <c r="Z6" i="14"/>
  <c r="AA1" i="14"/>
  <c r="AB3" i="14"/>
  <c r="N19" i="16"/>
  <c r="J20" i="16"/>
  <c r="C20" i="16"/>
  <c r="I20" i="16" s="1"/>
  <c r="L20" i="16"/>
  <c r="M20" i="16"/>
  <c r="A104" i="13"/>
  <c r="B105" i="13"/>
  <c r="A21" i="16"/>
  <c r="B22" i="16"/>
  <c r="Z28" i="14" l="1"/>
  <c r="Z27" i="14"/>
  <c r="Z9" i="14"/>
  <c r="Z21" i="14"/>
  <c r="Z30" i="14"/>
  <c r="AB1" i="14"/>
  <c r="AC45" i="14"/>
  <c r="AC3" i="14"/>
  <c r="Z38" i="14"/>
  <c r="AA7" i="14"/>
  <c r="AA24" i="14" s="1"/>
  <c r="AA25" i="14" s="1"/>
  <c r="AA4" i="14"/>
  <c r="AA6" i="14"/>
  <c r="AA26" i="14"/>
  <c r="AA34" i="14" s="1"/>
  <c r="AA5" i="14"/>
  <c r="AA32" i="14"/>
  <c r="Z8" i="14"/>
  <c r="Y17" i="14"/>
  <c r="Y13" i="14"/>
  <c r="Y12" i="14"/>
  <c r="Y18" i="14"/>
  <c r="J21" i="16"/>
  <c r="C21" i="16"/>
  <c r="I21" i="16" s="1"/>
  <c r="L21" i="16"/>
  <c r="M21" i="16"/>
  <c r="N20" i="16"/>
  <c r="A105" i="13"/>
  <c r="B106" i="13"/>
  <c r="A22" i="16"/>
  <c r="B23" i="16"/>
  <c r="Y22" i="14" l="1"/>
  <c r="Y31" i="14" s="1"/>
  <c r="Y33" i="14" s="1"/>
  <c r="Y35" i="14" s="1"/>
  <c r="AC1" i="14"/>
  <c r="AD3" i="14"/>
  <c r="AA21" i="14"/>
  <c r="AA30" i="14"/>
  <c r="AA9" i="14"/>
  <c r="AA27" i="14"/>
  <c r="AA28" i="14"/>
  <c r="AB32" i="14"/>
  <c r="AB6" i="14"/>
  <c r="AB7" i="14"/>
  <c r="AB24" i="14" s="1"/>
  <c r="AB25" i="14" s="1"/>
  <c r="AB26" i="14"/>
  <c r="AB34" i="14" s="1"/>
  <c r="AB4" i="14"/>
  <c r="AB5" i="14"/>
  <c r="Z17" i="14"/>
  <c r="Z18" i="14"/>
  <c r="Z12" i="14"/>
  <c r="AA8" i="14"/>
  <c r="N21" i="16"/>
  <c r="M22" i="16"/>
  <c r="C22" i="16"/>
  <c r="I22" i="16" s="1"/>
  <c r="J22" i="16"/>
  <c r="L22" i="16"/>
  <c r="A106" i="13"/>
  <c r="B107" i="13"/>
  <c r="A23" i="16"/>
  <c r="B24" i="16"/>
  <c r="G24" i="16" s="1"/>
  <c r="G25" i="16" s="1"/>
  <c r="G26" i="16" s="1"/>
  <c r="AB27" i="14" l="1"/>
  <c r="AB28" i="14"/>
  <c r="AA17" i="14"/>
  <c r="AA12" i="14"/>
  <c r="AA18" i="14"/>
  <c r="AD1" i="14"/>
  <c r="AE3" i="14"/>
  <c r="AB8" i="14"/>
  <c r="AB21" i="14"/>
  <c r="AB30" i="14"/>
  <c r="AB9" i="14"/>
  <c r="AC7" i="14"/>
  <c r="AC24" i="14" s="1"/>
  <c r="AC25" i="14" s="1"/>
  <c r="AC6" i="14"/>
  <c r="AC32" i="14"/>
  <c r="AC4" i="14"/>
  <c r="AC5" i="14"/>
  <c r="AC26" i="14"/>
  <c r="AC34" i="14" s="1"/>
  <c r="N22" i="16"/>
  <c r="L23" i="16"/>
  <c r="M23" i="16"/>
  <c r="C23" i="16"/>
  <c r="I23" i="16" s="1"/>
  <c r="J23" i="16"/>
  <c r="A107" i="13"/>
  <c r="B108" i="13"/>
  <c r="B25" i="16"/>
  <c r="A24" i="16"/>
  <c r="AC30" i="14" l="1"/>
  <c r="AC9" i="14"/>
  <c r="AC21" i="14"/>
  <c r="AC27" i="14"/>
  <c r="AC28" i="14"/>
  <c r="AB13" i="14"/>
  <c r="AB17" i="14"/>
  <c r="AB12" i="14"/>
  <c r="AB18" i="14"/>
  <c r="AF45" i="14"/>
  <c r="AE1" i="14"/>
  <c r="AF3" i="14"/>
  <c r="AC38" i="14"/>
  <c r="AD26" i="14"/>
  <c r="AD34" i="14" s="1"/>
  <c r="AD4" i="14"/>
  <c r="AD32" i="14"/>
  <c r="AD5" i="14"/>
  <c r="AD6" i="14"/>
  <c r="AD7" i="14"/>
  <c r="AD24" i="14" s="1"/>
  <c r="AD25" i="14" s="1"/>
  <c r="AC8" i="14"/>
  <c r="L24" i="16"/>
  <c r="M24" i="16"/>
  <c r="J24" i="16"/>
  <c r="C24" i="16"/>
  <c r="I24" i="16" s="1"/>
  <c r="N23" i="16"/>
  <c r="B109" i="13"/>
  <c r="A108" i="13"/>
  <c r="B26" i="16"/>
  <c r="A25" i="16"/>
  <c r="AB22" i="14" l="1"/>
  <c r="AB31" i="14" s="1"/>
  <c r="AB33" i="14" s="1"/>
  <c r="AB35" i="14" s="1"/>
  <c r="AD8" i="14"/>
  <c r="AD18" i="14" s="1"/>
  <c r="AD12" i="14"/>
  <c r="AC18" i="14"/>
  <c r="AC17" i="14"/>
  <c r="AC12" i="14"/>
  <c r="AD30" i="14"/>
  <c r="AD9" i="14"/>
  <c r="AD21" i="14"/>
  <c r="AE32" i="14"/>
  <c r="AE5" i="14"/>
  <c r="AE7" i="14"/>
  <c r="AE24" i="14" s="1"/>
  <c r="AE25" i="14" s="1"/>
  <c r="AE6" i="14"/>
  <c r="AE26" i="14"/>
  <c r="AE34" i="14" s="1"/>
  <c r="AE4" i="14"/>
  <c r="AD28" i="14"/>
  <c r="AD27" i="14"/>
  <c r="AG3" i="14"/>
  <c r="AF1" i="14"/>
  <c r="L25" i="16"/>
  <c r="M25" i="16"/>
  <c r="C25" i="16"/>
  <c r="I25" i="16" s="1"/>
  <c r="J25" i="16"/>
  <c r="N24" i="16"/>
  <c r="A109" i="13"/>
  <c r="B110" i="13"/>
  <c r="B27" i="16"/>
  <c r="G27" i="16" s="1"/>
  <c r="G28" i="16" s="1"/>
  <c r="G29" i="16" s="1"/>
  <c r="A26" i="16"/>
  <c r="AD17" i="14" l="1"/>
  <c r="AH3" i="14"/>
  <c r="AG1" i="14"/>
  <c r="AE27" i="14"/>
  <c r="AE28" i="14"/>
  <c r="AE9" i="14"/>
  <c r="AE30" i="14"/>
  <c r="AE21" i="14"/>
  <c r="AF6" i="14"/>
  <c r="AF7" i="14"/>
  <c r="AF24" i="14" s="1"/>
  <c r="AF25" i="14" s="1"/>
  <c r="AF26" i="14"/>
  <c r="AF34" i="14" s="1"/>
  <c r="AF32" i="14"/>
  <c r="AF5" i="14"/>
  <c r="AF4" i="14"/>
  <c r="AE8" i="14"/>
  <c r="L26" i="16"/>
  <c r="J26" i="16"/>
  <c r="C26" i="16"/>
  <c r="I26" i="16" s="1"/>
  <c r="M26" i="16"/>
  <c r="N25" i="16"/>
  <c r="A110" i="13"/>
  <c r="B111" i="13"/>
  <c r="B28" i="16"/>
  <c r="A27" i="16"/>
  <c r="AF8" i="14" l="1"/>
  <c r="AF17" i="14" s="1"/>
  <c r="AF28" i="14"/>
  <c r="AF27" i="14"/>
  <c r="AE17" i="14"/>
  <c r="AE18" i="14"/>
  <c r="AE12" i="14"/>
  <c r="AF38" i="14"/>
  <c r="AG6" i="14"/>
  <c r="AG7" i="14"/>
  <c r="AG24" i="14" s="1"/>
  <c r="AG25" i="14" s="1"/>
  <c r="AG32" i="14"/>
  <c r="AG5" i="14"/>
  <c r="AG4" i="14"/>
  <c r="AG26" i="14"/>
  <c r="AG34" i="14" s="1"/>
  <c r="AF30" i="14"/>
  <c r="AF9" i="14"/>
  <c r="AF21" i="14"/>
  <c r="AI3" i="14"/>
  <c r="AH1" i="14"/>
  <c r="AI45" i="14"/>
  <c r="L27" i="16"/>
  <c r="J27" i="16"/>
  <c r="C27" i="16"/>
  <c r="I27" i="16" s="1"/>
  <c r="M27" i="16"/>
  <c r="N26" i="16"/>
  <c r="A111" i="13"/>
  <c r="B112" i="13"/>
  <c r="B29" i="16"/>
  <c r="A28" i="16"/>
  <c r="AF18" i="14" l="1"/>
  <c r="AF12" i="14"/>
  <c r="AG8" i="14"/>
  <c r="AG17" i="14" s="1"/>
  <c r="AG18" i="14"/>
  <c r="AH4" i="14"/>
  <c r="AH32" i="14"/>
  <c r="AH26" i="14"/>
  <c r="AH34" i="14" s="1"/>
  <c r="AH7" i="14"/>
  <c r="AH24" i="14" s="1"/>
  <c r="AH25" i="14" s="1"/>
  <c r="AH6" i="14"/>
  <c r="AH5" i="14"/>
  <c r="AG27" i="14"/>
  <c r="AG28" i="14"/>
  <c r="AJ3" i="14"/>
  <c r="AI1" i="14"/>
  <c r="AG30" i="14"/>
  <c r="AG9" i="14"/>
  <c r="AG12" i="14" s="1"/>
  <c r="AG21" i="14"/>
  <c r="AA13" i="14"/>
  <c r="AA22" i="14" s="1"/>
  <c r="AA31" i="14" s="1"/>
  <c r="AA33" i="14" s="1"/>
  <c r="AA35" i="14" s="1"/>
  <c r="C28" i="16"/>
  <c r="I28" i="16" s="1"/>
  <c r="J28" i="16"/>
  <c r="L28" i="16"/>
  <c r="M28" i="16"/>
  <c r="N27" i="16"/>
  <c r="B113" i="13"/>
  <c r="A112" i="13"/>
  <c r="B30" i="16"/>
  <c r="G30" i="16" s="1"/>
  <c r="G31" i="16" s="1"/>
  <c r="G32" i="16" s="1"/>
  <c r="A29" i="16"/>
  <c r="AG13" i="14" l="1"/>
  <c r="AH28" i="14"/>
  <c r="AH27" i="14"/>
  <c r="AH21" i="14"/>
  <c r="AH30" i="14"/>
  <c r="AH9" i="14"/>
  <c r="AH8" i="14"/>
  <c r="AG22" i="14"/>
  <c r="AG31" i="14" s="1"/>
  <c r="AG33" i="14" s="1"/>
  <c r="AG35" i="14" s="1"/>
  <c r="AI6" i="14"/>
  <c r="AI26" i="14"/>
  <c r="AI34" i="14" s="1"/>
  <c r="AI4" i="14"/>
  <c r="AI7" i="14"/>
  <c r="AI24" i="14" s="1"/>
  <c r="AI25" i="14" s="1"/>
  <c r="AI32" i="14"/>
  <c r="AI5" i="14"/>
  <c r="AJ1" i="14"/>
  <c r="AK3" i="14"/>
  <c r="N28" i="16"/>
  <c r="C29" i="16"/>
  <c r="I29" i="16" s="1"/>
  <c r="M29" i="16"/>
  <c r="J29" i="16"/>
  <c r="L29" i="16"/>
  <c r="A113" i="13"/>
  <c r="B114" i="13"/>
  <c r="B31" i="16"/>
  <c r="A30" i="16"/>
  <c r="AI28" i="14" l="1"/>
  <c r="AI27" i="14"/>
  <c r="AI8" i="14"/>
  <c r="AL45" i="14"/>
  <c r="AL3" i="14"/>
  <c r="AK1" i="14"/>
  <c r="AH17" i="14"/>
  <c r="AH13" i="14"/>
  <c r="AH18" i="14"/>
  <c r="AH12" i="14"/>
  <c r="AH22" i="14" s="1"/>
  <c r="AH31" i="14" s="1"/>
  <c r="AH33" i="14" s="1"/>
  <c r="AH35" i="14" s="1"/>
  <c r="AI38" i="14"/>
  <c r="AJ4" i="14"/>
  <c r="AJ26" i="14"/>
  <c r="AJ34" i="14" s="1"/>
  <c r="AJ32" i="14"/>
  <c r="AJ7" i="14"/>
  <c r="AJ24" i="14" s="1"/>
  <c r="AJ25" i="14" s="1"/>
  <c r="AJ5" i="14"/>
  <c r="AJ6" i="14"/>
  <c r="AI30" i="14"/>
  <c r="AI9" i="14"/>
  <c r="AI21" i="14"/>
  <c r="N29" i="16"/>
  <c r="M30" i="16"/>
  <c r="C30" i="16"/>
  <c r="I30" i="16" s="1"/>
  <c r="L30" i="16"/>
  <c r="J30" i="16"/>
  <c r="A114" i="13"/>
  <c r="B115" i="13"/>
  <c r="B32" i="16"/>
  <c r="A31" i="16"/>
  <c r="AJ8" i="14" l="1"/>
  <c r="AJ30" i="14"/>
  <c r="AJ9" i="14"/>
  <c r="AJ21" i="14"/>
  <c r="AI17" i="14"/>
  <c r="AI18" i="14"/>
  <c r="AI12" i="14"/>
  <c r="AI13" i="14"/>
  <c r="AK6" i="14"/>
  <c r="AK26" i="14"/>
  <c r="AK34" i="14" s="1"/>
  <c r="AK7" i="14"/>
  <c r="AK24" i="14" s="1"/>
  <c r="AK25" i="14" s="1"/>
  <c r="AK32" i="14"/>
  <c r="AK4" i="14"/>
  <c r="AK5" i="14"/>
  <c r="AJ17" i="14"/>
  <c r="AJ18" i="14"/>
  <c r="AJ13" i="14"/>
  <c r="AJ12" i="14"/>
  <c r="AL1" i="14"/>
  <c r="AM3" i="14"/>
  <c r="AJ27" i="14"/>
  <c r="AJ28" i="14"/>
  <c r="N30" i="16"/>
  <c r="L31" i="16"/>
  <c r="C31" i="16"/>
  <c r="I31" i="16" s="1"/>
  <c r="M31" i="16"/>
  <c r="J31" i="16"/>
  <c r="A115" i="13"/>
  <c r="B116" i="13"/>
  <c r="B33" i="16"/>
  <c r="G33" i="16" s="1"/>
  <c r="G34" i="16" s="1"/>
  <c r="G35" i="16" s="1"/>
  <c r="A32" i="16"/>
  <c r="AI22" i="14" l="1"/>
  <c r="AI31" i="14" s="1"/>
  <c r="AI33" i="14" s="1"/>
  <c r="AI35" i="14" s="1"/>
  <c r="AL6" i="14"/>
  <c r="AL4" i="14"/>
  <c r="AL26" i="14"/>
  <c r="AL34" i="14" s="1"/>
  <c r="AL7" i="14"/>
  <c r="AL24" i="14" s="1"/>
  <c r="AL25" i="14" s="1"/>
  <c r="AL32" i="14"/>
  <c r="AL5" i="14"/>
  <c r="AJ22" i="14"/>
  <c r="AJ31" i="14" s="1"/>
  <c r="AJ33" i="14" s="1"/>
  <c r="AJ35" i="14" s="1"/>
  <c r="AI37" i="14" s="1"/>
  <c r="AI39" i="14" s="1"/>
  <c r="AK27" i="14"/>
  <c r="AK28" i="14"/>
  <c r="AK8" i="14"/>
  <c r="AN3" i="14"/>
  <c r="AM1" i="14"/>
  <c r="AK9" i="14"/>
  <c r="AK30" i="14"/>
  <c r="AK21" i="14"/>
  <c r="L32" i="16"/>
  <c r="M32" i="16"/>
  <c r="C32" i="16"/>
  <c r="I32" i="16" s="1"/>
  <c r="J32" i="16"/>
  <c r="N31" i="16"/>
  <c r="A116" i="13"/>
  <c r="B117" i="13"/>
  <c r="A33" i="16"/>
  <c r="B34" i="16"/>
  <c r="AL30" i="14" l="1"/>
  <c r="AL9" i="14"/>
  <c r="AL21" i="14"/>
  <c r="AL38" i="14"/>
  <c r="AM4" i="14"/>
  <c r="AM7" i="14"/>
  <c r="AM24" i="14" s="1"/>
  <c r="AM25" i="14" s="1"/>
  <c r="AM6" i="14"/>
  <c r="AM5" i="14"/>
  <c r="AM26" i="14"/>
  <c r="AM34" i="14" s="1"/>
  <c r="AM32" i="14"/>
  <c r="AK17" i="14"/>
  <c r="AK12" i="14"/>
  <c r="AK18" i="14"/>
  <c r="AK13" i="14"/>
  <c r="AL28" i="14"/>
  <c r="AL27" i="14"/>
  <c r="AN1" i="14"/>
  <c r="AO45" i="14"/>
  <c r="AO3" i="14"/>
  <c r="AL8" i="14"/>
  <c r="C33" i="16"/>
  <c r="I33" i="16" s="1"/>
  <c r="L33" i="16"/>
  <c r="M33" i="16"/>
  <c r="J33" i="16"/>
  <c r="N32" i="16"/>
  <c r="B118" i="13"/>
  <c r="A117" i="13"/>
  <c r="B35" i="16"/>
  <c r="A34" i="16"/>
  <c r="AK22" i="14" l="1"/>
  <c r="AK31" i="14" s="1"/>
  <c r="AK33" i="14" s="1"/>
  <c r="AK35" i="14" s="1"/>
  <c r="AM8" i="14"/>
  <c r="AL12" i="14"/>
  <c r="AL18" i="14"/>
  <c r="AL17" i="14"/>
  <c r="AM18" i="14"/>
  <c r="AM17" i="14"/>
  <c r="AM13" i="14"/>
  <c r="AN26" i="14"/>
  <c r="AN34" i="14" s="1"/>
  <c r="AN7" i="14"/>
  <c r="AN24" i="14" s="1"/>
  <c r="AN25" i="14" s="1"/>
  <c r="AN32" i="14"/>
  <c r="AN4" i="14"/>
  <c r="AN5" i="14"/>
  <c r="AN6" i="14"/>
  <c r="AM9" i="14"/>
  <c r="AM12" i="14" s="1"/>
  <c r="AM21" i="14"/>
  <c r="AM30" i="14"/>
  <c r="AP3" i="14"/>
  <c r="AP1" i="14" s="1"/>
  <c r="AO1" i="14"/>
  <c r="AM27" i="14"/>
  <c r="AM28" i="14"/>
  <c r="C34" i="16"/>
  <c r="I34" i="16" s="1"/>
  <c r="M34" i="16"/>
  <c r="J34" i="16"/>
  <c r="L34" i="16"/>
  <c r="N33" i="16"/>
  <c r="A118" i="13"/>
  <c r="B119" i="13"/>
  <c r="A35" i="16"/>
  <c r="B36" i="16"/>
  <c r="G36" i="16" s="1"/>
  <c r="G37" i="16" s="1"/>
  <c r="G38" i="16" s="1"/>
  <c r="AO38" i="14" l="1"/>
  <c r="AP7" i="14"/>
  <c r="AP24" i="14" s="1"/>
  <c r="AP25" i="14" s="1"/>
  <c r="AP4" i="14"/>
  <c r="AP32" i="14"/>
  <c r="AP5" i="14"/>
  <c r="AP26" i="14"/>
  <c r="AP34" i="14" s="1"/>
  <c r="AP6" i="14"/>
  <c r="AP8" i="14" s="1"/>
  <c r="AN9" i="14"/>
  <c r="AN21" i="14"/>
  <c r="AN30" i="14"/>
  <c r="AO5" i="14"/>
  <c r="AO6" i="14"/>
  <c r="AO4" i="14"/>
  <c r="AO26" i="14"/>
  <c r="AO34" i="14" s="1"/>
  <c r="AO7" i="14"/>
  <c r="AO24" i="14" s="1"/>
  <c r="AO25" i="14" s="1"/>
  <c r="AO32" i="14"/>
  <c r="AN27" i="14"/>
  <c r="AN28" i="14"/>
  <c r="AM22" i="14"/>
  <c r="AM31" i="14" s="1"/>
  <c r="AM33" i="14" s="1"/>
  <c r="AM35" i="14" s="1"/>
  <c r="AN8" i="14"/>
  <c r="N34" i="16"/>
  <c r="C35" i="16"/>
  <c r="I35" i="16" s="1"/>
  <c r="M35" i="16"/>
  <c r="J35" i="16"/>
  <c r="L35" i="16"/>
  <c r="B120" i="13"/>
  <c r="A119" i="13"/>
  <c r="A36" i="16"/>
  <c r="B37" i="16"/>
  <c r="AO8" i="14" l="1"/>
  <c r="AP21" i="14"/>
  <c r="AP9" i="14"/>
  <c r="AP30" i="14"/>
  <c r="AP18" i="14"/>
  <c r="AP13" i="14"/>
  <c r="AP12" i="14"/>
  <c r="AP17" i="14"/>
  <c r="AO30" i="14"/>
  <c r="AO9" i="14"/>
  <c r="AO21" i="14"/>
  <c r="AO27" i="14"/>
  <c r="AO28" i="14"/>
  <c r="AP27" i="14"/>
  <c r="AP28" i="14"/>
  <c r="AO17" i="14"/>
  <c r="AO18" i="14"/>
  <c r="AO12" i="14"/>
  <c r="AO13" i="14"/>
  <c r="AN12" i="14"/>
  <c r="AN17" i="14"/>
  <c r="AN13" i="14"/>
  <c r="AN18" i="14"/>
  <c r="N35" i="16"/>
  <c r="J36" i="16"/>
  <c r="C36" i="16"/>
  <c r="I36" i="16" s="1"/>
  <c r="L36" i="16"/>
  <c r="M36" i="16"/>
  <c r="A120" i="13"/>
  <c r="B121" i="13"/>
  <c r="A37" i="16"/>
  <c r="B38" i="16"/>
  <c r="AN22" i="14" l="1"/>
  <c r="AN31" i="14" s="1"/>
  <c r="AN33" i="14" s="1"/>
  <c r="AN35" i="14" s="1"/>
  <c r="AO37" i="14" s="1"/>
  <c r="AO39" i="14" s="1"/>
  <c r="AO22" i="14"/>
  <c r="AO31" i="14" s="1"/>
  <c r="AO33" i="14" s="1"/>
  <c r="AO35" i="14" s="1"/>
  <c r="AP22" i="14"/>
  <c r="AP31" i="14" s="1"/>
  <c r="AP33" i="14" s="1"/>
  <c r="AP35" i="14" s="1"/>
  <c r="J37" i="16"/>
  <c r="C37" i="16"/>
  <c r="I37" i="16" s="1"/>
  <c r="L37" i="16"/>
  <c r="M37" i="16"/>
  <c r="N36" i="16"/>
  <c r="A121" i="13"/>
  <c r="B122" i="13"/>
  <c r="B39" i="16"/>
  <c r="G39" i="16" s="1"/>
  <c r="G40" i="16" s="1"/>
  <c r="G41" i="16" s="1"/>
  <c r="A38" i="16"/>
  <c r="J38" i="16" l="1"/>
  <c r="L38" i="16"/>
  <c r="M38" i="16"/>
  <c r="C38" i="16"/>
  <c r="I38" i="16" s="1"/>
  <c r="N37" i="16"/>
  <c r="A122" i="13"/>
  <c r="B123" i="13"/>
  <c r="B40" i="16"/>
  <c r="A39" i="16"/>
  <c r="N38" i="16" l="1"/>
  <c r="L39" i="16"/>
  <c r="M39" i="16"/>
  <c r="J39" i="16"/>
  <c r="C39" i="16"/>
  <c r="I39" i="16" s="1"/>
  <c r="A123" i="13"/>
  <c r="B124" i="13"/>
  <c r="A40" i="16"/>
  <c r="B41" i="16"/>
  <c r="B4" i="13"/>
  <c r="L4" i="13"/>
  <c r="L5" i="13" s="1"/>
  <c r="L6" i="13" s="1"/>
  <c r="L7" i="13" s="1"/>
  <c r="L8" i="13" s="1"/>
  <c r="L9" i="13" s="1"/>
  <c r="L10" i="13" s="1"/>
  <c r="L11" i="13" s="1"/>
  <c r="L12" i="13" s="1"/>
  <c r="L13" i="13" s="1"/>
  <c r="L14" i="13" s="1"/>
  <c r="K14" i="13"/>
  <c r="K15" i="13"/>
  <c r="C15" i="16" s="1"/>
  <c r="I15" i="16" s="1"/>
  <c r="K16" i="13"/>
  <c r="C16" i="16" s="1"/>
  <c r="I16" i="16" s="1"/>
  <c r="K17" i="13"/>
  <c r="C17" i="16" s="1"/>
  <c r="I17" i="16" s="1"/>
  <c r="P17" i="13"/>
  <c r="K18" i="13"/>
  <c r="P18" i="13"/>
  <c r="K19" i="13"/>
  <c r="P19" i="13"/>
  <c r="K20" i="13"/>
  <c r="P20" i="13"/>
  <c r="K21" i="13"/>
  <c r="P21" i="13"/>
  <c r="K22" i="13"/>
  <c r="P22" i="13"/>
  <c r="K23" i="13"/>
  <c r="P23" i="13"/>
  <c r="K24" i="13"/>
  <c r="P24" i="13"/>
  <c r="K25" i="13"/>
  <c r="P25" i="13"/>
  <c r="K26" i="13"/>
  <c r="P26" i="13"/>
  <c r="K27" i="13"/>
  <c r="L27" i="13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L54" i="13" s="1"/>
  <c r="L55" i="13" s="1"/>
  <c r="L56" i="13" s="1"/>
  <c r="P27" i="13"/>
  <c r="K28" i="13"/>
  <c r="P28" i="13"/>
  <c r="K29" i="13"/>
  <c r="P29" i="13"/>
  <c r="K30" i="13"/>
  <c r="P30" i="13"/>
  <c r="K31" i="13"/>
  <c r="P31" i="13"/>
  <c r="K32" i="13"/>
  <c r="P32" i="13"/>
  <c r="K33" i="13"/>
  <c r="P33" i="13"/>
  <c r="K34" i="13"/>
  <c r="P34" i="13"/>
  <c r="K35" i="13"/>
  <c r="P35" i="13"/>
  <c r="K36" i="13"/>
  <c r="P36" i="13"/>
  <c r="K37" i="13"/>
  <c r="P37" i="13"/>
  <c r="K38" i="13"/>
  <c r="P38" i="13"/>
  <c r="K39" i="13"/>
  <c r="P39" i="13"/>
  <c r="K40" i="13"/>
  <c r="P40" i="13"/>
  <c r="K41" i="13"/>
  <c r="P41" i="13"/>
  <c r="K42" i="13"/>
  <c r="P42" i="13"/>
  <c r="K43" i="13"/>
  <c r="P43" i="13"/>
  <c r="K44" i="13"/>
  <c r="P44" i="13"/>
  <c r="K45" i="13"/>
  <c r="P45" i="13"/>
  <c r="K46" i="13"/>
  <c r="P46" i="13"/>
  <c r="K47" i="13"/>
  <c r="P47" i="13"/>
  <c r="K48" i="13"/>
  <c r="P48" i="13"/>
  <c r="K49" i="13"/>
  <c r="P49" i="13"/>
  <c r="K50" i="13"/>
  <c r="P50" i="13"/>
  <c r="K51" i="13"/>
  <c r="P51" i="13"/>
  <c r="K52" i="13"/>
  <c r="P52" i="13"/>
  <c r="K53" i="13"/>
  <c r="P53" i="13"/>
  <c r="K54" i="13"/>
  <c r="P54" i="13"/>
  <c r="K55" i="13"/>
  <c r="P55" i="13"/>
  <c r="H56" i="13"/>
  <c r="K56" i="13"/>
  <c r="L26" i="14" s="1"/>
  <c r="L34" i="14" s="1"/>
  <c r="V14" i="13" l="1"/>
  <c r="V6" i="13"/>
  <c r="Q55" i="13"/>
  <c r="K7" i="14"/>
  <c r="Q54" i="13"/>
  <c r="J7" i="14"/>
  <c r="L28" i="14"/>
  <c r="L31" i="14" s="1"/>
  <c r="L27" i="14"/>
  <c r="K38" i="14"/>
  <c r="N38" i="14"/>
  <c r="Q38" i="14"/>
  <c r="T38" i="14"/>
  <c r="K26" i="14"/>
  <c r="K34" i="14" s="1"/>
  <c r="M40" i="16"/>
  <c r="J40" i="16"/>
  <c r="L40" i="16"/>
  <c r="C40" i="16"/>
  <c r="I40" i="16" s="1"/>
  <c r="N39" i="16"/>
  <c r="V17" i="13"/>
  <c r="B125" i="13"/>
  <c r="A124" i="13"/>
  <c r="B42" i="16"/>
  <c r="G42" i="16" s="1"/>
  <c r="G43" i="16" s="1"/>
  <c r="G44" i="16" s="1"/>
  <c r="A41" i="16"/>
  <c r="V19" i="13"/>
  <c r="V20" i="13"/>
  <c r="V16" i="13"/>
  <c r="V18" i="13"/>
  <c r="V21" i="13"/>
  <c r="B5" i="13"/>
  <c r="J24" i="14" l="1"/>
  <c r="J25" i="14" s="1"/>
  <c r="J30" i="14"/>
  <c r="J8" i="14"/>
  <c r="K24" i="14"/>
  <c r="K8" i="14"/>
  <c r="K30" i="14"/>
  <c r="N40" i="16"/>
  <c r="L41" i="16"/>
  <c r="J41" i="16"/>
  <c r="M41" i="16"/>
  <c r="C41" i="16"/>
  <c r="I41" i="16" s="1"/>
  <c r="A125" i="13"/>
  <c r="B126" i="13"/>
  <c r="A42" i="16"/>
  <c r="B43" i="16"/>
  <c r="B6" i="13"/>
  <c r="K25" i="14" l="1"/>
  <c r="K27" i="14" s="1"/>
  <c r="K18" i="14"/>
  <c r="K17" i="14"/>
  <c r="K13" i="14"/>
  <c r="K12" i="14"/>
  <c r="J12" i="14"/>
  <c r="J13" i="14"/>
  <c r="J17" i="14"/>
  <c r="J18" i="14"/>
  <c r="J28" i="14"/>
  <c r="J27" i="14"/>
  <c r="L42" i="16"/>
  <c r="J42" i="16"/>
  <c r="C42" i="16"/>
  <c r="I42" i="16" s="1"/>
  <c r="M42" i="16"/>
  <c r="N41" i="16"/>
  <c r="A126" i="13"/>
  <c r="B127" i="13"/>
  <c r="A43" i="16"/>
  <c r="B44" i="16"/>
  <c r="B7" i="13"/>
  <c r="K28" i="14" l="1"/>
  <c r="K22" i="14"/>
  <c r="J19" i="14"/>
  <c r="K16" i="14" s="1"/>
  <c r="K19" i="14" s="1"/>
  <c r="L16" i="14" s="1"/>
  <c r="L19" i="14" s="1"/>
  <c r="M47" i="14" s="1"/>
  <c r="M49" i="14" s="1"/>
  <c r="J22" i="14"/>
  <c r="J31" i="14" s="1"/>
  <c r="J14" i="14"/>
  <c r="K11" i="14" s="1"/>
  <c r="K14" i="14" s="1"/>
  <c r="L11" i="14" s="1"/>
  <c r="L14" i="14" s="1"/>
  <c r="M46" i="14" s="1"/>
  <c r="M50" i="14" s="1"/>
  <c r="J43" i="16"/>
  <c r="L43" i="16"/>
  <c r="C43" i="16"/>
  <c r="I43" i="16" s="1"/>
  <c r="M43" i="16"/>
  <c r="N42" i="16"/>
  <c r="A127" i="13"/>
  <c r="B128" i="13"/>
  <c r="A44" i="16"/>
  <c r="B45" i="16"/>
  <c r="G45" i="16" s="1"/>
  <c r="G46" i="16" s="1"/>
  <c r="G47" i="16" s="1"/>
  <c r="B8" i="13"/>
  <c r="K31" i="14" l="1"/>
  <c r="M11" i="14"/>
  <c r="M14" i="14" s="1"/>
  <c r="N11" i="14" s="1"/>
  <c r="M48" i="14"/>
  <c r="M16" i="14"/>
  <c r="M19" i="14" s="1"/>
  <c r="N16" i="14" s="1"/>
  <c r="N19" i="14" s="1"/>
  <c r="O16" i="14" s="1"/>
  <c r="O19" i="14" s="1"/>
  <c r="P47" i="14" s="1"/>
  <c r="P49" i="14" s="1"/>
  <c r="L44" i="16"/>
  <c r="C44" i="16"/>
  <c r="I44" i="16" s="1"/>
  <c r="M44" i="16"/>
  <c r="J44" i="16"/>
  <c r="N43" i="16"/>
  <c r="B129" i="13"/>
  <c r="A128" i="13"/>
  <c r="A45" i="16"/>
  <c r="B46" i="16"/>
  <c r="B9" i="13"/>
  <c r="P16" i="14" l="1"/>
  <c r="P19" i="14" s="1"/>
  <c r="Q16" i="14" s="1"/>
  <c r="Q19" i="14" s="1"/>
  <c r="R16" i="14" s="1"/>
  <c r="R19" i="14" s="1"/>
  <c r="S47" i="14" s="1"/>
  <c r="S49" i="14" s="1"/>
  <c r="N13" i="14"/>
  <c r="N22" i="14" s="1"/>
  <c r="N31" i="14" s="1"/>
  <c r="C45" i="16"/>
  <c r="I45" i="16" s="1"/>
  <c r="L45" i="16"/>
  <c r="J45" i="16"/>
  <c r="M45" i="16"/>
  <c r="N44" i="16"/>
  <c r="A129" i="13"/>
  <c r="B130" i="13"/>
  <c r="A46" i="16"/>
  <c r="B47" i="16"/>
  <c r="B10" i="13"/>
  <c r="N14" i="14" l="1"/>
  <c r="O11" i="14" s="1"/>
  <c r="O14" i="14" s="1"/>
  <c r="P46" i="14" s="1"/>
  <c r="S16" i="14"/>
  <c r="S19" i="14" s="1"/>
  <c r="T16" i="14" s="1"/>
  <c r="T19" i="14" s="1"/>
  <c r="U16" i="14" s="1"/>
  <c r="U19" i="14" s="1"/>
  <c r="V47" i="14" s="1"/>
  <c r="V49" i="14" s="1"/>
  <c r="N45" i="16"/>
  <c r="J46" i="16"/>
  <c r="M46" i="16"/>
  <c r="C46" i="16"/>
  <c r="I46" i="16" s="1"/>
  <c r="L46" i="16"/>
  <c r="B131" i="13"/>
  <c r="A131" i="13" s="1"/>
  <c r="A130" i="13"/>
  <c r="B48" i="16"/>
  <c r="G48" i="16" s="1"/>
  <c r="G49" i="16" s="1"/>
  <c r="G50" i="16" s="1"/>
  <c r="A47" i="16"/>
  <c r="B11" i="13"/>
  <c r="P11" i="14" l="1"/>
  <c r="P14" i="14" s="1"/>
  <c r="Q11" i="14" s="1"/>
  <c r="P50" i="14"/>
  <c r="P48" i="14"/>
  <c r="N46" i="16"/>
  <c r="V16" i="14"/>
  <c r="V19" i="14" s="1"/>
  <c r="W16" i="14" s="1"/>
  <c r="W19" i="14" s="1"/>
  <c r="X16" i="14" s="1"/>
  <c r="X19" i="14" s="1"/>
  <c r="Y47" i="14" s="1"/>
  <c r="Y49" i="14" s="1"/>
  <c r="Q13" i="14"/>
  <c r="Q22" i="14" s="1"/>
  <c r="Q31" i="14" s="1"/>
  <c r="M47" i="16"/>
  <c r="L47" i="16"/>
  <c r="C47" i="16"/>
  <c r="I47" i="16" s="1"/>
  <c r="J47" i="16"/>
  <c r="B49" i="16"/>
  <c r="A48" i="16"/>
  <c r="B12" i="13"/>
  <c r="Q14" i="14" l="1"/>
  <c r="R11" i="14" s="1"/>
  <c r="R13" i="14" s="1"/>
  <c r="R22" i="14" s="1"/>
  <c r="R31" i="14" s="1"/>
  <c r="Y16" i="14"/>
  <c r="Y19" i="14" s="1"/>
  <c r="Z16" i="14" s="1"/>
  <c r="Z19" i="14" s="1"/>
  <c r="AA16" i="14" s="1"/>
  <c r="AA19" i="14" s="1"/>
  <c r="AB47" i="14" s="1"/>
  <c r="AB49" i="14" s="1"/>
  <c r="N47" i="16"/>
  <c r="L48" i="16"/>
  <c r="M48" i="16"/>
  <c r="J48" i="16"/>
  <c r="C48" i="16"/>
  <c r="I48" i="16" s="1"/>
  <c r="B50" i="16"/>
  <c r="A49" i="16"/>
  <c r="B13" i="13"/>
  <c r="R14" i="14" l="1"/>
  <c r="S46" i="14" s="1"/>
  <c r="AB16" i="14"/>
  <c r="AB19" i="14" s="1"/>
  <c r="AC16" i="14" s="1"/>
  <c r="AC19" i="14" s="1"/>
  <c r="AD16" i="14" s="1"/>
  <c r="AD19" i="14" s="1"/>
  <c r="AE47" i="14" s="1"/>
  <c r="AE49" i="14" s="1"/>
  <c r="N48" i="16"/>
  <c r="M49" i="16"/>
  <c r="L49" i="16"/>
  <c r="J49" i="16"/>
  <c r="C49" i="16"/>
  <c r="I49" i="16" s="1"/>
  <c r="B51" i="16"/>
  <c r="G51" i="16" s="1"/>
  <c r="G52" i="16" s="1"/>
  <c r="G53" i="16" s="1"/>
  <c r="A50" i="16"/>
  <c r="B14" i="13"/>
  <c r="S11" i="14" l="1"/>
  <c r="S50" i="14"/>
  <c r="S48" i="14"/>
  <c r="AE16" i="14"/>
  <c r="AE19" i="14" s="1"/>
  <c r="AF16" i="14" s="1"/>
  <c r="AF19" i="14" s="1"/>
  <c r="AG16" i="14" s="1"/>
  <c r="AG19" i="14" s="1"/>
  <c r="AH47" i="14" s="1"/>
  <c r="AH49" i="14" s="1"/>
  <c r="S13" i="14"/>
  <c r="S22" i="14" s="1"/>
  <c r="S31" i="14" s="1"/>
  <c r="S33" i="14" s="1"/>
  <c r="S35" i="14" s="1"/>
  <c r="N49" i="16"/>
  <c r="L50" i="16"/>
  <c r="M50" i="16"/>
  <c r="J50" i="16"/>
  <c r="C50" i="16"/>
  <c r="I50" i="16" s="1"/>
  <c r="B52" i="16"/>
  <c r="A51" i="16"/>
  <c r="B15" i="13"/>
  <c r="S14" i="14" l="1"/>
  <c r="T11" i="14" s="1"/>
  <c r="AH16" i="14"/>
  <c r="AH19" i="14" s="1"/>
  <c r="AI16" i="14" s="1"/>
  <c r="AI19" i="14" s="1"/>
  <c r="AJ16" i="14" s="1"/>
  <c r="AJ19" i="14" s="1"/>
  <c r="AK47" i="14" s="1"/>
  <c r="AK49" i="14" s="1"/>
  <c r="C51" i="16"/>
  <c r="I51" i="16" s="1"/>
  <c r="M51" i="16"/>
  <c r="J51" i="16"/>
  <c r="L51" i="16"/>
  <c r="N50" i="16"/>
  <c r="B53" i="16"/>
  <c r="A52" i="16"/>
  <c r="B16" i="13"/>
  <c r="AK16" i="14" l="1"/>
  <c r="AK19" i="14" s="1"/>
  <c r="AL16" i="14" s="1"/>
  <c r="AL19" i="14" s="1"/>
  <c r="AM16" i="14" s="1"/>
  <c r="AM19" i="14" s="1"/>
  <c r="AN47" i="14" s="1"/>
  <c r="AN49" i="14" s="1"/>
  <c r="T13" i="14"/>
  <c r="T22" i="14" s="1"/>
  <c r="T31" i="14" s="1"/>
  <c r="T33" i="14" s="1"/>
  <c r="T35" i="14" s="1"/>
  <c r="N51" i="16"/>
  <c r="C52" i="16"/>
  <c r="I52" i="16" s="1"/>
  <c r="L52" i="16"/>
  <c r="M52" i="16"/>
  <c r="J52" i="16"/>
  <c r="A53" i="16"/>
  <c r="B54" i="16"/>
  <c r="G54" i="16" s="1"/>
  <c r="G55" i="16" s="1"/>
  <c r="G56" i="16" s="1"/>
  <c r="B17" i="13"/>
  <c r="T14" i="14" l="1"/>
  <c r="U11" i="14" s="1"/>
  <c r="AN16" i="14"/>
  <c r="AN19" i="14" s="1"/>
  <c r="AO16" i="14" s="1"/>
  <c r="AO19" i="14" s="1"/>
  <c r="AP16" i="14" s="1"/>
  <c r="AP19" i="14" s="1"/>
  <c r="C53" i="16"/>
  <c r="I53" i="16" s="1"/>
  <c r="L53" i="16"/>
  <c r="M53" i="16"/>
  <c r="J53" i="16"/>
  <c r="N52" i="16"/>
  <c r="B55" i="16"/>
  <c r="A54" i="16"/>
  <c r="B18" i="13"/>
  <c r="U13" i="14" l="1"/>
  <c r="U22" i="14" s="1"/>
  <c r="U31" i="14" s="1"/>
  <c r="U33" i="14" s="1"/>
  <c r="U35" i="14" s="1"/>
  <c r="T37" i="14" s="1"/>
  <c r="T39" i="14" s="1"/>
  <c r="C54" i="16"/>
  <c r="I54" i="16" s="1"/>
  <c r="M54" i="16"/>
  <c r="L54" i="16"/>
  <c r="J54" i="16"/>
  <c r="N53" i="16"/>
  <c r="A55" i="16"/>
  <c r="B56" i="16"/>
  <c r="B19" i="13"/>
  <c r="U14" i="14" l="1"/>
  <c r="V46" i="14" s="1"/>
  <c r="M55" i="16"/>
  <c r="C55" i="16"/>
  <c r="I55" i="16" s="1"/>
  <c r="J55" i="16"/>
  <c r="L55" i="16"/>
  <c r="N54" i="16"/>
  <c r="A56" i="16"/>
  <c r="B57" i="16"/>
  <c r="G57" i="16" s="1"/>
  <c r="G58" i="16" s="1"/>
  <c r="G59" i="16" s="1"/>
  <c r="B20" i="13"/>
  <c r="V11" i="14" l="1"/>
  <c r="V50" i="14"/>
  <c r="V48" i="14"/>
  <c r="V13" i="14"/>
  <c r="V22" i="14" s="1"/>
  <c r="V31" i="14" s="1"/>
  <c r="V33" i="14" s="1"/>
  <c r="V35" i="14" s="1"/>
  <c r="N55" i="16"/>
  <c r="C56" i="16"/>
  <c r="I56" i="16" s="1"/>
  <c r="L56" i="16"/>
  <c r="M56" i="16"/>
  <c r="J56" i="16"/>
  <c r="A57" i="16"/>
  <c r="B58" i="16"/>
  <c r="B21" i="13"/>
  <c r="V14" i="14" l="1"/>
  <c r="W11" i="14" s="1"/>
  <c r="W13" i="14" s="1"/>
  <c r="W22" i="14" s="1"/>
  <c r="W31" i="14" s="1"/>
  <c r="W33" i="14" s="1"/>
  <c r="W35" i="14" s="1"/>
  <c r="W37" i="14" s="1"/>
  <c r="W39" i="14" s="1"/>
  <c r="N56" i="16"/>
  <c r="M57" i="16"/>
  <c r="C57" i="16"/>
  <c r="I57" i="16" s="1"/>
  <c r="L57" i="16"/>
  <c r="J57" i="16"/>
  <c r="A58" i="16"/>
  <c r="B59" i="16"/>
  <c r="B22" i="13"/>
  <c r="W14" i="14" l="1"/>
  <c r="X11" i="14" s="1"/>
  <c r="X14" i="14" s="1"/>
  <c r="Y46" i="14" s="1"/>
  <c r="N57" i="16"/>
  <c r="J58" i="16"/>
  <c r="M58" i="16"/>
  <c r="L58" i="16"/>
  <c r="C58" i="16"/>
  <c r="I58" i="16" s="1"/>
  <c r="A59" i="16"/>
  <c r="B60" i="16"/>
  <c r="G60" i="16" s="1"/>
  <c r="G61" i="16" s="1"/>
  <c r="G62" i="16" s="1"/>
  <c r="B23" i="13"/>
  <c r="Y11" i="14" l="1"/>
  <c r="Y14" i="14" s="1"/>
  <c r="Z11" i="14" s="1"/>
  <c r="Y50" i="14"/>
  <c r="Y48" i="14"/>
  <c r="Z13" i="14"/>
  <c r="Z22" i="14" s="1"/>
  <c r="Z31" i="14" s="1"/>
  <c r="Z33" i="14" s="1"/>
  <c r="Z35" i="14" s="1"/>
  <c r="Z37" i="14" s="1"/>
  <c r="Z39" i="14" s="1"/>
  <c r="N58" i="16"/>
  <c r="L59" i="16"/>
  <c r="J59" i="16"/>
  <c r="C59" i="16"/>
  <c r="I59" i="16" s="1"/>
  <c r="M59" i="16"/>
  <c r="B61" i="16"/>
  <c r="A60" i="16"/>
  <c r="B24" i="13"/>
  <c r="Z14" i="14" l="1"/>
  <c r="AA11" i="14" s="1"/>
  <c r="AA14" i="14" s="1"/>
  <c r="AB46" i="14" s="1"/>
  <c r="AB50" i="14" s="1"/>
  <c r="J60" i="16"/>
  <c r="C60" i="16"/>
  <c r="I60" i="16" s="1"/>
  <c r="L60" i="16"/>
  <c r="M60" i="16"/>
  <c r="N59" i="16"/>
  <c r="B62" i="16"/>
  <c r="A61" i="16"/>
  <c r="B25" i="13"/>
  <c r="AB11" i="14" l="1"/>
  <c r="AB14" i="14" s="1"/>
  <c r="AC11" i="14" s="1"/>
  <c r="AB48" i="14"/>
  <c r="C61" i="16"/>
  <c r="I61" i="16" s="1"/>
  <c r="J61" i="16"/>
  <c r="L61" i="16"/>
  <c r="M61" i="16"/>
  <c r="N60" i="16"/>
  <c r="B63" i="16"/>
  <c r="G63" i="16" s="1"/>
  <c r="G64" i="16" s="1"/>
  <c r="G65" i="16" s="1"/>
  <c r="A62" i="16"/>
  <c r="B26" i="13"/>
  <c r="AC13" i="14" l="1"/>
  <c r="AC22" i="14" s="1"/>
  <c r="AC31" i="14" s="1"/>
  <c r="AC33" i="14" s="1"/>
  <c r="AC35" i="14" s="1"/>
  <c r="J62" i="16"/>
  <c r="C62" i="16"/>
  <c r="I62" i="16" s="1"/>
  <c r="L62" i="16"/>
  <c r="M62" i="16"/>
  <c r="N61" i="16"/>
  <c r="B64" i="16"/>
  <c r="A63" i="16"/>
  <c r="B27" i="13"/>
  <c r="AC14" i="14" l="1"/>
  <c r="AD11" i="14" s="1"/>
  <c r="J63" i="16"/>
  <c r="M63" i="16"/>
  <c r="C63" i="16"/>
  <c r="I63" i="16" s="1"/>
  <c r="L63" i="16"/>
  <c r="N62" i="16"/>
  <c r="A64" i="16"/>
  <c r="B65" i="16"/>
  <c r="B28" i="13"/>
  <c r="N63" i="16" l="1"/>
  <c r="AD13" i="14"/>
  <c r="AD22" i="14" s="1"/>
  <c r="AD31" i="14" s="1"/>
  <c r="AD33" i="14" s="1"/>
  <c r="AD35" i="14" s="1"/>
  <c r="AC37" i="14" s="1"/>
  <c r="AC39" i="14" s="1"/>
  <c r="M64" i="16"/>
  <c r="J64" i="16"/>
  <c r="C64" i="16"/>
  <c r="I64" i="16" s="1"/>
  <c r="L64" i="16"/>
  <c r="A65" i="16"/>
  <c r="B66" i="16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B29" i="13"/>
  <c r="AD14" i="14" l="1"/>
  <c r="AE46" i="14" s="1"/>
  <c r="AE50" i="14" s="1"/>
  <c r="L65" i="16"/>
  <c r="M65" i="16"/>
  <c r="J65" i="16"/>
  <c r="C65" i="16"/>
  <c r="I65" i="16" s="1"/>
  <c r="N64" i="16"/>
  <c r="A66" i="16"/>
  <c r="B67" i="16"/>
  <c r="B30" i="13"/>
  <c r="AE11" i="14" l="1"/>
  <c r="AE48" i="14"/>
  <c r="L66" i="16"/>
  <c r="M66" i="16"/>
  <c r="J66" i="16"/>
  <c r="C66" i="16"/>
  <c r="I66" i="16" s="1"/>
  <c r="N65" i="16"/>
  <c r="A67" i="16"/>
  <c r="B68" i="16"/>
  <c r="B31" i="13"/>
  <c r="AE13" i="14" l="1"/>
  <c r="AE22" i="14" s="1"/>
  <c r="AE31" i="14" s="1"/>
  <c r="AE33" i="14" s="1"/>
  <c r="AE35" i="14" s="1"/>
  <c r="L67" i="16"/>
  <c r="M67" i="16"/>
  <c r="C67" i="16"/>
  <c r="I67" i="16" s="1"/>
  <c r="J67" i="16"/>
  <c r="N66" i="16"/>
  <c r="B69" i="16"/>
  <c r="A68" i="16"/>
  <c r="B32" i="13"/>
  <c r="AE14" i="14" l="1"/>
  <c r="AF11" i="14" s="1"/>
  <c r="M68" i="16"/>
  <c r="J68" i="16"/>
  <c r="C68" i="16"/>
  <c r="I68" i="16" s="1"/>
  <c r="L68" i="16"/>
  <c r="N67" i="16"/>
  <c r="A69" i="16"/>
  <c r="B70" i="16"/>
  <c r="B33" i="13"/>
  <c r="AF13" i="14" l="1"/>
  <c r="AF22" i="14" s="1"/>
  <c r="AF31" i="14" s="1"/>
  <c r="AF33" i="14" s="1"/>
  <c r="AF35" i="14" s="1"/>
  <c r="AF37" i="14" s="1"/>
  <c r="AF39" i="14" s="1"/>
  <c r="N68" i="16"/>
  <c r="L69" i="16"/>
  <c r="M69" i="16"/>
  <c r="C69" i="16"/>
  <c r="I69" i="16" s="1"/>
  <c r="J69" i="16"/>
  <c r="B71" i="16"/>
  <c r="A70" i="16"/>
  <c r="B34" i="13"/>
  <c r="AF14" i="14" l="1"/>
  <c r="AG11" i="14" s="1"/>
  <c r="AG14" i="14" s="1"/>
  <c r="AH46" i="14" s="1"/>
  <c r="AH50" i="14" s="1"/>
  <c r="J70" i="16"/>
  <c r="L70" i="16"/>
  <c r="C70" i="16"/>
  <c r="I70" i="16" s="1"/>
  <c r="M70" i="16"/>
  <c r="N69" i="16"/>
  <c r="B72" i="16"/>
  <c r="A71" i="16"/>
  <c r="B35" i="13"/>
  <c r="AH48" i="14" l="1"/>
  <c r="AH11" i="14"/>
  <c r="AH14" i="14" s="1"/>
  <c r="AI11" i="14" s="1"/>
  <c r="AI14" i="14" s="1"/>
  <c r="AJ11" i="14" s="1"/>
  <c r="AJ14" i="14" s="1"/>
  <c r="AK46" i="14" s="1"/>
  <c r="AK50" i="14" s="1"/>
  <c r="M71" i="16"/>
  <c r="J71" i="16"/>
  <c r="C71" i="16"/>
  <c r="I71" i="16" s="1"/>
  <c r="L71" i="16"/>
  <c r="N70" i="16"/>
  <c r="A72" i="16"/>
  <c r="B73" i="16"/>
  <c r="B36" i="13"/>
  <c r="AK48" i="14" l="1"/>
  <c r="AK11" i="14"/>
  <c r="AK14" i="14" s="1"/>
  <c r="AL11" i="14" s="1"/>
  <c r="N71" i="16"/>
  <c r="M72" i="16"/>
  <c r="J72" i="16"/>
  <c r="C72" i="16"/>
  <c r="I72" i="16" s="1"/>
  <c r="L72" i="16"/>
  <c r="B74" i="16"/>
  <c r="A73" i="16"/>
  <c r="B37" i="13"/>
  <c r="AL13" i="14" l="1"/>
  <c r="AL22" i="14" s="1"/>
  <c r="AL31" i="14" s="1"/>
  <c r="AL33" i="14" s="1"/>
  <c r="AL35" i="14" s="1"/>
  <c r="AL37" i="14" s="1"/>
  <c r="AL39" i="14" s="1"/>
  <c r="N72" i="16"/>
  <c r="L73" i="16"/>
  <c r="M73" i="16"/>
  <c r="J73" i="16"/>
  <c r="C73" i="16"/>
  <c r="I73" i="16" s="1"/>
  <c r="B75" i="16"/>
  <c r="A74" i="16"/>
  <c r="B38" i="13"/>
  <c r="AL14" i="14" l="1"/>
  <c r="AM11" i="14" s="1"/>
  <c r="AM14" i="14" s="1"/>
  <c r="AN46" i="14" s="1"/>
  <c r="AN50" i="14" s="1"/>
  <c r="L74" i="16"/>
  <c r="M74" i="16"/>
  <c r="C74" i="16"/>
  <c r="I74" i="16" s="1"/>
  <c r="J74" i="16"/>
  <c r="N73" i="16"/>
  <c r="A75" i="16"/>
  <c r="B76" i="16"/>
  <c r="B39" i="13"/>
  <c r="AN11" i="14" l="1"/>
  <c r="AN14" i="14" s="1"/>
  <c r="AO11" i="14" s="1"/>
  <c r="AO14" i="14" s="1"/>
  <c r="AP11" i="14" s="1"/>
  <c r="AP14" i="14" s="1"/>
  <c r="AN48" i="14"/>
  <c r="L75" i="16"/>
  <c r="C75" i="16"/>
  <c r="I75" i="16" s="1"/>
  <c r="M75" i="16"/>
  <c r="J75" i="16"/>
  <c r="N74" i="16"/>
  <c r="B77" i="16"/>
  <c r="A76" i="16"/>
  <c r="B40" i="13"/>
  <c r="M76" i="16" l="1"/>
  <c r="J76" i="16"/>
  <c r="C76" i="16"/>
  <c r="I76" i="16" s="1"/>
  <c r="L76" i="16"/>
  <c r="N75" i="16"/>
  <c r="B78" i="16"/>
  <c r="A77" i="16"/>
  <c r="B41" i="13"/>
  <c r="N76" i="16" l="1"/>
  <c r="C77" i="16"/>
  <c r="I77" i="16" s="1"/>
  <c r="L77" i="16"/>
  <c r="J77" i="16"/>
  <c r="M77" i="16"/>
  <c r="B79" i="16"/>
  <c r="A78" i="16"/>
  <c r="B42" i="13"/>
  <c r="C78" i="16" l="1"/>
  <c r="I78" i="16" s="1"/>
  <c r="L78" i="16"/>
  <c r="J78" i="16"/>
  <c r="M78" i="16"/>
  <c r="N77" i="16"/>
  <c r="B80" i="16"/>
  <c r="A79" i="16"/>
  <c r="B43" i="13"/>
  <c r="C79" i="16" l="1"/>
  <c r="I79" i="16" s="1"/>
  <c r="J79" i="16"/>
  <c r="L79" i="16"/>
  <c r="M79" i="16"/>
  <c r="N78" i="16"/>
  <c r="B81" i="16"/>
  <c r="A80" i="16"/>
  <c r="B44" i="13"/>
  <c r="J80" i="16" l="1"/>
  <c r="C80" i="16"/>
  <c r="I80" i="16" s="1"/>
  <c r="M80" i="16"/>
  <c r="L80" i="16"/>
  <c r="N79" i="16"/>
  <c r="B82" i="16"/>
  <c r="A81" i="16"/>
  <c r="B45" i="13"/>
  <c r="L81" i="16" l="1"/>
  <c r="C81" i="16"/>
  <c r="I81" i="16" s="1"/>
  <c r="M81" i="16"/>
  <c r="J81" i="16"/>
  <c r="N80" i="16"/>
  <c r="B83" i="16"/>
  <c r="A82" i="16"/>
  <c r="B46" i="13"/>
  <c r="M82" i="16" l="1"/>
  <c r="C82" i="16"/>
  <c r="I82" i="16" s="1"/>
  <c r="J82" i="16"/>
  <c r="L82" i="16"/>
  <c r="N81" i="16"/>
  <c r="B84" i="16"/>
  <c r="A83" i="16"/>
  <c r="B47" i="13"/>
  <c r="N82" i="16" l="1"/>
  <c r="L83" i="16"/>
  <c r="M83" i="16"/>
  <c r="J83" i="16"/>
  <c r="C83" i="16"/>
  <c r="I83" i="16" s="1"/>
  <c r="I151" i="16" s="1"/>
  <c r="B85" i="16"/>
  <c r="A84" i="16"/>
  <c r="B48" i="13"/>
  <c r="C84" i="16" l="1"/>
  <c r="I84" i="16" s="1"/>
  <c r="J84" i="16"/>
  <c r="M84" i="16"/>
  <c r="L84" i="16"/>
  <c r="N83" i="16"/>
  <c r="N151" i="16" s="1"/>
  <c r="P151" i="16" s="1"/>
  <c r="B86" i="16"/>
  <c r="A85" i="16"/>
  <c r="B49" i="13"/>
  <c r="N84" i="16" l="1"/>
  <c r="A86" i="16"/>
  <c r="B87" i="16"/>
  <c r="J85" i="16"/>
  <c r="C85" i="16"/>
  <c r="I85" i="16" s="1"/>
  <c r="L85" i="16"/>
  <c r="M85" i="16"/>
  <c r="B50" i="13"/>
  <c r="N85" i="16" l="1"/>
  <c r="A87" i="16"/>
  <c r="B88" i="16"/>
  <c r="J86" i="16"/>
  <c r="L86" i="16"/>
  <c r="M86" i="16"/>
  <c r="C86" i="16"/>
  <c r="I86" i="16" s="1"/>
  <c r="B51" i="13"/>
  <c r="N86" i="16" l="1"/>
  <c r="A88" i="16"/>
  <c r="B89" i="16"/>
  <c r="J87" i="16"/>
  <c r="C87" i="16"/>
  <c r="I87" i="16" s="1"/>
  <c r="L87" i="16"/>
  <c r="M87" i="16"/>
  <c r="B52" i="13"/>
  <c r="N87" i="16" l="1"/>
  <c r="A89" i="16"/>
  <c r="B90" i="16"/>
  <c r="J88" i="16"/>
  <c r="M88" i="16"/>
  <c r="L88" i="16"/>
  <c r="C88" i="16"/>
  <c r="I88" i="16" s="1"/>
  <c r="B53" i="13"/>
  <c r="N88" i="16" l="1"/>
  <c r="A90" i="16"/>
  <c r="B91" i="16"/>
  <c r="J89" i="16"/>
  <c r="C89" i="16"/>
  <c r="I89" i="16" s="1"/>
  <c r="L89" i="16"/>
  <c r="M89" i="16"/>
  <c r="B54" i="13"/>
  <c r="N89" i="16" l="1"/>
  <c r="A91" i="16"/>
  <c r="B92" i="16"/>
  <c r="L90" i="16"/>
  <c r="M90" i="16"/>
  <c r="J90" i="16"/>
  <c r="C90" i="16"/>
  <c r="I90" i="16" s="1"/>
  <c r="B55" i="13"/>
  <c r="A92" i="16" l="1"/>
  <c r="B93" i="16"/>
  <c r="M91" i="16"/>
  <c r="L91" i="16"/>
  <c r="N91" i="16" s="1"/>
  <c r="C91" i="16"/>
  <c r="I91" i="16" s="1"/>
  <c r="J91" i="16"/>
  <c r="N90" i="16"/>
  <c r="B56" i="13"/>
  <c r="B94" i="16" l="1"/>
  <c r="A93" i="16"/>
  <c r="L92" i="16"/>
  <c r="M92" i="16"/>
  <c r="J92" i="16"/>
  <c r="C92" i="16"/>
  <c r="I92" i="16" s="1"/>
  <c r="B57" i="13"/>
  <c r="L93" i="16" l="1"/>
  <c r="J93" i="16"/>
  <c r="C93" i="16"/>
  <c r="I93" i="16" s="1"/>
  <c r="M93" i="16"/>
  <c r="N92" i="16"/>
  <c r="A94" i="16"/>
  <c r="B95" i="16"/>
  <c r="B58" i="13"/>
  <c r="L94" i="16" l="1"/>
  <c r="M94" i="16"/>
  <c r="J94" i="16"/>
  <c r="C94" i="16"/>
  <c r="I94" i="16" s="1"/>
  <c r="A95" i="16"/>
  <c r="B96" i="16"/>
  <c r="N93" i="16"/>
  <c r="B59" i="13"/>
  <c r="J95" i="16" l="1"/>
  <c r="L95" i="16"/>
  <c r="M95" i="16"/>
  <c r="C95" i="16"/>
  <c r="I95" i="16" s="1"/>
  <c r="B97" i="16"/>
  <c r="A96" i="16"/>
  <c r="N94" i="16"/>
  <c r="B60" i="13"/>
  <c r="C96" i="16" l="1"/>
  <c r="I96" i="16" s="1"/>
  <c r="M96" i="16"/>
  <c r="J96" i="16"/>
  <c r="L96" i="16"/>
  <c r="B98" i="16"/>
  <c r="A97" i="16"/>
  <c r="N95" i="16"/>
  <c r="B61" i="13"/>
  <c r="N96" i="16" l="1"/>
  <c r="A98" i="16"/>
  <c r="B99" i="16"/>
  <c r="M97" i="16"/>
  <c r="L97" i="16"/>
  <c r="C97" i="16"/>
  <c r="I97" i="16" s="1"/>
  <c r="J97" i="16"/>
  <c r="B62" i="13"/>
  <c r="N97" i="16" l="1"/>
  <c r="A99" i="16"/>
  <c r="B100" i="16"/>
  <c r="L98" i="16"/>
  <c r="M98" i="16"/>
  <c r="C98" i="16"/>
  <c r="I98" i="16" s="1"/>
  <c r="J98" i="16"/>
  <c r="B63" i="13"/>
  <c r="N98" i="16" l="1"/>
  <c r="A100" i="16"/>
  <c r="B101" i="16"/>
  <c r="C99" i="16"/>
  <c r="I99" i="16" s="1"/>
  <c r="M99" i="16"/>
  <c r="L99" i="16"/>
  <c r="J99" i="16"/>
  <c r="B64" i="13"/>
  <c r="N99" i="16" l="1"/>
  <c r="B102" i="16"/>
  <c r="A101" i="16"/>
  <c r="M100" i="16"/>
  <c r="C100" i="16"/>
  <c r="I100" i="16" s="1"/>
  <c r="L100" i="16"/>
  <c r="J100" i="16"/>
  <c r="B65" i="13"/>
  <c r="N100" i="16" l="1"/>
  <c r="C101" i="16"/>
  <c r="I101" i="16" s="1"/>
  <c r="L101" i="16"/>
  <c r="M101" i="16"/>
  <c r="J101" i="16"/>
  <c r="A102" i="16"/>
  <c r="B103" i="16"/>
  <c r="B66" i="13"/>
  <c r="J102" i="16" l="1"/>
  <c r="C102" i="16"/>
  <c r="I102" i="16" s="1"/>
  <c r="M102" i="16"/>
  <c r="L102" i="16"/>
  <c r="N101" i="16"/>
  <c r="A103" i="16"/>
  <c r="B104" i="16"/>
  <c r="B67" i="13"/>
  <c r="A104" i="16" l="1"/>
  <c r="B105" i="16"/>
  <c r="J103" i="16"/>
  <c r="C103" i="16"/>
  <c r="I103" i="16" s="1"/>
  <c r="L103" i="16"/>
  <c r="M103" i="16"/>
  <c r="N102" i="16"/>
  <c r="B68" i="13"/>
  <c r="A105" i="16" l="1"/>
  <c r="B106" i="16"/>
  <c r="N103" i="16"/>
  <c r="C104" i="16"/>
  <c r="I104" i="16" s="1"/>
  <c r="J104" i="16"/>
  <c r="L104" i="16"/>
  <c r="M104" i="16"/>
  <c r="B69" i="13"/>
  <c r="N104" i="16" l="1"/>
  <c r="A106" i="16"/>
  <c r="B107" i="16"/>
  <c r="C105" i="16"/>
  <c r="I105" i="16" s="1"/>
  <c r="J105" i="16"/>
  <c r="M105" i="16"/>
  <c r="L105" i="16"/>
  <c r="B70" i="13"/>
  <c r="N105" i="16" l="1"/>
  <c r="L106" i="16"/>
  <c r="C106" i="16"/>
  <c r="I106" i="16" s="1"/>
  <c r="M106" i="16"/>
  <c r="J106" i="16"/>
  <c r="A107" i="16"/>
  <c r="B108" i="16"/>
  <c r="B71" i="13"/>
  <c r="B109" i="16" l="1"/>
  <c r="A108" i="16"/>
  <c r="L107" i="16"/>
  <c r="J107" i="16"/>
  <c r="M107" i="16"/>
  <c r="C107" i="16"/>
  <c r="I107" i="16" s="1"/>
  <c r="N106" i="16"/>
  <c r="B72" i="13"/>
  <c r="N107" i="16" l="1"/>
  <c r="L108" i="16"/>
  <c r="J108" i="16"/>
  <c r="M108" i="16"/>
  <c r="C108" i="16"/>
  <c r="I108" i="16" s="1"/>
  <c r="A109" i="16"/>
  <c r="B110" i="16"/>
  <c r="B73" i="13"/>
  <c r="B111" i="16" l="1"/>
  <c r="A110" i="16"/>
  <c r="J109" i="16"/>
  <c r="L109" i="16"/>
  <c r="M109" i="16"/>
  <c r="C109" i="16"/>
  <c r="I109" i="16" s="1"/>
  <c r="N108" i="16"/>
  <c r="B74" i="13"/>
  <c r="L110" i="16" l="1"/>
  <c r="J110" i="16"/>
  <c r="M110" i="16"/>
  <c r="C110" i="16"/>
  <c r="I110" i="16" s="1"/>
  <c r="N109" i="16"/>
  <c r="A111" i="16"/>
  <c r="B112" i="16"/>
  <c r="B75" i="13"/>
  <c r="L111" i="16" l="1"/>
  <c r="C111" i="16"/>
  <c r="I111" i="16" s="1"/>
  <c r="M111" i="16"/>
  <c r="J111" i="16"/>
  <c r="A112" i="16"/>
  <c r="B113" i="16"/>
  <c r="N110" i="16"/>
  <c r="B76" i="13"/>
  <c r="A113" i="16" l="1"/>
  <c r="B114" i="16"/>
  <c r="J112" i="16"/>
  <c r="C112" i="16"/>
  <c r="I112" i="16" s="1"/>
  <c r="L112" i="16"/>
  <c r="M112" i="16"/>
  <c r="N111" i="16"/>
  <c r="B77" i="13"/>
  <c r="B115" i="16" l="1"/>
  <c r="A114" i="16"/>
  <c r="N112" i="16"/>
  <c r="M113" i="16"/>
  <c r="C113" i="16"/>
  <c r="I113" i="16" s="1"/>
  <c r="L113" i="16"/>
  <c r="J113" i="16"/>
  <c r="B78" i="13"/>
  <c r="N113" i="16" l="1"/>
  <c r="M114" i="16"/>
  <c r="J114" i="16"/>
  <c r="C114" i="16"/>
  <c r="I114" i="16" s="1"/>
  <c r="L114" i="16"/>
  <c r="B116" i="16"/>
  <c r="A115" i="16"/>
  <c r="B79" i="13"/>
  <c r="N114" i="16" l="1"/>
  <c r="L115" i="16"/>
  <c r="M115" i="16"/>
  <c r="J115" i="16"/>
  <c r="C115" i="16"/>
  <c r="I115" i="16" s="1"/>
  <c r="B117" i="16"/>
  <c r="A116" i="16"/>
  <c r="B80" i="13"/>
  <c r="N115" i="16" l="1"/>
  <c r="L116" i="16"/>
  <c r="M116" i="16"/>
  <c r="J116" i="16"/>
  <c r="C116" i="16"/>
  <c r="I116" i="16" s="1"/>
  <c r="A117" i="16"/>
  <c r="B118" i="16"/>
  <c r="B81" i="13"/>
  <c r="L117" i="16" l="1"/>
  <c r="J117" i="16"/>
  <c r="C117" i="16"/>
  <c r="I117" i="16" s="1"/>
  <c r="M117" i="16"/>
  <c r="B119" i="16"/>
  <c r="A118" i="16"/>
  <c r="N116" i="16"/>
  <c r="B82" i="13"/>
  <c r="M118" i="16" l="1"/>
  <c r="J118" i="16"/>
  <c r="C118" i="16"/>
  <c r="I118" i="16" s="1"/>
  <c r="L118" i="16"/>
  <c r="B120" i="16"/>
  <c r="A119" i="16"/>
  <c r="N117" i="16"/>
  <c r="B83" i="13"/>
  <c r="N118" i="16" l="1"/>
  <c r="B121" i="16"/>
  <c r="A120" i="16"/>
  <c r="L119" i="16"/>
  <c r="M119" i="16"/>
  <c r="C119" i="16"/>
  <c r="I119" i="16" s="1"/>
  <c r="J119" i="16"/>
  <c r="B84" i="13"/>
  <c r="N119" i="16" l="1"/>
  <c r="L120" i="16"/>
  <c r="C120" i="16"/>
  <c r="I120" i="16" s="1"/>
  <c r="M120" i="16"/>
  <c r="J120" i="16"/>
  <c r="B122" i="16"/>
  <c r="A121" i="16"/>
  <c r="B85" i="13"/>
  <c r="C121" i="16" l="1"/>
  <c r="I121" i="16" s="1"/>
  <c r="J121" i="16"/>
  <c r="L121" i="16"/>
  <c r="M121" i="16"/>
  <c r="A122" i="16"/>
  <c r="B123" i="16"/>
  <c r="N120" i="16"/>
  <c r="B86" i="13"/>
  <c r="A123" i="16" l="1"/>
  <c r="B124" i="16"/>
  <c r="C122" i="16"/>
  <c r="I122" i="16" s="1"/>
  <c r="J122" i="16"/>
  <c r="L122" i="16"/>
  <c r="M122" i="16"/>
  <c r="N121" i="16"/>
  <c r="V9" i="13"/>
  <c r="V7" i="13"/>
  <c r="V8" i="13"/>
  <c r="V12" i="13"/>
  <c r="V10" i="13"/>
  <c r="V11" i="13"/>
  <c r="V13" i="13"/>
  <c r="N122" i="16" l="1"/>
  <c r="B125" i="16"/>
  <c r="A124" i="16"/>
  <c r="M123" i="16"/>
  <c r="C123" i="16"/>
  <c r="I123" i="16" s="1"/>
  <c r="L123" i="16"/>
  <c r="J123" i="16"/>
  <c r="N123" i="16" l="1"/>
  <c r="A125" i="16"/>
  <c r="B126" i="16"/>
  <c r="J124" i="16"/>
  <c r="L124" i="16"/>
  <c r="M124" i="16"/>
  <c r="C124" i="16"/>
  <c r="I124" i="16" s="1"/>
  <c r="N124" i="16" l="1"/>
  <c r="A126" i="16"/>
  <c r="B127" i="16"/>
  <c r="J125" i="16"/>
  <c r="C125" i="16"/>
  <c r="I125" i="16" s="1"/>
  <c r="L125" i="16"/>
  <c r="M125" i="16"/>
  <c r="N125" i="16" l="1"/>
  <c r="B128" i="16"/>
  <c r="A127" i="16"/>
  <c r="C126" i="16"/>
  <c r="I126" i="16" s="1"/>
  <c r="M126" i="16"/>
  <c r="J126" i="16"/>
  <c r="L126" i="16"/>
  <c r="N126" i="16" l="1"/>
  <c r="C127" i="16"/>
  <c r="I127" i="16" s="1"/>
  <c r="J127" i="16"/>
  <c r="L127" i="16"/>
  <c r="M127" i="16"/>
  <c r="B129" i="16"/>
  <c r="A128" i="16"/>
  <c r="J128" i="16" l="1"/>
  <c r="L128" i="16"/>
  <c r="M128" i="16"/>
  <c r="C128" i="16"/>
  <c r="I128" i="16" s="1"/>
  <c r="B130" i="16"/>
  <c r="A129" i="16"/>
  <c r="N127" i="16"/>
  <c r="J129" i="16" l="1"/>
  <c r="C129" i="16"/>
  <c r="I129" i="16" s="1"/>
  <c r="L129" i="16"/>
  <c r="M129" i="16"/>
  <c r="B131" i="16"/>
  <c r="A130" i="16"/>
  <c r="N128" i="16"/>
  <c r="A131" i="16" l="1"/>
  <c r="B132" i="16"/>
  <c r="J130" i="16"/>
  <c r="L130" i="16"/>
  <c r="M130" i="16"/>
  <c r="C130" i="16"/>
  <c r="I130" i="16" s="1"/>
  <c r="N129" i="16"/>
  <c r="A132" i="16" l="1"/>
  <c r="B133" i="16"/>
  <c r="N130" i="16"/>
  <c r="C131" i="16"/>
  <c r="I131" i="16" s="1"/>
  <c r="L131" i="16"/>
  <c r="M131" i="16"/>
  <c r="J131" i="16"/>
  <c r="N131" i="16" l="1"/>
  <c r="A133" i="16"/>
  <c r="B134" i="16"/>
  <c r="L132" i="16"/>
  <c r="M132" i="16"/>
  <c r="J132" i="16"/>
  <c r="C132" i="16"/>
  <c r="I132" i="16" s="1"/>
  <c r="N132" i="16" l="1"/>
  <c r="B135" i="16"/>
  <c r="A134" i="16"/>
  <c r="M133" i="16"/>
  <c r="J133" i="16"/>
  <c r="L133" i="16"/>
  <c r="C133" i="16"/>
  <c r="I133" i="16" s="1"/>
  <c r="N133" i="16" l="1"/>
  <c r="A135" i="16"/>
  <c r="B136" i="16"/>
  <c r="L134" i="16"/>
  <c r="M134" i="16"/>
  <c r="J134" i="16"/>
  <c r="C134" i="16"/>
  <c r="I134" i="16" s="1"/>
  <c r="N134" i="16" l="1"/>
  <c r="A136" i="16"/>
  <c r="B137" i="16"/>
  <c r="M135" i="16"/>
  <c r="C135" i="16"/>
  <c r="I135" i="16" s="1"/>
  <c r="L135" i="16"/>
  <c r="J135" i="16"/>
  <c r="N135" i="16" l="1"/>
  <c r="B138" i="16"/>
  <c r="A137" i="16"/>
  <c r="L136" i="16"/>
  <c r="J136" i="16"/>
  <c r="M136" i="16"/>
  <c r="C136" i="16"/>
  <c r="I136" i="16" s="1"/>
  <c r="N136" i="16" l="1"/>
  <c r="J137" i="16"/>
  <c r="L137" i="16"/>
  <c r="M137" i="16"/>
  <c r="C137" i="16"/>
  <c r="I137" i="16" s="1"/>
  <c r="A138" i="16"/>
  <c r="B139" i="16"/>
  <c r="A139" i="16" l="1"/>
  <c r="B140" i="16"/>
  <c r="J138" i="16"/>
  <c r="L138" i="16"/>
  <c r="C138" i="16"/>
  <c r="I138" i="16" s="1"/>
  <c r="M138" i="16"/>
  <c r="N137" i="16"/>
  <c r="A140" i="16" l="1"/>
  <c r="B141" i="16"/>
  <c r="N138" i="16"/>
  <c r="M139" i="16"/>
  <c r="L139" i="16"/>
  <c r="J139" i="16"/>
  <c r="C139" i="16"/>
  <c r="I139" i="16" s="1"/>
  <c r="N139" i="16" l="1"/>
  <c r="B142" i="16"/>
  <c r="A141" i="16"/>
  <c r="L140" i="16"/>
  <c r="M140" i="16"/>
  <c r="C140" i="16"/>
  <c r="I140" i="16" s="1"/>
  <c r="J140" i="16"/>
  <c r="N140" i="16" l="1"/>
  <c r="M141" i="16"/>
  <c r="L141" i="16"/>
  <c r="C141" i="16"/>
  <c r="I141" i="16" s="1"/>
  <c r="J141" i="16"/>
  <c r="A142" i="16"/>
  <c r="B143" i="16"/>
  <c r="N141" i="16" l="1"/>
  <c r="M142" i="16"/>
  <c r="L142" i="16"/>
  <c r="C142" i="16"/>
  <c r="I142" i="16" s="1"/>
  <c r="J142" i="16"/>
  <c r="A143" i="16"/>
  <c r="B144" i="16"/>
  <c r="N142" i="16" l="1"/>
  <c r="A144" i="16"/>
  <c r="B145" i="16"/>
  <c r="C143" i="16"/>
  <c r="I143" i="16" s="1"/>
  <c r="M143" i="16"/>
  <c r="J143" i="16"/>
  <c r="L143" i="16"/>
  <c r="N143" i="16" l="1"/>
  <c r="A145" i="16"/>
  <c r="B146" i="16"/>
  <c r="A146" i="16" s="1"/>
  <c r="C144" i="16"/>
  <c r="I144" i="16" s="1"/>
  <c r="L144" i="16"/>
  <c r="J144" i="16"/>
  <c r="M144" i="16"/>
  <c r="J146" i="16" l="1"/>
  <c r="C146" i="16"/>
  <c r="L146" i="16"/>
  <c r="M146" i="16"/>
  <c r="N144" i="16"/>
  <c r="C145" i="16"/>
  <c r="I145" i="16" s="1"/>
  <c r="L145" i="16"/>
  <c r="M145" i="16"/>
  <c r="J145" i="16"/>
  <c r="N146" i="16" l="1"/>
  <c r="N145" i="16"/>
  <c r="N149" i="16" s="1"/>
  <c r="I146" i="16"/>
  <c r="I149" i="16" s="1"/>
  <c r="H32" i="14"/>
  <c r="H33" i="14" s="1"/>
  <c r="H35" i="14" s="1"/>
  <c r="O32" i="14"/>
  <c r="O33" i="14" s="1"/>
  <c r="O35" i="14" s="1"/>
  <c r="I32" i="14"/>
  <c r="I33" i="14" s="1"/>
  <c r="I35" i="14" s="1"/>
  <c r="G33" i="14"/>
  <c r="G35" i="14" s="1"/>
  <c r="M32" i="14"/>
  <c r="M33" i="14" s="1"/>
  <c r="M35" i="14" s="1"/>
  <c r="J33" i="14"/>
  <c r="J35" i="14" s="1"/>
  <c r="K32" i="14"/>
  <c r="K33" i="14" s="1"/>
  <c r="K35" i="14" s="1"/>
  <c r="N32" i="14"/>
  <c r="N33" i="14" s="1"/>
  <c r="N35" i="14" s="1"/>
  <c r="L32" i="14"/>
  <c r="L33" i="14" s="1"/>
  <c r="L35" i="14" s="1"/>
  <c r="P32" i="14"/>
  <c r="P33" i="14" s="1"/>
  <c r="P35" i="14" s="1"/>
  <c r="Q32" i="14"/>
  <c r="Q33" i="14" s="1"/>
  <c r="Q35" i="14" s="1"/>
  <c r="R32" i="14"/>
  <c r="R33" i="14" s="1"/>
  <c r="R35" i="14" s="1"/>
  <c r="J149" i="16"/>
  <c r="K37" i="14" l="1"/>
  <c r="K39" i="14" s="1"/>
  <c r="N37" i="14"/>
  <c r="N39" i="14" s="1"/>
  <c r="Q37" i="14"/>
  <c r="Q39" i="14" s="1"/>
  <c r="P149" i="16"/>
  <c r="H37" i="14"/>
  <c r="H39" i="14" s="1"/>
  <c r="K149" i="16"/>
</calcChain>
</file>

<file path=xl/sharedStrings.xml><?xml version="1.0" encoding="utf-8"?>
<sst xmlns="http://schemas.openxmlformats.org/spreadsheetml/2006/main" count="453" uniqueCount="139">
  <si>
    <t>$/Mcf</t>
  </si>
  <si>
    <t>Dth</t>
  </si>
  <si>
    <t>Mcf</t>
  </si>
  <si>
    <t>$</t>
  </si>
  <si>
    <t>= Difference</t>
  </si>
  <si>
    <t>2023-00186</t>
  </si>
  <si>
    <t>2023-00282</t>
  </si>
  <si>
    <t xml:space="preserve">Case Which is in Effect during period: </t>
  </si>
  <si>
    <t>2022-00411</t>
  </si>
  <si>
    <t>2023-00065</t>
  </si>
  <si>
    <t>Purchase Cost</t>
  </si>
  <si>
    <t>(a)</t>
  </si>
  <si>
    <t>Input</t>
  </si>
  <si>
    <t>Usage Purchased</t>
  </si>
  <si>
    <t>(b)</t>
  </si>
  <si>
    <t>dth</t>
  </si>
  <si>
    <t>Usage Thru City Gate</t>
  </si>
  <si>
    <t>(c)</t>
  </si>
  <si>
    <t>Storage Injection/(Withdrawls)</t>
  </si>
  <si>
    <t>(d)</t>
  </si>
  <si>
    <t>(b-c)</t>
  </si>
  <si>
    <t>Unit Cost of Purchased Gas</t>
  </si>
  <si>
    <t>(e)</t>
  </si>
  <si>
    <t>(a/b)</t>
  </si>
  <si>
    <t>$/dth</t>
  </si>
  <si>
    <t>Prior month balance - Costs</t>
  </si>
  <si>
    <t>(f)</t>
  </si>
  <si>
    <t>(from prior month)</t>
  </si>
  <si>
    <t>Plus: Injections</t>
  </si>
  <si>
    <t>(g)</t>
  </si>
  <si>
    <t>if (d&gt;0), then (d x e)</t>
  </si>
  <si>
    <t>Less: Withdrawal</t>
  </si>
  <si>
    <t>(h)</t>
  </si>
  <si>
    <t>if (d&lt;0), then (d x (f / j) )</t>
  </si>
  <si>
    <t>End month balance - Costs</t>
  </si>
  <si>
    <t>(i)</t>
  </si>
  <si>
    <t>(f + g + h)</t>
  </si>
  <si>
    <t>Prior month balance - Gas</t>
  </si>
  <si>
    <t>(j)</t>
  </si>
  <si>
    <t>(k)</t>
  </si>
  <si>
    <t>if (d&gt;0), then (d)</t>
  </si>
  <si>
    <t>(l)</t>
  </si>
  <si>
    <t>if (d&lt;0), then (d)</t>
  </si>
  <si>
    <t>End month balance - Gas</t>
  </si>
  <si>
    <t>(m)</t>
  </si>
  <si>
    <t>Purchase Cost inlcuding storage</t>
  </si>
  <si>
    <t>(n)</t>
  </si>
  <si>
    <t>Purchase Cost excluding storage</t>
  </si>
  <si>
    <t>(o)</t>
  </si>
  <si>
    <t>Usage Purchased (for sale)</t>
  </si>
  <si>
    <t>(p)</t>
  </si>
  <si>
    <t>(q)</t>
  </si>
  <si>
    <t>Actual Sales</t>
  </si>
  <si>
    <t xml:space="preserve">(r) </t>
  </si>
  <si>
    <t>5% Line Loss Limiter</t>
  </si>
  <si>
    <t>(s)</t>
  </si>
  <si>
    <t>formula</t>
  </si>
  <si>
    <t>Allowable Total Sales (5% limit)</t>
  </si>
  <si>
    <t>(t)</t>
  </si>
  <si>
    <t>If (s) = LIMIT, then (s x 0.95)</t>
  </si>
  <si>
    <t>Unit Cost of Gas (Invoiced)</t>
  </si>
  <si>
    <t>(u)</t>
  </si>
  <si>
    <t>(a / c)</t>
  </si>
  <si>
    <t>Unit Cost of Gas (exclude storage)</t>
  </si>
  <si>
    <t>(v)</t>
  </si>
  <si>
    <t>(o / t)</t>
  </si>
  <si>
    <t>EGC in Effect for month</t>
  </si>
  <si>
    <t>(w)</t>
  </si>
  <si>
    <t>(x)</t>
  </si>
  <si>
    <t>(v - w)</t>
  </si>
  <si>
    <t>(y)</t>
  </si>
  <si>
    <t>Monthly cost difference</t>
  </si>
  <si>
    <t>(z)</t>
  </si>
  <si>
    <t>(x * y)</t>
  </si>
  <si>
    <t>Total cost difference (Month 1 + Month 2 + Month 3)</t>
  </si>
  <si>
    <t>Sales for 12 months ended</t>
  </si>
  <si>
    <t>Current Quarter AA</t>
  </si>
  <si>
    <t>2022 End</t>
  </si>
  <si>
    <t>End Balance</t>
  </si>
  <si>
    <t>Storage bank</t>
  </si>
  <si>
    <t>Dec 22</t>
  </si>
  <si>
    <t>mcf</t>
  </si>
  <si>
    <t>$/mcf</t>
  </si>
  <si>
    <t>dth to Mcf</t>
  </si>
  <si>
    <t>x</t>
  </si>
  <si>
    <t>Total Usage</t>
  </si>
  <si>
    <t>Total Gas Cost</t>
  </si>
  <si>
    <t>Inventory Volume</t>
  </si>
  <si>
    <t>Transportation Cost</t>
  </si>
  <si>
    <t>Monthly Gas Cost</t>
  </si>
  <si>
    <t>Usage Pur</t>
  </si>
  <si>
    <t>Purchases</t>
  </si>
  <si>
    <t>Industrial Revenue</t>
  </si>
  <si>
    <t>Industrial Usage</t>
  </si>
  <si>
    <t>Total Resid &amp; Comm Revenue</t>
  </si>
  <si>
    <t>Total Resid &amp; Comm Usage</t>
  </si>
  <si>
    <t>Commerical Revenue</t>
  </si>
  <si>
    <t>Commerical Usage</t>
  </si>
  <si>
    <t>Residential Revenue</t>
  </si>
  <si>
    <t>Residential Usage</t>
  </si>
  <si>
    <t>Date</t>
  </si>
  <si>
    <t>Sales</t>
  </si>
  <si>
    <t>VLOOKUP Value</t>
  </si>
  <si>
    <t>12 month period ended</t>
  </si>
  <si>
    <t>Reporting period Totals</t>
  </si>
  <si>
    <t>12 month period beginning</t>
  </si>
  <si>
    <t>GCR in Effect</t>
  </si>
  <si>
    <t>Case number approving rate</t>
  </si>
  <si>
    <t>2018-00409</t>
  </si>
  <si>
    <t>2019-00094</t>
  </si>
  <si>
    <t>2019-00203</t>
  </si>
  <si>
    <t>2019-00344</t>
  </si>
  <si>
    <t>2019-00431</t>
  </si>
  <si>
    <t>2020-00065</t>
  </si>
  <si>
    <t>2020-00164</t>
  </si>
  <si>
    <t>2020-00286</t>
  </si>
  <si>
    <t>2020-00389</t>
  </si>
  <si>
    <t>2021-00093</t>
  </si>
  <si>
    <t>2021-00200</t>
  </si>
  <si>
    <t>2021-00344</t>
  </si>
  <si>
    <t>2021-00435</t>
  </si>
  <si>
    <t>2022-00055</t>
  </si>
  <si>
    <t>2022-00149</t>
  </si>
  <si>
    <t>2022-00303</t>
  </si>
  <si>
    <t>2023-00385</t>
  </si>
  <si>
    <t>2024-00175</t>
  </si>
  <si>
    <t>Gas Cost Revenue</t>
  </si>
  <si>
    <t>Inventory Volume passed thru</t>
  </si>
  <si>
    <t>Revenue from Data Sheet</t>
  </si>
  <si>
    <t>Reporting Period ended used for calculation</t>
  </si>
  <si>
    <t>(n + g + h)</t>
  </si>
  <si>
    <t>dth to Mcf = 1 (dth) / 1.03</t>
  </si>
  <si>
    <t>Mcf to dth = 1 (Mcf) x 1.03</t>
  </si>
  <si>
    <t>(n / 1.03)</t>
  </si>
  <si>
    <t>1 dth = 0.98 mcf</t>
  </si>
  <si>
    <t>1 Mcf = 1.03 dth</t>
  </si>
  <si>
    <t>Since 2024</t>
  </si>
  <si>
    <t>All 2024</t>
  </si>
  <si>
    <t>Part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</si>
</sst>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[$-409]mmm\-yy;@"/>
    <numFmt numFmtId="167" formatCode="_(&quot;$&quot;* #,##0.0000_);_(&quot;$&quot;* \(#,##0.0000\);_(&quot;$&quot;* &quot;-&quot;??_);_(@_)"/>
    <numFmt numFmtId="168" formatCode="_(&quot;$&quot;* #,##0.000_);_(&quot;$&quot;* \(#,##0.000\);_(&quot;$&quot;* &quot;-&quot;??_);_(@_)"/>
    <numFmt numFmtId="169" formatCode="_(* #,##0.0000_);_(* \(#,##0.0000\);_(* &quot;-&quot;?_);_(@_)"/>
    <numFmt numFmtId="170" formatCode="0.0000_);\(0.0000\)"/>
    <numFmt numFmtId="171" formatCode="mmm\ yy;@"/>
    <numFmt numFmtId="172" formatCode="#,##0.0000_);\(#,##0.0000\)"/>
    <numFmt numFmtId="173" formatCode="_(* #,##0.0_);_(* \(#,##0.0\);_(* &quot;-&quot;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2" fillId="0" borderId="0"/>
    <xf numFmtId="0" fontId="4" fillId="0" borderId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41">
    <xf numFmtId="0" fontId="0" fillId="0" borderId="0" xfId="0"/>
    <xf numFmtId="0" fontId="6" fillId="2" borderId="0" xfId="6" applyFont="1" applyFill="1" applyAlignment="1">
      <alignment horizontal="left"/>
    </xf>
    <xf numFmtId="0" fontId="6" fillId="2" borderId="0" xfId="6" applyFont="1" applyFill="1" applyAlignment="1">
      <alignment horizontal="center" vertical="center"/>
    </xf>
    <xf numFmtId="0" fontId="6" fillId="2" borderId="0" xfId="6" applyFont="1" applyFill="1" applyAlignment="1">
      <alignment horizontal="left" vertical="center"/>
    </xf>
    <xf numFmtId="0" fontId="6" fillId="2" borderId="2" xfId="6" applyFont="1" applyFill="1" applyBorder="1" applyAlignment="1">
      <alignment horizontal="center" vertical="center"/>
    </xf>
    <xf numFmtId="44" fontId="6" fillId="0" borderId="0" xfId="8" applyFont="1" applyFill="1" applyBorder="1" applyAlignment="1">
      <alignment horizontal="left" vertical="center"/>
    </xf>
    <xf numFmtId="44" fontId="6" fillId="0" borderId="0" xfId="8" applyFont="1" applyFill="1" applyBorder="1" applyAlignment="1">
      <alignment horizontal="center" vertical="center" wrapText="1"/>
    </xf>
    <xf numFmtId="167" fontId="6" fillId="0" borderId="0" xfId="8" applyNumberFormat="1" applyFont="1" applyFill="1" applyBorder="1" applyAlignment="1">
      <alignment horizontal="center" vertical="center" wrapText="1"/>
    </xf>
    <xf numFmtId="0" fontId="6" fillId="0" borderId="0" xfId="6" applyFont="1" applyAlignment="1">
      <alignment horizontal="left" indent="1"/>
    </xf>
    <xf numFmtId="167" fontId="6" fillId="0" borderId="0" xfId="8" applyNumberFormat="1" applyFont="1" applyBorder="1" applyAlignment="1">
      <alignment horizontal="left"/>
    </xf>
    <xf numFmtId="168" fontId="6" fillId="0" borderId="0" xfId="8" applyNumberFormat="1" applyFont="1" applyBorder="1" applyAlignment="1">
      <alignment horizontal="left" vertical="center" indent="4"/>
    </xf>
    <xf numFmtId="0" fontId="6" fillId="0" borderId="0" xfId="6" applyFont="1" applyAlignment="1">
      <alignment horizontal="left"/>
    </xf>
    <xf numFmtId="0" fontId="6" fillId="0" borderId="0" xfId="6" applyFont="1"/>
    <xf numFmtId="0" fontId="6" fillId="0" borderId="1" xfId="6" applyFont="1" applyBorder="1" applyAlignment="1">
      <alignment horizontal="center" vertical="center" wrapText="1"/>
    </xf>
    <xf numFmtId="0" fontId="6" fillId="0" borderId="1" xfId="6" applyFont="1" applyBorder="1"/>
    <xf numFmtId="0" fontId="6" fillId="0" borderId="0" xfId="6" applyFont="1" applyAlignment="1">
      <alignment horizontal="right"/>
    </xf>
    <xf numFmtId="167" fontId="6" fillId="4" borderId="6" xfId="8" applyNumberFormat="1" applyFont="1" applyFill="1" applyBorder="1" applyAlignment="1">
      <alignment horizontal="center" vertical="center"/>
    </xf>
    <xf numFmtId="167" fontId="6" fillId="4" borderId="8" xfId="8" applyNumberFormat="1" applyFont="1" applyFill="1" applyBorder="1" applyAlignment="1">
      <alignment horizontal="center" vertical="center"/>
    </xf>
    <xf numFmtId="167" fontId="6" fillId="4" borderId="13" xfId="8" applyNumberFormat="1" applyFont="1" applyFill="1" applyBorder="1" applyAlignment="1">
      <alignment horizontal="center" vertical="center"/>
    </xf>
    <xf numFmtId="171" fontId="6" fillId="4" borderId="14" xfId="8" quotePrefix="1" applyNumberFormat="1" applyFont="1" applyFill="1" applyBorder="1" applyAlignment="1">
      <alignment horizontal="center" vertical="center"/>
    </xf>
    <xf numFmtId="172" fontId="6" fillId="4" borderId="13" xfId="8" applyNumberFormat="1" applyFont="1" applyFill="1" applyBorder="1" applyAlignment="1">
      <alignment horizontal="right"/>
    </xf>
    <xf numFmtId="39" fontId="2" fillId="4" borderId="4" xfId="8" applyNumberFormat="1" applyFont="1" applyFill="1" applyBorder="1" applyAlignment="1">
      <alignment horizontal="right" vertical="center"/>
    </xf>
    <xf numFmtId="167" fontId="6" fillId="4" borderId="13" xfId="8" applyNumberFormat="1" applyFont="1" applyFill="1" applyBorder="1" applyAlignment="1">
      <alignment horizontal="right" vertical="center"/>
    </xf>
    <xf numFmtId="0" fontId="4" fillId="0" borderId="0" xfId="7"/>
    <xf numFmtId="165" fontId="0" fillId="0" borderId="0" xfId="1" applyNumberFormat="1" applyFont="1" applyBorder="1" applyAlignment="1">
      <alignment horizontal="center" vertical="center"/>
    </xf>
    <xf numFmtId="44" fontId="0" fillId="0" borderId="0" xfId="1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5" fontId="0" fillId="0" borderId="5" xfId="1" applyNumberFormat="1" applyFont="1" applyBorder="1"/>
    <xf numFmtId="44" fontId="0" fillId="0" borderId="0" xfId="11" applyFont="1" applyBorder="1"/>
    <xf numFmtId="165" fontId="0" fillId="0" borderId="0" xfId="1" applyNumberFormat="1" applyFont="1" applyBorder="1"/>
    <xf numFmtId="165" fontId="0" fillId="0" borderId="0" xfId="1" applyNumberFormat="1" applyFont="1" applyFill="1" applyBorder="1" applyAlignment="1">
      <alignment horizontal="center" vertical="center"/>
    </xf>
    <xf numFmtId="44" fontId="0" fillId="0" borderId="5" xfId="11" applyFont="1" applyFill="1" applyBorder="1" applyAlignment="1">
      <alignment horizontal="center" vertical="center"/>
    </xf>
    <xf numFmtId="44" fontId="0" fillId="0" borderId="0" xfId="11" applyFont="1" applyFill="1" applyBorder="1" applyAlignment="1">
      <alignment horizontal="center" vertical="center"/>
    </xf>
    <xf numFmtId="165" fontId="0" fillId="0" borderId="5" xfId="1" applyNumberFormat="1" applyFont="1" applyFill="1" applyBorder="1" applyAlignment="1">
      <alignment horizontal="center" vertical="center"/>
    </xf>
    <xf numFmtId="0" fontId="4" fillId="0" borderId="0" xfId="7" applyAlignment="1">
      <alignment wrapText="1"/>
    </xf>
    <xf numFmtId="165" fontId="7" fillId="0" borderId="3" xfId="1" applyNumberFormat="1" applyFont="1" applyBorder="1" applyAlignment="1">
      <alignment horizontal="center" vertical="center" wrapText="1"/>
    </xf>
    <xf numFmtId="44" fontId="7" fillId="0" borderId="3" xfId="11" applyFont="1" applyBorder="1" applyAlignment="1">
      <alignment horizontal="center" vertical="center" wrapText="1"/>
    </xf>
    <xf numFmtId="0" fontId="4" fillId="0" borderId="0" xfId="7" applyAlignment="1">
      <alignment horizontal="center"/>
    </xf>
    <xf numFmtId="0" fontId="4" fillId="0" borderId="0" xfId="7" applyAlignment="1">
      <alignment horizontal="center" vertical="center"/>
    </xf>
    <xf numFmtId="165" fontId="7" fillId="0" borderId="3" xfId="1" applyNumberFormat="1" applyFont="1" applyFill="1" applyBorder="1" applyAlignment="1">
      <alignment horizontal="center" vertical="center" wrapText="1"/>
    </xf>
    <xf numFmtId="44" fontId="7" fillId="0" borderId="3" xfId="11" applyFont="1" applyFill="1" applyBorder="1" applyAlignment="1">
      <alignment horizontal="center" vertical="center" wrapText="1"/>
    </xf>
    <xf numFmtId="165" fontId="7" fillId="0" borderId="12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44" fontId="7" fillId="0" borderId="12" xfId="11" applyFont="1" applyFill="1" applyBorder="1" applyAlignment="1">
      <alignment horizontal="center" vertical="center" wrapText="1"/>
    </xf>
    <xf numFmtId="166" fontId="4" fillId="0" borderId="4" xfId="7" applyNumberFormat="1" applyBorder="1" applyAlignment="1">
      <alignment horizontal="center"/>
    </xf>
    <xf numFmtId="0" fontId="4" fillId="6" borderId="0" xfId="7" applyFill="1"/>
    <xf numFmtId="0" fontId="7" fillId="6" borderId="0" xfId="7" applyFont="1" applyFill="1" applyAlignment="1">
      <alignment wrapText="1"/>
    </xf>
    <xf numFmtId="44" fontId="6" fillId="0" borderId="11" xfId="6" applyNumberFormat="1" applyFont="1" applyBorder="1" applyAlignment="1">
      <alignment horizontal="center" vertical="center"/>
    </xf>
    <xf numFmtId="44" fontId="6" fillId="0" borderId="3" xfId="6" applyNumberFormat="1" applyFont="1" applyBorder="1" applyAlignment="1">
      <alignment horizontal="center" vertical="center"/>
    </xf>
    <xf numFmtId="44" fontId="6" fillId="0" borderId="12" xfId="6" applyNumberFormat="1" applyFont="1" applyBorder="1" applyAlignment="1">
      <alignment horizontal="center" vertical="center"/>
    </xf>
    <xf numFmtId="165" fontId="2" fillId="0" borderId="4" xfId="6" applyNumberFormat="1" applyBorder="1" applyAlignment="1">
      <alignment horizontal="center" vertical="center"/>
    </xf>
    <xf numFmtId="165" fontId="2" fillId="0" borderId="0" xfId="6" applyNumberFormat="1" applyAlignment="1">
      <alignment horizontal="center" vertical="center"/>
    </xf>
    <xf numFmtId="44" fontId="2" fillId="0" borderId="4" xfId="8" applyFont="1" applyFill="1" applyBorder="1" applyAlignment="1"/>
    <xf numFmtId="44" fontId="2" fillId="0" borderId="0" xfId="8" applyFont="1" applyFill="1" applyBorder="1" applyAlignment="1"/>
    <xf numFmtId="44" fontId="2" fillId="0" borderId="5" xfId="8" applyFont="1" applyFill="1" applyBorder="1" applyAlignment="1"/>
    <xf numFmtId="0" fontId="2" fillId="0" borderId="4" xfId="6" applyBorder="1"/>
    <xf numFmtId="0" fontId="2" fillId="0" borderId="5" xfId="6" applyBorder="1"/>
    <xf numFmtId="43" fontId="2" fillId="0" borderId="4" xfId="6" applyNumberFormat="1" applyBorder="1"/>
    <xf numFmtId="43" fontId="2" fillId="0" borderId="5" xfId="6" applyNumberFormat="1" applyBorder="1"/>
    <xf numFmtId="165" fontId="2" fillId="0" borderId="5" xfId="6" applyNumberFormat="1" applyBorder="1" applyAlignment="1">
      <alignment horizontal="center" vertical="center"/>
    </xf>
    <xf numFmtId="0" fontId="2" fillId="0" borderId="4" xfId="6" applyBorder="1" applyAlignment="1">
      <alignment horizontal="left"/>
    </xf>
    <xf numFmtId="0" fontId="2" fillId="0" borderId="5" xfId="6" applyBorder="1" applyAlignment="1">
      <alignment horizontal="left"/>
    </xf>
    <xf numFmtId="169" fontId="2" fillId="0" borderId="13" xfId="6" applyNumberFormat="1" applyBorder="1"/>
    <xf numFmtId="169" fontId="2" fillId="0" borderId="1" xfId="6" applyNumberFormat="1" applyBorder="1"/>
    <xf numFmtId="169" fontId="2" fillId="0" borderId="14" xfId="6" applyNumberFormat="1" applyBorder="1"/>
    <xf numFmtId="165" fontId="2" fillId="0" borderId="13" xfId="6" applyNumberFormat="1" applyBorder="1" applyAlignment="1">
      <alignment horizontal="center" vertical="center"/>
    </xf>
    <xf numFmtId="165" fontId="2" fillId="0" borderId="1" xfId="6" applyNumberFormat="1" applyBorder="1" applyAlignment="1">
      <alignment horizontal="center" vertical="center"/>
    </xf>
    <xf numFmtId="165" fontId="2" fillId="0" borderId="14" xfId="6" applyNumberFormat="1" applyBorder="1" applyAlignment="1">
      <alignment horizontal="center" vertical="center"/>
    </xf>
    <xf numFmtId="0" fontId="2" fillId="0" borderId="0" xfId="6"/>
    <xf numFmtId="165" fontId="9" fillId="0" borderId="4" xfId="9" applyNumberFormat="1" applyFont="1" applyFill="1" applyBorder="1" applyAlignment="1">
      <alignment horizontal="center" vertical="center" wrapText="1"/>
    </xf>
    <xf numFmtId="165" fontId="9" fillId="0" borderId="13" xfId="9" applyNumberFormat="1" applyFont="1" applyFill="1" applyBorder="1" applyAlignment="1">
      <alignment horizontal="center" vertical="center" wrapText="1"/>
    </xf>
    <xf numFmtId="0" fontId="2" fillId="0" borderId="14" xfId="6" applyBorder="1"/>
    <xf numFmtId="165" fontId="9" fillId="0" borderId="6" xfId="9" applyNumberFormat="1" applyFont="1" applyFill="1" applyBorder="1" applyAlignment="1">
      <alignment horizontal="center" vertical="center" wrapText="1"/>
    </xf>
    <xf numFmtId="170" fontId="2" fillId="0" borderId="7" xfId="6" applyNumberFormat="1" applyBorder="1" applyAlignment="1">
      <alignment horizontal="center"/>
    </xf>
    <xf numFmtId="0" fontId="2" fillId="0" borderId="8" xfId="6" applyBorder="1"/>
    <xf numFmtId="167" fontId="6" fillId="4" borderId="7" xfId="8" applyNumberFormat="1" applyFont="1" applyFill="1" applyBorder="1" applyAlignment="1">
      <alignment horizontal="center" vertical="center"/>
    </xf>
    <xf numFmtId="44" fontId="11" fillId="0" borderId="0" xfId="8" applyFont="1" applyFill="1" applyBorder="1" applyAlignment="1">
      <alignment horizontal="center" vertical="center"/>
    </xf>
    <xf numFmtId="44" fontId="11" fillId="0" borderId="18" xfId="8" applyFont="1" applyFill="1" applyBorder="1" applyAlignment="1">
      <alignment horizontal="center" vertical="center"/>
    </xf>
    <xf numFmtId="44" fontId="11" fillId="0" borderId="5" xfId="8" applyFont="1" applyFill="1" applyBorder="1" applyAlignment="1">
      <alignment horizontal="center" vertical="center"/>
    </xf>
    <xf numFmtId="165" fontId="11" fillId="0" borderId="0" xfId="10" applyNumberFormat="1" applyFont="1" applyFill="1" applyBorder="1" applyAlignment="1">
      <alignment horizontal="center" vertical="center"/>
    </xf>
    <xf numFmtId="165" fontId="11" fillId="0" borderId="5" xfId="10" applyNumberFormat="1" applyFont="1" applyFill="1" applyBorder="1" applyAlignment="1">
      <alignment horizontal="center" vertical="center"/>
    </xf>
    <xf numFmtId="167" fontId="11" fillId="0" borderId="0" xfId="8" applyNumberFormat="1" applyFont="1" applyFill="1" applyBorder="1" applyAlignment="1"/>
    <xf numFmtId="167" fontId="11" fillId="0" borderId="5" xfId="8" applyNumberFormat="1" applyFont="1" applyFill="1" applyBorder="1" applyAlignment="1"/>
    <xf numFmtId="44" fontId="11" fillId="0" borderId="0" xfId="8" applyFont="1" applyFill="1" applyBorder="1" applyAlignment="1"/>
    <xf numFmtId="44" fontId="11" fillId="0" borderId="5" xfId="8" applyFont="1" applyFill="1" applyBorder="1" applyAlignment="1"/>
    <xf numFmtId="0" fontId="2" fillId="2" borderId="4" xfId="6" applyFill="1" applyBorder="1"/>
    <xf numFmtId="0" fontId="2" fillId="0" borderId="5" xfId="6" applyBorder="1" applyAlignment="1">
      <alignment wrapText="1"/>
    </xf>
    <xf numFmtId="43" fontId="11" fillId="0" borderId="0" xfId="10" applyFont="1" applyFill="1" applyBorder="1" applyAlignment="1"/>
    <xf numFmtId="43" fontId="11" fillId="0" borderId="5" xfId="10" applyFont="1" applyFill="1" applyBorder="1" applyAlignment="1"/>
    <xf numFmtId="0" fontId="2" fillId="0" borderId="0" xfId="6" applyAlignment="1">
      <alignment horizontal="left"/>
    </xf>
    <xf numFmtId="44" fontId="11" fillId="0" borderId="0" xfId="8" applyFont="1" applyFill="1" applyBorder="1"/>
    <xf numFmtId="44" fontId="11" fillId="0" borderId="5" xfId="8" applyFont="1" applyFill="1" applyBorder="1"/>
    <xf numFmtId="43" fontId="2" fillId="0" borderId="0" xfId="6" applyNumberFormat="1"/>
    <xf numFmtId="43" fontId="11" fillId="0" borderId="0" xfId="10" applyFont="1" applyFill="1" applyBorder="1"/>
    <xf numFmtId="43" fontId="11" fillId="0" borderId="5" xfId="10" applyFont="1" applyFill="1" applyBorder="1"/>
    <xf numFmtId="43" fontId="2" fillId="0" borderId="0" xfId="6" applyNumberFormat="1" applyAlignment="1">
      <alignment horizontal="left"/>
    </xf>
    <xf numFmtId="165" fontId="9" fillId="0" borderId="0" xfId="9" applyNumberFormat="1" applyFont="1" applyFill="1" applyBorder="1" applyAlignment="1">
      <alignment horizontal="center" vertical="center" wrapText="1"/>
    </xf>
    <xf numFmtId="165" fontId="9" fillId="0" borderId="1" xfId="9" applyNumberFormat="1" applyFont="1" applyFill="1" applyBorder="1" applyAlignment="1">
      <alignment horizontal="center" vertical="center" wrapText="1"/>
    </xf>
    <xf numFmtId="43" fontId="11" fillId="0" borderId="1" xfId="10" applyFont="1" applyBorder="1" applyAlignment="1">
      <alignment horizontal="center"/>
    </xf>
    <xf numFmtId="0" fontId="2" fillId="2" borderId="0" xfId="6" applyFill="1"/>
    <xf numFmtId="0" fontId="2" fillId="0" borderId="15" xfId="6" applyBorder="1" applyAlignment="1">
      <alignment horizontal="center"/>
    </xf>
    <xf numFmtId="0" fontId="2" fillId="0" borderId="16" xfId="6" applyBorder="1" applyAlignment="1">
      <alignment horizontal="center"/>
    </xf>
    <xf numFmtId="0" fontId="6" fillId="2" borderId="0" xfId="6" applyFont="1" applyFill="1" applyAlignment="1">
      <alignment horizontal="center"/>
    </xf>
    <xf numFmtId="0" fontId="2" fillId="2" borderId="5" xfId="6" applyFill="1" applyBorder="1"/>
    <xf numFmtId="166" fontId="10" fillId="3" borderId="7" xfId="7" applyNumberFormat="1" applyFont="1" applyFill="1" applyBorder="1" applyAlignment="1">
      <alignment horizontal="center"/>
    </xf>
    <xf numFmtId="166" fontId="10" fillId="3" borderId="8" xfId="7" applyNumberFormat="1" applyFont="1" applyFill="1" applyBorder="1" applyAlignment="1">
      <alignment horizontal="center"/>
    </xf>
    <xf numFmtId="44" fontId="6" fillId="0" borderId="0" xfId="8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5" fontId="9" fillId="0" borderId="0" xfId="9" quotePrefix="1" applyNumberFormat="1" applyFont="1" applyFill="1" applyBorder="1" applyAlignment="1">
      <alignment horizontal="center" vertical="center"/>
    </xf>
    <xf numFmtId="0" fontId="6" fillId="0" borderId="0" xfId="6" applyFont="1" applyAlignment="1">
      <alignment horizontal="center"/>
    </xf>
    <xf numFmtId="167" fontId="6" fillId="0" borderId="0" xfId="8" quotePrefix="1" applyNumberFormat="1" applyFont="1" applyBorder="1" applyAlignment="1">
      <alignment horizontal="center"/>
    </xf>
    <xf numFmtId="167" fontId="6" fillId="0" borderId="0" xfId="8" applyNumberFormat="1" applyFont="1" applyBorder="1" applyAlignment="1">
      <alignment horizontal="center"/>
    </xf>
    <xf numFmtId="164" fontId="9" fillId="0" borderId="0" xfId="9" applyNumberFormat="1" applyFont="1" applyFill="1" applyBorder="1" applyAlignment="1">
      <alignment horizontal="left" vertical="center" indent="2"/>
    </xf>
    <xf numFmtId="164" fontId="9" fillId="0" borderId="0" xfId="9" quotePrefix="1" applyNumberFormat="1" applyFont="1" applyFill="1" applyBorder="1" applyAlignment="1">
      <alignment horizontal="center" vertical="center"/>
    </xf>
    <xf numFmtId="168" fontId="6" fillId="0" borderId="0" xfId="8" applyNumberFormat="1" applyFont="1" applyBorder="1" applyAlignment="1">
      <alignment horizontal="center" vertical="center"/>
    </xf>
    <xf numFmtId="168" fontId="6" fillId="0" borderId="0" xfId="8" quotePrefix="1" applyNumberFormat="1" applyFont="1" applyBorder="1" applyAlignment="1">
      <alignment horizontal="center" vertical="center"/>
    </xf>
    <xf numFmtId="0" fontId="6" fillId="0" borderId="0" xfId="6" quotePrefix="1" applyFont="1" applyAlignment="1">
      <alignment horizontal="center"/>
    </xf>
    <xf numFmtId="164" fontId="9" fillId="0" borderId="0" xfId="9" applyNumberFormat="1" applyFont="1" applyFill="1" applyBorder="1" applyAlignment="1">
      <alignment horizontal="left" vertical="center"/>
    </xf>
    <xf numFmtId="0" fontId="6" fillId="0" borderId="0" xfId="6" applyFont="1" applyAlignment="1">
      <alignment horizontal="left" indent="8"/>
    </xf>
    <xf numFmtId="0" fontId="6" fillId="0" borderId="1" xfId="6" quotePrefix="1" applyFont="1" applyBorder="1" applyAlignment="1">
      <alignment horizontal="left" indent="3"/>
    </xf>
    <xf numFmtId="164" fontId="9" fillId="0" borderId="1" xfId="9" quotePrefix="1" applyNumberFormat="1" applyFont="1" applyFill="1" applyBorder="1" applyAlignment="1">
      <alignment horizontal="center" vertical="center"/>
    </xf>
    <xf numFmtId="0" fontId="6" fillId="0" borderId="1" xfId="6" quotePrefix="1" applyFont="1" applyBorder="1" applyAlignment="1">
      <alignment horizontal="center"/>
    </xf>
    <xf numFmtId="164" fontId="9" fillId="0" borderId="1" xfId="9" applyNumberFormat="1" applyFont="1" applyFill="1" applyBorder="1" applyAlignment="1">
      <alignment horizontal="left" vertical="center"/>
    </xf>
    <xf numFmtId="164" fontId="9" fillId="0" borderId="1" xfId="9" applyNumberFormat="1" applyFont="1" applyFill="1" applyBorder="1" applyAlignment="1">
      <alignment horizontal="center" vertical="center"/>
    </xf>
    <xf numFmtId="164" fontId="9" fillId="0" borderId="7" xfId="9" quotePrefix="1" applyNumberFormat="1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/>
    </xf>
    <xf numFmtId="167" fontId="8" fillId="2" borderId="0" xfId="8" applyNumberFormat="1" applyFont="1" applyFill="1" applyBorder="1" applyAlignment="1"/>
    <xf numFmtId="168" fontId="8" fillId="2" borderId="0" xfId="8" applyNumberFormat="1" applyFont="1" applyFill="1" applyBorder="1" applyAlignment="1"/>
    <xf numFmtId="44" fontId="11" fillId="4" borderId="5" xfId="8" applyFont="1" applyFill="1" applyBorder="1" applyAlignment="1"/>
    <xf numFmtId="44" fontId="11" fillId="4" borderId="0" xfId="8" applyFont="1" applyFill="1" applyBorder="1" applyAlignment="1"/>
    <xf numFmtId="44" fontId="11" fillId="4" borderId="8" xfId="8" applyFont="1" applyFill="1" applyBorder="1" applyAlignment="1"/>
    <xf numFmtId="44" fontId="11" fillId="4" borderId="14" xfId="8" applyFont="1" applyFill="1" applyBorder="1" applyAlignment="1"/>
    <xf numFmtId="166" fontId="10" fillId="3" borderId="6" xfId="7" applyNumberFormat="1" applyFont="1" applyFill="1" applyBorder="1" applyAlignment="1">
      <alignment horizontal="center"/>
    </xf>
    <xf numFmtId="44" fontId="11" fillId="0" borderId="4" xfId="8" applyFont="1" applyFill="1" applyBorder="1" applyAlignment="1">
      <alignment horizontal="center" vertical="center"/>
    </xf>
    <xf numFmtId="165" fontId="11" fillId="0" borderId="4" xfId="10" applyNumberFormat="1" applyFont="1" applyFill="1" applyBorder="1" applyAlignment="1">
      <alignment horizontal="center" vertical="center"/>
    </xf>
    <xf numFmtId="167" fontId="11" fillId="0" borderId="4" xfId="8" applyNumberFormat="1" applyFont="1" applyFill="1" applyBorder="1" applyAlignment="1"/>
    <xf numFmtId="44" fontId="11" fillId="0" borderId="4" xfId="8" applyFont="1" applyFill="1" applyBorder="1" applyAlignment="1"/>
    <xf numFmtId="43" fontId="11" fillId="0" borderId="4" xfId="10" applyFont="1" applyFill="1" applyBorder="1" applyAlignment="1"/>
    <xf numFmtId="44" fontId="11" fillId="0" borderId="4" xfId="8" applyFont="1" applyFill="1" applyBorder="1"/>
    <xf numFmtId="44" fontId="2" fillId="0" borderId="4" xfId="6" applyNumberFormat="1" applyBorder="1"/>
    <xf numFmtId="0" fontId="4" fillId="0" borderId="1" xfId="7" applyBorder="1" applyAlignment="1">
      <alignment horizontal="center"/>
    </xf>
    <xf numFmtId="165" fontId="7" fillId="0" borderId="3" xfId="1" applyNumberFormat="1" applyFont="1" applyFill="1" applyBorder="1" applyAlignment="1">
      <alignment horizontal="left" vertical="center" wrapText="1" indent="1"/>
    </xf>
    <xf numFmtId="44" fontId="7" fillId="0" borderId="3" xfId="11" applyFont="1" applyFill="1" applyBorder="1" applyAlignment="1">
      <alignment horizontal="left" vertical="center" wrapText="1" indent="1"/>
    </xf>
    <xf numFmtId="165" fontId="7" fillId="0" borderId="12" xfId="1" applyNumberFormat="1" applyFont="1" applyFill="1" applyBorder="1" applyAlignment="1">
      <alignment horizontal="left" vertical="center" wrapText="1" indent="1"/>
    </xf>
    <xf numFmtId="164" fontId="7" fillId="0" borderId="3" xfId="1" applyNumberFormat="1" applyFont="1" applyFill="1" applyBorder="1" applyAlignment="1">
      <alignment horizontal="left" vertical="center" wrapText="1" indent="1"/>
    </xf>
    <xf numFmtId="44" fontId="7" fillId="0" borderId="12" xfId="11" applyFont="1" applyFill="1" applyBorder="1" applyAlignment="1">
      <alignment horizontal="left" vertical="center" wrapText="1" indent="1"/>
    </xf>
    <xf numFmtId="0" fontId="7" fillId="0" borderId="0" xfId="7" applyFont="1" applyAlignment="1">
      <alignment horizontal="center" vertical="center"/>
    </xf>
    <xf numFmtId="0" fontId="7" fillId="0" borderId="11" xfId="7" applyFont="1" applyBorder="1" applyAlignment="1">
      <alignment horizontal="right" vertical="center"/>
    </xf>
    <xf numFmtId="165" fontId="7" fillId="0" borderId="17" xfId="1" applyNumberFormat="1" applyFont="1" applyBorder="1" applyAlignment="1">
      <alignment horizontal="right" vertical="center" wrapText="1" indent="1"/>
    </xf>
    <xf numFmtId="14" fontId="4" fillId="6" borderId="0" xfId="7" applyNumberFormat="1" applyFill="1"/>
    <xf numFmtId="0" fontId="2" fillId="0" borderId="0" xfId="6" applyAlignment="1">
      <alignment wrapText="1"/>
    </xf>
    <xf numFmtId="0" fontId="2" fillId="2" borderId="0" xfId="6" applyFill="1" applyAlignment="1">
      <alignment wrapText="1"/>
    </xf>
    <xf numFmtId="0" fontId="6" fillId="2" borderId="0" xfId="6" applyFont="1" applyFill="1" applyAlignment="1">
      <alignment vertical="center" wrapText="1"/>
    </xf>
    <xf numFmtId="0" fontId="2" fillId="0" borderId="1" xfId="6" applyBorder="1" applyAlignment="1">
      <alignment wrapText="1"/>
    </xf>
    <xf numFmtId="167" fontId="6" fillId="4" borderId="1" xfId="8" quotePrefix="1" applyNumberFormat="1" applyFont="1" applyFill="1" applyBorder="1" applyAlignment="1">
      <alignment horizontal="center" vertical="center"/>
    </xf>
    <xf numFmtId="44" fontId="11" fillId="4" borderId="7" xfId="8" applyFont="1" applyFill="1" applyBorder="1" applyAlignment="1"/>
    <xf numFmtId="44" fontId="11" fillId="4" borderId="1" xfId="8" applyFont="1" applyFill="1" applyBorder="1" applyAlignment="1"/>
    <xf numFmtId="43" fontId="11" fillId="0" borderId="4" xfId="10" applyFont="1" applyFill="1" applyBorder="1"/>
    <xf numFmtId="44" fontId="2" fillId="0" borderId="0" xfId="6" applyNumberFormat="1" applyAlignment="1">
      <alignment horizontal="center"/>
    </xf>
    <xf numFmtId="170" fontId="2" fillId="0" borderId="0" xfId="6" applyNumberFormat="1"/>
    <xf numFmtId="0" fontId="2" fillId="0" borderId="4" xfId="6" applyBorder="1" applyAlignment="1">
      <alignment wrapText="1"/>
    </xf>
    <xf numFmtId="165" fontId="7" fillId="0" borderId="17" xfId="1" applyNumberFormat="1" applyFont="1" applyBorder="1" applyAlignment="1">
      <alignment horizontal="center"/>
    </xf>
    <xf numFmtId="166" fontId="7" fillId="7" borderId="17" xfId="7" applyNumberFormat="1" applyFont="1" applyFill="1" applyBorder="1" applyAlignment="1">
      <alignment horizontal="center"/>
    </xf>
    <xf numFmtId="44" fontId="7" fillId="0" borderId="17" xfId="5" applyFont="1" applyBorder="1" applyAlignment="1">
      <alignment horizontal="center"/>
    </xf>
    <xf numFmtId="14" fontId="7" fillId="7" borderId="0" xfId="7" applyNumberFormat="1" applyFont="1" applyFill="1" applyAlignment="1">
      <alignment horizontal="center" vertical="center"/>
    </xf>
    <xf numFmtId="173" fontId="4" fillId="0" borderId="0" xfId="7" applyNumberFormat="1" applyAlignment="1">
      <alignment horizontal="center"/>
    </xf>
    <xf numFmtId="44" fontId="11" fillId="5" borderId="4" xfId="8" applyFont="1" applyFill="1" applyBorder="1" applyAlignment="1"/>
    <xf numFmtId="39" fontId="11" fillId="5" borderId="6" xfId="8" applyNumberFormat="1" applyFont="1" applyFill="1" applyBorder="1" applyAlignment="1">
      <alignment horizontal="right"/>
    </xf>
    <xf numFmtId="0" fontId="2" fillId="2" borderId="15" xfId="6" applyFill="1" applyBorder="1" applyAlignment="1">
      <alignment wrapText="1"/>
    </xf>
    <xf numFmtId="0" fontId="2" fillId="2" borderId="19" xfId="6" applyFill="1" applyBorder="1" applyAlignment="1">
      <alignment wrapText="1"/>
    </xf>
    <xf numFmtId="0" fontId="6" fillId="2" borderId="19" xfId="6" applyFont="1" applyFill="1" applyBorder="1" applyAlignment="1">
      <alignment vertical="center" wrapText="1"/>
    </xf>
    <xf numFmtId="0" fontId="6" fillId="2" borderId="20" xfId="6" applyFont="1" applyFill="1" applyBorder="1" applyAlignment="1">
      <alignment horizontal="right" vertical="center"/>
    </xf>
    <xf numFmtId="44" fontId="6" fillId="0" borderId="19" xfId="8" applyFont="1" applyFill="1" applyBorder="1" applyAlignment="1">
      <alignment horizontal="center" vertical="center" wrapText="1"/>
    </xf>
    <xf numFmtId="167" fontId="6" fillId="0" borderId="19" xfId="8" applyNumberFormat="1" applyFont="1" applyFill="1" applyBorder="1" applyAlignment="1">
      <alignment horizontal="center" vertical="center" wrapText="1"/>
    </xf>
    <xf numFmtId="0" fontId="2" fillId="0" borderId="19" xfId="6" applyBorder="1" applyAlignment="1">
      <alignment wrapText="1"/>
    </xf>
    <xf numFmtId="165" fontId="9" fillId="0" borderId="19" xfId="9" applyNumberFormat="1" applyFont="1" applyFill="1" applyBorder="1" applyAlignment="1">
      <alignment horizontal="center" vertical="center" wrapText="1"/>
    </xf>
    <xf numFmtId="0" fontId="2" fillId="0" borderId="19" xfId="6" applyBorder="1" applyAlignment="1">
      <alignment horizontal="left"/>
    </xf>
    <xf numFmtId="165" fontId="9" fillId="0" borderId="16" xfId="9" applyNumberFormat="1" applyFont="1" applyFill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2" fillId="0" borderId="16" xfId="6" applyBorder="1" applyAlignment="1">
      <alignment wrapText="1"/>
    </xf>
    <xf numFmtId="166" fontId="2" fillId="6" borderId="17" xfId="6" applyNumberFormat="1" applyFill="1" applyBorder="1" applyAlignment="1">
      <alignment horizontal="center"/>
    </xf>
    <xf numFmtId="168" fontId="11" fillId="0" borderId="0" xfId="8" applyNumberFormat="1" applyFont="1" applyFill="1" applyBorder="1" applyAlignment="1"/>
    <xf numFmtId="0" fontId="7" fillId="0" borderId="11" xfId="7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5" xfId="0" applyBorder="1"/>
    <xf numFmtId="165" fontId="7" fillId="0" borderId="17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5" applyFont="1" applyFill="1" applyBorder="1"/>
    <xf numFmtId="165" fontId="7" fillId="0" borderId="11" xfId="1" applyNumberFormat="1" applyFont="1" applyFill="1" applyBorder="1" applyAlignment="1">
      <alignment horizontal="center" vertical="center" wrapText="1"/>
    </xf>
    <xf numFmtId="0" fontId="0" fillId="0" borderId="19" xfId="0" applyBorder="1"/>
    <xf numFmtId="44" fontId="0" fillId="0" borderId="0" xfId="5" applyFont="1" applyFill="1"/>
    <xf numFmtId="14" fontId="4" fillId="6" borderId="1" xfId="7" applyNumberFormat="1" applyFill="1" applyBorder="1"/>
    <xf numFmtId="0" fontId="4" fillId="0" borderId="1" xfId="7" applyBorder="1"/>
    <xf numFmtId="165" fontId="0" fillId="5" borderId="0" xfId="1" applyNumberFormat="1" applyFont="1" applyFill="1" applyBorder="1" applyAlignment="1">
      <alignment horizontal="center" vertical="center"/>
    </xf>
    <xf numFmtId="165" fontId="0" fillId="5" borderId="0" xfId="1" applyNumberFormat="1" applyFont="1" applyFill="1" applyBorder="1"/>
    <xf numFmtId="165" fontId="0" fillId="5" borderId="1" xfId="1" applyNumberFormat="1" applyFont="1" applyFill="1" applyBorder="1"/>
    <xf numFmtId="44" fontId="0" fillId="5" borderId="0" xfId="11" applyFont="1" applyFill="1" applyBorder="1" applyAlignment="1">
      <alignment horizontal="center" vertical="center"/>
    </xf>
    <xf numFmtId="44" fontId="0" fillId="5" borderId="0" xfId="11" applyFont="1" applyFill="1" applyBorder="1"/>
    <xf numFmtId="44" fontId="0" fillId="5" borderId="1" xfId="11" applyFont="1" applyFill="1" applyBorder="1"/>
    <xf numFmtId="166" fontId="4" fillId="0" borderId="6" xfId="7" applyNumberFormat="1" applyBorder="1" applyAlignment="1">
      <alignment horizontal="center"/>
    </xf>
    <xf numFmtId="166" fontId="4" fillId="0" borderId="15" xfId="7" applyNumberFormat="1" applyBorder="1" applyAlignment="1">
      <alignment horizontal="center"/>
    </xf>
    <xf numFmtId="43" fontId="4" fillId="0" borderId="0" xfId="7" applyNumberFormat="1"/>
    <xf numFmtId="0" fontId="7" fillId="0" borderId="17" xfId="7" applyFont="1" applyBorder="1" applyAlignment="1">
      <alignment horizontal="center" vertical="center" wrapText="1"/>
    </xf>
    <xf numFmtId="166" fontId="4" fillId="0" borderId="19" xfId="7" applyNumberFormat="1" applyBorder="1" applyAlignment="1">
      <alignment horizontal="center"/>
    </xf>
    <xf numFmtId="166" fontId="4" fillId="0" borderId="16" xfId="7" applyNumberFormat="1" applyBorder="1" applyAlignment="1">
      <alignment horizontal="center"/>
    </xf>
    <xf numFmtId="166" fontId="4" fillId="0" borderId="7" xfId="7" applyNumberFormat="1" applyBorder="1" applyAlignment="1">
      <alignment horizontal="center"/>
    </xf>
    <xf numFmtId="166" fontId="4" fillId="0" borderId="19" xfId="7" applyNumberFormat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167" fontId="0" fillId="5" borderId="0" xfId="5" applyNumberFormat="1" applyFont="1" applyFill="1" applyBorder="1"/>
    <xf numFmtId="0" fontId="0" fillId="5" borderId="0" xfId="0" applyFill="1"/>
    <xf numFmtId="44" fontId="7" fillId="0" borderId="0" xfId="0" applyNumberFormat="1" applyFont="1"/>
    <xf numFmtId="44" fontId="0" fillId="0" borderId="0" xfId="0" applyNumberFormat="1"/>
    <xf numFmtId="44" fontId="0" fillId="0" borderId="19" xfId="0" applyNumberFormat="1" applyBorder="1"/>
    <xf numFmtId="164" fontId="0" fillId="5" borderId="0" xfId="1" applyNumberFormat="1" applyFont="1" applyFill="1" applyBorder="1" applyAlignment="1">
      <alignment horizontal="center" vertical="center"/>
    </xf>
    <xf numFmtId="44" fontId="0" fillId="5" borderId="1" xfId="11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6" fontId="10" fillId="0" borderId="9" xfId="7" applyNumberFormat="1" applyFont="1" applyBorder="1" applyAlignment="1">
      <alignment horizontal="center"/>
    </xf>
    <xf numFmtId="166" fontId="10" fillId="0" borderId="2" xfId="7" applyNumberFormat="1" applyFont="1" applyBorder="1" applyAlignment="1">
      <alignment horizontal="center"/>
    </xf>
    <xf numFmtId="166" fontId="10" fillId="0" borderId="10" xfId="7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4" fontId="0" fillId="0" borderId="19" xfId="0" applyNumberFormat="1" applyBorder="1"/>
    <xf numFmtId="44" fontId="11" fillId="0" borderId="6" xfId="8" applyFont="1" applyFill="1" applyBorder="1" applyAlignment="1"/>
    <xf numFmtId="44" fontId="11" fillId="0" borderId="7" xfId="8" applyFont="1" applyFill="1" applyBorder="1" applyAlignment="1"/>
    <xf numFmtId="44" fontId="11" fillId="0" borderId="8" xfId="8" applyFont="1" applyFill="1" applyBorder="1" applyAlignment="1"/>
    <xf numFmtId="0" fontId="6" fillId="0" borderId="15" xfId="6" applyFont="1" applyBorder="1" applyAlignment="1">
      <alignment horizontal="left"/>
    </xf>
    <xf numFmtId="0" fontId="6" fillId="0" borderId="16" xfId="6" applyFont="1" applyBorder="1" applyAlignment="1">
      <alignment horizontal="left"/>
    </xf>
    <xf numFmtId="0" fontId="1" fillId="0" borderId="17" xfId="6" applyFont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2" borderId="2" xfId="6" applyFont="1" applyFill="1" applyBorder="1" applyAlignment="1">
      <alignment horizontal="right" vertical="center"/>
    </xf>
    <xf numFmtId="0" fontId="6" fillId="2" borderId="10" xfId="6" applyFont="1" applyFill="1" applyBorder="1" applyAlignment="1">
      <alignment horizontal="right" vertical="center"/>
    </xf>
    <xf numFmtId="0" fontId="4" fillId="0" borderId="17" xfId="7" applyBorder="1" applyAlignment="1">
      <alignment horizontal="center" vertical="center" textRotation="90"/>
    </xf>
    <xf numFmtId="0" fontId="4" fillId="0" borderId="15" xfId="7" applyBorder="1" applyAlignment="1">
      <alignment horizontal="center" vertical="center" textRotation="90"/>
    </xf>
    <xf numFmtId="0" fontId="4" fillId="0" borderId="19" xfId="7" applyBorder="1" applyAlignment="1">
      <alignment horizontal="center" vertical="center" textRotation="90"/>
    </xf>
    <xf numFmtId="0" fontId="4" fillId="0" borderId="16" xfId="7" applyBorder="1" applyAlignment="1">
      <alignment horizontal="center" vertical="center" textRotation="90"/>
    </xf>
    <xf numFmtId="0" fontId="4" fillId="0" borderId="1" xfId="7" applyBorder="1" applyAlignment="1">
      <alignment horizontal="center"/>
    </xf>
    <xf numFmtId="0" fontId="4" fillId="0" borderId="14" xfId="7" applyBorder="1" applyAlignment="1">
      <alignment horizontal="center"/>
    </xf>
    <xf numFmtId="0" fontId="4" fillId="0" borderId="13" xfId="7" applyBorder="1" applyAlignment="1">
      <alignment horizontal="center" vertical="center"/>
    </xf>
    <xf numFmtId="0" fontId="4" fillId="0" borderId="1" xfId="7" applyBorder="1" applyAlignment="1">
      <alignment horizontal="center" vertical="center"/>
    </xf>
  </cellXfs>
  <cellStyles count="12">
    <cellStyle name="Comma" xfId="1" builtinId="3"/>
    <cellStyle name="Comma 2" xfId="2" xr:uid="{FB0E5B1F-25F2-4EB2-BE77-053C2345B9CD}"/>
    <cellStyle name="Comma 2 2" xfId="9" xr:uid="{90177F3C-4F49-451B-8AD9-C83F96D19123}"/>
    <cellStyle name="Comma 3" xfId="10" xr:uid="{807FD545-4026-48ED-AC8E-9EAD7A369771}"/>
    <cellStyle name="Currency" xfId="5" builtinId="4"/>
    <cellStyle name="Currency 2" xfId="3" xr:uid="{9474C7EE-6C96-45A7-A894-FA09F5F09B09}"/>
    <cellStyle name="Currency 3" xfId="8" xr:uid="{91A630A3-B2B9-478F-9B8B-C488BFCD930C}"/>
    <cellStyle name="Currency 4" xfId="11" xr:uid="{B0242974-3F73-4566-897C-93A1F81FCA77}"/>
    <cellStyle name="Normal" xfId="0" builtinId="0"/>
    <cellStyle name="Normal 2" xfId="4" xr:uid="{F5FBAF4B-F704-42B0-83F7-F482F38DAC39}"/>
    <cellStyle name="Normal 2 2" xfId="7" xr:uid="{D380C9CA-507C-4D5C-9C4A-C47190D06531}"/>
    <cellStyle name="Normal 3" xfId="6" xr:uid="{C461C7A8-CF3A-4550-A431-64F26A6EAD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.1%20FA%20Files%20and%20Forms\0.0-FA%20Case%20files\0.1%20PGAs%20(Purchased%20Gas%20Adjustments)\Atmos\2024-00299\Atmos_Kentucky_GCA_Filing_2024.11_for_PSC.xlsx" TargetMode="External"/><Relationship Id="rId1" Type="http://schemas.openxmlformats.org/officeDocument/2006/relationships/externalLinkPath" Target="https://kymsoffice-my.sharepoint.com/personal/mitchell_pollard_ky_gov/Documents/Desktop/Atmos/2024-00299/Atmos_Kentucky_GCA_Filing_2024.11_for_PS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 refreshError="1">
        <row r="1">
          <cell r="A1" t="str">
            <v>Contents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 refreshError="1"/>
      <sheetData sheetId="6" refreshError="1"/>
      <sheetData sheetId="7" refreshError="1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 refreshError="1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 refreshError="1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 refreshError="1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 refreshError="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 refreshError="1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 refreshError="1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 refreshError="1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 refreshError="1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 refreshError="1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 refreshError="1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 refreshError="1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 refreshError="1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 refreshError="1"/>
      <sheetData sheetId="21" refreshError="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 refreshError="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 refreshError="1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 refreshError="1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 refreshError="1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 refreshError="1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 refreshError="1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 refreshError="1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 refreshError="1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 refreshError="1"/>
      <sheetData sheetId="31" refreshError="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 refreshError="1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 refreshError="1"/>
      <sheetData sheetId="34" refreshError="1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 refreshError="1"/>
      <sheetData sheetId="36" refreshError="1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 refreshError="1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 refreshError="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 refreshError="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 refreshError="1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 refreshError="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 refreshError="1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 refreshError="1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 refreshError="1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 refreshError="1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 refreshError="1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 refreshError="1"/>
      <sheetData sheetId="48" refreshError="1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 refreshError="1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 refreshError="1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 refreshError="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 refreshError="1"/>
      <sheetData sheetId="53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 refreshError="1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 refreshError="1"/>
      <sheetData sheetId="57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 refreshError="1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 refreshError="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 refreshError="1"/>
      <sheetData sheetId="65" refreshError="1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 refreshError="1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 refreshError="1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 refreshError="1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 refreshError="1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 refreshError="1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 refreshError="1"/>
      <sheetData sheetId="72" refreshError="1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 refreshError="1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 refreshError="1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 refreshError="1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 refreshError="1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 refreshError="1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 refreshError="1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 refreshError="1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 refreshError="1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 refreshError="1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 refreshError="1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 refreshError="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 refreshError="1"/>
      <sheetData sheetId="90" refreshError="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 refreshError="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 refreshError="1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 refreshError="1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 refreshError="1"/>
      <sheetData sheetId="95" refreshError="1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 refreshError="1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 refreshError="1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 refreshError="1"/>
      <sheetData sheetId="99" refreshError="1"/>
      <sheetData sheetId="100" refreshError="1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tchell Template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WorkPaper"/>
      <sheetName val="WP-E.1"/>
      <sheetName val="Data Mart Inputs"/>
      <sheetName val="Holidays"/>
      <sheetName val="Rate Validation"/>
    </sheetNames>
    <sheetDataSet>
      <sheetData sheetId="0" refreshError="1"/>
      <sheetData sheetId="1">
        <row r="20">
          <cell r="G20">
            <v>4.5525000000000002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A3E9-F7F0-4942-B0AD-E2D9EC1985E5}">
  <sheetPr>
    <pageSetUpPr fitToPage="1"/>
  </sheetPr>
  <dimension ref="A1:AQ55"/>
  <sheetViews>
    <sheetView tabSelected="1" zoomScaleNormal="100" workbookViewId="0">
      <pane xSplit="5" ySplit="3" topLeftCell="AE21" activePane="bottomRight" state="frozen"/>
      <selection pane="topRight" activeCell="D1" sqref="D1"/>
      <selection pane="bottomLeft" activeCell="A2" sqref="A2"/>
      <selection pane="bottomRight" activeCell="J32" sqref="J32"/>
    </sheetView>
  </sheetViews>
  <sheetFormatPr defaultRowHeight="15" x14ac:dyDescent="0.25"/>
  <cols>
    <col min="1" max="1" width="1" style="68" customWidth="1"/>
    <col min="2" max="2" width="48.28515625" style="11" bestFit="1" customWidth="1"/>
    <col min="3" max="3" width="5.5703125" style="109" bestFit="1" customWidth="1"/>
    <col min="4" max="4" width="25.5703125" style="109" bestFit="1" customWidth="1"/>
    <col min="5" max="5" width="8.140625" style="150" bestFit="1" customWidth="1"/>
    <col min="6" max="6" width="1.5703125" style="174" customWidth="1"/>
    <col min="7" max="7" width="14.7109375" style="55" bestFit="1" customWidth="1"/>
    <col min="8" max="8" width="12.28515625" style="68" bestFit="1" customWidth="1"/>
    <col min="9" max="9" width="12.28515625" style="56" bestFit="1" customWidth="1"/>
    <col min="10" max="10" width="15.140625" style="55" bestFit="1" customWidth="1"/>
    <col min="11" max="11" width="12" style="68" bestFit="1" customWidth="1"/>
    <col min="12" max="12" width="12" style="56" bestFit="1" customWidth="1"/>
    <col min="13" max="13" width="15.140625" style="55" bestFit="1" customWidth="1"/>
    <col min="14" max="14" width="15.140625" style="68" bestFit="1" customWidth="1"/>
    <col min="15" max="15" width="12" style="56" bestFit="1" customWidth="1"/>
    <col min="16" max="16" width="15.140625" style="55" bestFit="1" customWidth="1"/>
    <col min="17" max="17" width="15.140625" style="68" bestFit="1" customWidth="1"/>
    <col min="18" max="18" width="15.140625" style="56" bestFit="1" customWidth="1"/>
    <col min="19" max="19" width="14.7109375" style="55" bestFit="1" customWidth="1"/>
    <col min="20" max="20" width="15.140625" style="68" bestFit="1" customWidth="1"/>
    <col min="21" max="21" width="12.28515625" style="56" bestFit="1" customWidth="1"/>
    <col min="22" max="22" width="15.140625" style="55" bestFit="1" customWidth="1"/>
    <col min="23" max="23" width="15.140625" style="68" bestFit="1" customWidth="1"/>
    <col min="24" max="24" width="12" style="56" bestFit="1" customWidth="1"/>
    <col min="25" max="25" width="14.7109375" style="55" bestFit="1" customWidth="1"/>
    <col min="26" max="26" width="15.140625" style="68" bestFit="1" customWidth="1"/>
    <col min="27" max="27" width="12" style="56" bestFit="1" customWidth="1"/>
    <col min="28" max="28" width="15.140625" style="55" bestFit="1" customWidth="1"/>
    <col min="29" max="29" width="15.140625" style="68" bestFit="1" customWidth="1"/>
    <col min="30" max="30" width="15.140625" style="56" bestFit="1" customWidth="1"/>
    <col min="31" max="31" width="15.140625" style="55" bestFit="1" customWidth="1"/>
    <col min="32" max="32" width="12" style="68" bestFit="1" customWidth="1"/>
    <col min="33" max="33" width="12" style="56" bestFit="1" customWidth="1"/>
    <col min="34" max="34" width="14.7109375" style="55" bestFit="1" customWidth="1"/>
    <col min="35" max="35" width="12" style="68" bestFit="1" customWidth="1"/>
    <col min="36" max="36" width="12" style="56" bestFit="1" customWidth="1"/>
    <col min="37" max="37" width="15.140625" style="55" bestFit="1" customWidth="1"/>
    <col min="38" max="38" width="12" style="68" bestFit="1" customWidth="1"/>
    <col min="39" max="39" width="12" style="56" bestFit="1" customWidth="1"/>
    <col min="40" max="40" width="14.7109375" style="55" bestFit="1" customWidth="1"/>
    <col min="41" max="41" width="12" style="68" bestFit="1" customWidth="1"/>
    <col min="42" max="42" width="12" style="56" bestFit="1" customWidth="1"/>
    <col min="43" max="16384" width="9.140625" style="68"/>
  </cols>
  <sheetData>
    <row r="1" spans="1:42" x14ac:dyDescent="0.25">
      <c r="B1" s="1"/>
      <c r="C1" s="102"/>
      <c r="D1" s="102"/>
      <c r="E1" s="151"/>
      <c r="F1" s="168"/>
      <c r="G1" s="180">
        <f>EOMONTH((G3),-1)+1</f>
        <v>44927</v>
      </c>
      <c r="H1" s="180">
        <f t="shared" ref="H1:O1" si="0">EOMONTH((H3),-1)+1</f>
        <v>44958</v>
      </c>
      <c r="I1" s="180">
        <f t="shared" si="0"/>
        <v>44986</v>
      </c>
      <c r="J1" s="180">
        <f t="shared" si="0"/>
        <v>45017</v>
      </c>
      <c r="K1" s="180">
        <f t="shared" si="0"/>
        <v>45047</v>
      </c>
      <c r="L1" s="180">
        <f t="shared" si="0"/>
        <v>45078</v>
      </c>
      <c r="M1" s="180">
        <f t="shared" si="0"/>
        <v>45108</v>
      </c>
      <c r="N1" s="180">
        <f t="shared" si="0"/>
        <v>45139</v>
      </c>
      <c r="O1" s="180">
        <f t="shared" si="0"/>
        <v>45170</v>
      </c>
      <c r="P1" s="180">
        <f t="shared" ref="P1:R1" si="1">EOMONTH((P3),-1)+1</f>
        <v>45200</v>
      </c>
      <c r="Q1" s="180">
        <f t="shared" si="1"/>
        <v>45231</v>
      </c>
      <c r="R1" s="180">
        <f t="shared" si="1"/>
        <v>45261</v>
      </c>
      <c r="S1" s="180">
        <f t="shared" ref="S1:U1" si="2">EOMONTH((S3),-1)+1</f>
        <v>45292</v>
      </c>
      <c r="T1" s="180">
        <f t="shared" si="2"/>
        <v>45323</v>
      </c>
      <c r="U1" s="180">
        <f t="shared" si="2"/>
        <v>45352</v>
      </c>
      <c r="V1" s="180">
        <f t="shared" ref="V1:AJ1" si="3">EOMONTH((V3),-1)+1</f>
        <v>45383</v>
      </c>
      <c r="W1" s="180">
        <f t="shared" si="3"/>
        <v>45413</v>
      </c>
      <c r="X1" s="180">
        <f t="shared" si="3"/>
        <v>45444</v>
      </c>
      <c r="Y1" s="180">
        <f t="shared" si="3"/>
        <v>45474</v>
      </c>
      <c r="Z1" s="180">
        <f t="shared" si="3"/>
        <v>45505</v>
      </c>
      <c r="AA1" s="180">
        <f t="shared" si="3"/>
        <v>45536</v>
      </c>
      <c r="AB1" s="180">
        <f t="shared" si="3"/>
        <v>45566</v>
      </c>
      <c r="AC1" s="180">
        <f t="shared" si="3"/>
        <v>45597</v>
      </c>
      <c r="AD1" s="180">
        <f t="shared" si="3"/>
        <v>45627</v>
      </c>
      <c r="AE1" s="180">
        <f t="shared" si="3"/>
        <v>45658</v>
      </c>
      <c r="AF1" s="180">
        <f t="shared" si="3"/>
        <v>45689</v>
      </c>
      <c r="AG1" s="180">
        <f t="shared" si="3"/>
        <v>45717</v>
      </c>
      <c r="AH1" s="180">
        <f t="shared" si="3"/>
        <v>45748</v>
      </c>
      <c r="AI1" s="180">
        <f t="shared" si="3"/>
        <v>45778</v>
      </c>
      <c r="AJ1" s="180">
        <f t="shared" si="3"/>
        <v>45809</v>
      </c>
      <c r="AK1" s="180">
        <f t="shared" ref="AK1:AP1" si="4">EOMONTH((AK3),-1)+1</f>
        <v>45839</v>
      </c>
      <c r="AL1" s="180">
        <f t="shared" si="4"/>
        <v>45870</v>
      </c>
      <c r="AM1" s="180">
        <f t="shared" si="4"/>
        <v>45901</v>
      </c>
      <c r="AN1" s="180">
        <f t="shared" si="4"/>
        <v>45931</v>
      </c>
      <c r="AO1" s="180">
        <f t="shared" si="4"/>
        <v>45962</v>
      </c>
      <c r="AP1" s="180">
        <f t="shared" si="4"/>
        <v>45992</v>
      </c>
    </row>
    <row r="2" spans="1:42" x14ac:dyDescent="0.25">
      <c r="A2" s="99"/>
      <c r="B2" s="1"/>
      <c r="C2" s="102"/>
      <c r="D2" s="102"/>
      <c r="E2" s="151"/>
      <c r="F2" s="169"/>
      <c r="G2" s="85"/>
      <c r="H2" s="99"/>
      <c r="I2" s="103"/>
      <c r="J2" s="85"/>
      <c r="K2" s="99"/>
      <c r="L2" s="103"/>
      <c r="M2" s="85"/>
      <c r="N2" s="99"/>
      <c r="O2" s="103"/>
      <c r="P2" s="85"/>
      <c r="Q2" s="99"/>
      <c r="R2" s="103"/>
      <c r="S2" s="85"/>
      <c r="T2" s="99"/>
      <c r="U2" s="103"/>
      <c r="V2" s="85"/>
      <c r="W2" s="99"/>
      <c r="X2" s="103"/>
      <c r="Y2" s="85"/>
      <c r="Z2" s="99"/>
      <c r="AA2" s="103"/>
      <c r="AB2" s="85"/>
      <c r="AC2" s="99"/>
      <c r="AD2" s="103"/>
      <c r="AE2" s="85"/>
      <c r="AF2" s="99"/>
      <c r="AG2" s="103"/>
      <c r="AH2" s="85"/>
      <c r="AI2" s="99"/>
      <c r="AJ2" s="103"/>
      <c r="AK2" s="85"/>
      <c r="AL2" s="99"/>
      <c r="AM2" s="103"/>
      <c r="AN2" s="85"/>
      <c r="AO2" s="99"/>
      <c r="AP2" s="103"/>
    </row>
    <row r="3" spans="1:42" x14ac:dyDescent="0.25">
      <c r="A3" s="2"/>
      <c r="B3" s="3"/>
      <c r="C3" s="2"/>
      <c r="D3" s="2"/>
      <c r="E3" s="152"/>
      <c r="F3" s="170"/>
      <c r="G3" s="132">
        <v>44927</v>
      </c>
      <c r="H3" s="104">
        <v>44958</v>
      </c>
      <c r="I3" s="105">
        <v>44986</v>
      </c>
      <c r="J3" s="132">
        <f>EDATE(I3,1)</f>
        <v>45017</v>
      </c>
      <c r="K3" s="104">
        <f t="shared" ref="K3:L3" si="5">EDATE(J3,1)</f>
        <v>45047</v>
      </c>
      <c r="L3" s="105">
        <f t="shared" si="5"/>
        <v>45078</v>
      </c>
      <c r="M3" s="132">
        <f>EDATE(L3,1)</f>
        <v>45108</v>
      </c>
      <c r="N3" s="104">
        <f t="shared" ref="N3:O3" si="6">EDATE(M3,1)</f>
        <v>45139</v>
      </c>
      <c r="O3" s="105">
        <f t="shared" si="6"/>
        <v>45170</v>
      </c>
      <c r="P3" s="132">
        <f>EDATE(O3,1)</f>
        <v>45200</v>
      </c>
      <c r="Q3" s="104">
        <f t="shared" ref="Q3" si="7">EDATE(P3,1)</f>
        <v>45231</v>
      </c>
      <c r="R3" s="105">
        <f t="shared" ref="R3" si="8">EDATE(Q3,1)</f>
        <v>45261</v>
      </c>
      <c r="S3" s="132">
        <f>EDATE(R3,1)</f>
        <v>45292</v>
      </c>
      <c r="T3" s="104">
        <f t="shared" ref="T3" si="9">EDATE(S3,1)</f>
        <v>45323</v>
      </c>
      <c r="U3" s="105">
        <f t="shared" ref="U3" si="10">EDATE(T3,1)</f>
        <v>45352</v>
      </c>
      <c r="V3" s="132">
        <f>EDATE(U3,1)</f>
        <v>45383</v>
      </c>
      <c r="W3" s="104">
        <f t="shared" ref="W3" si="11">EDATE(V3,1)</f>
        <v>45413</v>
      </c>
      <c r="X3" s="105">
        <f t="shared" ref="X3" si="12">EDATE(W3,1)</f>
        <v>45444</v>
      </c>
      <c r="Y3" s="132">
        <f>EDATE(X3,1)</f>
        <v>45474</v>
      </c>
      <c r="Z3" s="104">
        <f t="shared" ref="Z3" si="13">EDATE(Y3,1)</f>
        <v>45505</v>
      </c>
      <c r="AA3" s="105">
        <f t="shared" ref="AA3" si="14">EDATE(Z3,1)</f>
        <v>45536</v>
      </c>
      <c r="AB3" s="132">
        <f>EDATE(AA3,1)</f>
        <v>45566</v>
      </c>
      <c r="AC3" s="104">
        <f t="shared" ref="AC3" si="15">EDATE(AB3,1)</f>
        <v>45597</v>
      </c>
      <c r="AD3" s="105">
        <f t="shared" ref="AD3" si="16">EDATE(AC3,1)</f>
        <v>45627</v>
      </c>
      <c r="AE3" s="132">
        <f>EDATE(AD3,1)</f>
        <v>45658</v>
      </c>
      <c r="AF3" s="104">
        <f t="shared" ref="AF3" si="17">EDATE(AE3,1)</f>
        <v>45689</v>
      </c>
      <c r="AG3" s="105">
        <f t="shared" ref="AG3" si="18">EDATE(AF3,1)</f>
        <v>45717</v>
      </c>
      <c r="AH3" s="132">
        <f>EDATE(AG3,1)</f>
        <v>45748</v>
      </c>
      <c r="AI3" s="104">
        <f t="shared" ref="AI3" si="19">EDATE(AH3,1)</f>
        <v>45778</v>
      </c>
      <c r="AJ3" s="105">
        <f t="shared" ref="AJ3" si="20">EDATE(AI3,1)</f>
        <v>45809</v>
      </c>
      <c r="AK3" s="132">
        <f>EDATE(AJ3,1)</f>
        <v>45839</v>
      </c>
      <c r="AL3" s="104">
        <f t="shared" ref="AL3" si="21">EDATE(AK3,1)</f>
        <v>45870</v>
      </c>
      <c r="AM3" s="105">
        <f t="shared" ref="AM3" si="22">EDATE(AL3,1)</f>
        <v>45901</v>
      </c>
      <c r="AN3" s="132">
        <f>EDATE(AM3,1)</f>
        <v>45931</v>
      </c>
      <c r="AO3" s="104">
        <f t="shared" ref="AO3" si="23">EDATE(AN3,1)</f>
        <v>45962</v>
      </c>
      <c r="AP3" s="105">
        <f t="shared" ref="AP3" si="24">EDATE(AO3,1)</f>
        <v>45992</v>
      </c>
    </row>
    <row r="4" spans="1:42" ht="15.75" thickBot="1" x14ac:dyDescent="0.3">
      <c r="A4" s="4"/>
      <c r="B4" s="231" t="s">
        <v>7</v>
      </c>
      <c r="C4" s="231"/>
      <c r="D4" s="231"/>
      <c r="E4" s="232"/>
      <c r="F4" s="171"/>
      <c r="G4" s="218" t="str">
        <f>VLOOKUP(G1,'GCR Rate and Recovery'!$A:$E,5,FALSE)</f>
        <v>2022-00411</v>
      </c>
      <c r="H4" s="219" t="str">
        <f>VLOOKUP(H1,'GCR Rate and Recovery'!$A:$E,5,FALSE)</f>
        <v>2022-00411</v>
      </c>
      <c r="I4" s="220" t="str">
        <f>VLOOKUP(I1,'GCR Rate and Recovery'!$A:$E,5,FALSE)</f>
        <v>2022-00411</v>
      </c>
      <c r="J4" s="218" t="str">
        <f>VLOOKUP(J1,'GCR Rate and Recovery'!$A:$E,5,FALSE)</f>
        <v>2023-00065</v>
      </c>
      <c r="K4" s="219" t="str">
        <f>VLOOKUP(K1,'GCR Rate and Recovery'!$A:$E,5,FALSE)</f>
        <v>2023-00065</v>
      </c>
      <c r="L4" s="220" t="str">
        <f>VLOOKUP(L1,'GCR Rate and Recovery'!$A:$E,5,FALSE)</f>
        <v>2023-00065</v>
      </c>
      <c r="M4" s="218" t="str">
        <f>VLOOKUP(M1,'GCR Rate and Recovery'!$A:$E,5,FALSE)</f>
        <v>2023-00186</v>
      </c>
      <c r="N4" s="219" t="str">
        <f>VLOOKUP(N1,'GCR Rate and Recovery'!$A:$E,5,FALSE)</f>
        <v>2023-00186</v>
      </c>
      <c r="O4" s="220" t="str">
        <f>VLOOKUP(O1,'GCR Rate and Recovery'!$A:$E,5,FALSE)</f>
        <v>2023-00186</v>
      </c>
      <c r="P4" s="218" t="str">
        <f>VLOOKUP(P1,'GCR Rate and Recovery'!$A:$E,5,FALSE)</f>
        <v>2023-00282</v>
      </c>
      <c r="Q4" s="219" t="str">
        <f>VLOOKUP(Q1,'GCR Rate and Recovery'!$A:$E,5,FALSE)</f>
        <v>2023-00282</v>
      </c>
      <c r="R4" s="220" t="str">
        <f>VLOOKUP(R1,'GCR Rate and Recovery'!$A:$E,5,FALSE)</f>
        <v>2023-00282</v>
      </c>
      <c r="S4" s="218" t="str">
        <f>VLOOKUP(S1,'GCR Rate and Recovery'!$A:$E,5,FALSE)</f>
        <v>2023-00385</v>
      </c>
      <c r="T4" s="219" t="str">
        <f>VLOOKUP(T1,'GCR Rate and Recovery'!$A:$E,5,FALSE)</f>
        <v>2023-00385</v>
      </c>
      <c r="U4" s="220" t="str">
        <f>VLOOKUP(U1,'GCR Rate and Recovery'!$A:$E,5,FALSE)</f>
        <v>2023-00385</v>
      </c>
      <c r="V4" s="218" t="str">
        <f>VLOOKUP(V1,'GCR Rate and Recovery'!$A:$E,5,FALSE)</f>
        <v>2024-00175</v>
      </c>
      <c r="W4" s="219" t="str">
        <f>VLOOKUP(W1,'GCR Rate and Recovery'!$A:$E,5,FALSE)</f>
        <v>2024-00175</v>
      </c>
      <c r="X4" s="220" t="str">
        <f>VLOOKUP(X1,'GCR Rate and Recovery'!$A:$E,5,FALSE)</f>
        <v>2024-00175</v>
      </c>
      <c r="Y4" s="218" t="str">
        <f>VLOOKUP(Y1,'GCR Rate and Recovery'!$A:$E,5,FALSE)</f>
        <v>2024-00175</v>
      </c>
      <c r="Z4" s="219" t="str">
        <f>VLOOKUP(Z1,'GCR Rate and Recovery'!$A:$E,5,FALSE)</f>
        <v>2024-00175</v>
      </c>
      <c r="AA4" s="220" t="str">
        <f>VLOOKUP(AA1,'GCR Rate and Recovery'!$A:$E,5,FALSE)</f>
        <v>2024-00175</v>
      </c>
      <c r="AB4" s="218" t="str">
        <f>VLOOKUP(AB1,'GCR Rate and Recovery'!$A:$E,5,FALSE)</f>
        <v>2024-00175</v>
      </c>
      <c r="AC4" s="219" t="str">
        <f>VLOOKUP(AC1,'GCR Rate and Recovery'!$A:$E,5,FALSE)</f>
        <v>2024-00175</v>
      </c>
      <c r="AD4" s="220" t="str">
        <f>VLOOKUP(AD1,'GCR Rate and Recovery'!$A:$E,5,FALSE)</f>
        <v>2024-00175</v>
      </c>
      <c r="AE4" s="218" t="str">
        <f>VLOOKUP(AE1,'GCR Rate and Recovery'!$A:$E,5,FALSE)</f>
        <v>2024-00175</v>
      </c>
      <c r="AF4" s="219" t="str">
        <f>VLOOKUP(AF1,'GCR Rate and Recovery'!$A:$E,5,FALSE)</f>
        <v>2024-00175</v>
      </c>
      <c r="AG4" s="220" t="str">
        <f>VLOOKUP(AG1,'GCR Rate and Recovery'!$A:$E,5,FALSE)</f>
        <v>2024-00175</v>
      </c>
      <c r="AH4" s="218" t="str">
        <f>VLOOKUP(AH1,'GCR Rate and Recovery'!$A:$E,5,FALSE)</f>
        <v>2024-00175</v>
      </c>
      <c r="AI4" s="219" t="str">
        <f>VLOOKUP(AI1,'GCR Rate and Recovery'!$A:$E,5,FALSE)</f>
        <v>2024-00175</v>
      </c>
      <c r="AJ4" s="220" t="str">
        <f>VLOOKUP(AJ1,'GCR Rate and Recovery'!$A:$E,5,FALSE)</f>
        <v>2024-00175</v>
      </c>
      <c r="AK4" s="218" t="str">
        <f>VLOOKUP(AK1,'GCR Rate and Recovery'!$A:$E,5,FALSE)</f>
        <v>2024-00175</v>
      </c>
      <c r="AL4" s="219" t="str">
        <f>VLOOKUP(AL1,'GCR Rate and Recovery'!$A:$E,5,FALSE)</f>
        <v>2024-00175</v>
      </c>
      <c r="AM4" s="220" t="str">
        <f>VLOOKUP(AM1,'GCR Rate and Recovery'!$A:$E,5,FALSE)</f>
        <v>2024-00175</v>
      </c>
      <c r="AN4" s="218" t="str">
        <f>VLOOKUP(AN1,'GCR Rate and Recovery'!$A:$E,5,FALSE)</f>
        <v>2024-00175</v>
      </c>
      <c r="AO4" s="219" t="str">
        <f>VLOOKUP(AO1,'GCR Rate and Recovery'!$A:$E,5,FALSE)</f>
        <v>2024-00175</v>
      </c>
      <c r="AP4" s="220" t="str">
        <f>VLOOKUP(AP1,'GCR Rate and Recovery'!$A:$E,5,FALSE)</f>
        <v>2024-00175</v>
      </c>
    </row>
    <row r="5" spans="1:42" ht="15.75" thickTop="1" x14ac:dyDescent="0.25">
      <c r="B5" s="5" t="s">
        <v>10</v>
      </c>
      <c r="C5" s="106" t="s">
        <v>11</v>
      </c>
      <c r="D5" s="106" t="s">
        <v>12</v>
      </c>
      <c r="E5" s="6" t="s">
        <v>3</v>
      </c>
      <c r="F5" s="172"/>
      <c r="G5" s="133">
        <f>ROUND(VLOOKUP(G1,'Purchases and Sales Data'!$A:$R,18,FALSE),2)</f>
        <v>24116.71</v>
      </c>
      <c r="H5" s="77">
        <f>ROUND(VLOOKUP(H1,'Purchases and Sales Data'!$A:$R,18,FALSE),2)</f>
        <v>23559.84</v>
      </c>
      <c r="I5" s="78">
        <f>ROUND(VLOOKUP(I1,'Purchases and Sales Data'!$A:$R,18,FALSE),2)</f>
        <v>10649.04</v>
      </c>
      <c r="J5" s="133">
        <f>ROUND(VLOOKUP(J1,'Purchases and Sales Data'!$A:$R,18,FALSE),2)</f>
        <v>16830.04</v>
      </c>
      <c r="K5" s="76">
        <f>ROUND(VLOOKUP(K1,'Purchases and Sales Data'!$A:$R,18,FALSE),2)</f>
        <v>17990.71</v>
      </c>
      <c r="L5" s="78">
        <f>ROUND(VLOOKUP(L1,'Purchases and Sales Data'!$A:$R,18,FALSE),2)</f>
        <v>14670.03</v>
      </c>
      <c r="M5" s="133">
        <f>ROUND(VLOOKUP(M1,'Purchases and Sales Data'!$A:$R,18,FALSE),2)</f>
        <v>16214.51</v>
      </c>
      <c r="N5" s="76">
        <f>ROUND(VLOOKUP(N1,'Purchases and Sales Data'!$A:$R,18,FALSE),2)</f>
        <v>17079.48</v>
      </c>
      <c r="O5" s="78">
        <f>ROUND(VLOOKUP(O1,'Purchases and Sales Data'!$A:$R,18,FALSE),2)</f>
        <v>15099.84</v>
      </c>
      <c r="P5" s="133">
        <f>ROUND(VLOOKUP(P1,'Purchases and Sales Data'!$A:$R,18,FALSE),2)</f>
        <v>15879.67</v>
      </c>
      <c r="Q5" s="76">
        <f>ROUND(VLOOKUP(Q1,'Purchases and Sales Data'!$A:$R,18,FALSE),2)</f>
        <v>7835.44</v>
      </c>
      <c r="R5" s="78">
        <f>ROUND(VLOOKUP(R1,'Purchases and Sales Data'!$A:$R,18,FALSE),2)</f>
        <v>8910.0400000000009</v>
      </c>
      <c r="S5" s="133">
        <f>ROUND(VLOOKUP(S1,'Purchases and Sales Data'!$A:$R,18,FALSE),2)</f>
        <v>13980.27</v>
      </c>
      <c r="T5" s="76">
        <f>ROUND(VLOOKUP(T1,'Purchases and Sales Data'!$A:$R,18,FALSE),2)</f>
        <v>10599.57</v>
      </c>
      <c r="U5" s="78">
        <f>ROUND(VLOOKUP(U1,'Purchases and Sales Data'!$A:$R,18,FALSE),2)</f>
        <v>9873.89</v>
      </c>
      <c r="V5" s="133">
        <f>ROUND(VLOOKUP(V1,'Purchases and Sales Data'!$A:$R,18,FALSE),2)</f>
        <v>8075.53</v>
      </c>
      <c r="W5" s="76">
        <f>ROUND(VLOOKUP(W1,'Purchases and Sales Data'!$A:$R,18,FALSE),2)</f>
        <v>9324.1299999999992</v>
      </c>
      <c r="X5" s="78">
        <f>ROUND(VLOOKUP(X1,'Purchases and Sales Data'!$A:$R,18,FALSE),2)</f>
        <v>7101.04</v>
      </c>
      <c r="Y5" s="133">
        <f>ROUND(VLOOKUP(Y1,'Purchases and Sales Data'!$A:$R,18,FALSE),2)</f>
        <v>7023.65</v>
      </c>
      <c r="Z5" s="76">
        <f>ROUND(VLOOKUP(Z1,'Purchases and Sales Data'!$A:$R,18,FALSE),2)</f>
        <v>9527.58</v>
      </c>
      <c r="AA5" s="78">
        <f>ROUND(VLOOKUP(AA1,'Purchases and Sales Data'!$A:$R,18,FALSE),2)</f>
        <v>6514.24</v>
      </c>
      <c r="AB5" s="133">
        <f>ROUND(VLOOKUP(AB1,'Purchases and Sales Data'!$A:$R,18,FALSE),2)</f>
        <v>7205.39</v>
      </c>
      <c r="AC5" s="76">
        <f>ROUND(VLOOKUP(AC1,'Purchases and Sales Data'!$A:$R,18,FALSE),2)</f>
        <v>6838.18</v>
      </c>
      <c r="AD5" s="78">
        <f>ROUND(VLOOKUP(AD1,'Purchases and Sales Data'!$A:$R,18,FALSE),2)</f>
        <v>9557.76</v>
      </c>
      <c r="AE5" s="133">
        <f>ROUND(VLOOKUP(AE1,'Purchases and Sales Data'!$A:$R,18,FALSE),2)</f>
        <v>27259.94</v>
      </c>
      <c r="AF5" s="76">
        <f>ROUND(VLOOKUP(AF1,'Purchases and Sales Data'!$A:$R,18,FALSE),2)</f>
        <v>27823.56</v>
      </c>
      <c r="AG5" s="78">
        <f>ROUND(VLOOKUP(AG1,'Purchases and Sales Data'!$A:$R,18,FALSE),2)</f>
        <v>29572.04</v>
      </c>
      <c r="AH5" s="133">
        <f>ROUND(VLOOKUP(AH1,'Purchases and Sales Data'!$A:$R,18,FALSE),2)</f>
        <v>17959.47</v>
      </c>
      <c r="AI5" s="76">
        <f>ROUND(VLOOKUP(AI1,'Purchases and Sales Data'!$A:$R,18,FALSE),2)</f>
        <v>16920.009999999998</v>
      </c>
      <c r="AJ5" s="78">
        <f>ROUND(VLOOKUP(AJ1,'Purchases and Sales Data'!$A:$R,18,FALSE),2)</f>
        <v>7312.15</v>
      </c>
      <c r="AK5" s="133">
        <f>ROUND(VLOOKUP(AK1,'Purchases and Sales Data'!$A:$R,18,FALSE),2)</f>
        <v>8498.36</v>
      </c>
      <c r="AL5" s="76">
        <f>ROUND(VLOOKUP(AL1,'Purchases and Sales Data'!$A:$R,18,FALSE),2)</f>
        <v>9069.7800000000007</v>
      </c>
      <c r="AM5" s="78">
        <f>ROUND(VLOOKUP(AM1,'Purchases and Sales Data'!$A:$R,18,FALSE),2)</f>
        <v>6517.8</v>
      </c>
      <c r="AN5" s="133">
        <f>ROUND(VLOOKUP(AN1,'Purchases and Sales Data'!$A:$R,18,FALSE),2)</f>
        <v>0</v>
      </c>
      <c r="AO5" s="76">
        <f>ROUND(VLOOKUP(AO1,'Purchases and Sales Data'!$A:$R,18,FALSE),2)</f>
        <v>0</v>
      </c>
      <c r="AP5" s="78">
        <f>ROUND(VLOOKUP(AP1,'Purchases and Sales Data'!$A:$R,18,FALSE),2)</f>
        <v>0</v>
      </c>
    </row>
    <row r="6" spans="1:42" x14ac:dyDescent="0.25">
      <c r="B6" s="5" t="s">
        <v>13</v>
      </c>
      <c r="C6" s="107" t="s">
        <v>14</v>
      </c>
      <c r="D6" s="107" t="s">
        <v>12</v>
      </c>
      <c r="E6" s="7" t="s">
        <v>15</v>
      </c>
      <c r="F6" s="173"/>
      <c r="G6" s="134">
        <f>ROUND(VLOOKUP(G1,'Purchases and Sales Data'!$A:$R,13,FALSE),2)</f>
        <v>5419</v>
      </c>
      <c r="H6" s="79">
        <f>ROUND(VLOOKUP(H1,'Purchases and Sales Data'!$A:$R,13,FALSE),2)</f>
        <v>6135</v>
      </c>
      <c r="I6" s="80">
        <f>ROUND(VLOOKUP(I1,'Purchases and Sales Data'!$A:$R,13,FALSE),2)</f>
        <v>2160</v>
      </c>
      <c r="J6" s="134">
        <f>ROUND(VLOOKUP(J1,'Purchases and Sales Data'!$A:$R,13,FALSE),2)</f>
        <v>4770</v>
      </c>
      <c r="K6" s="79">
        <f>ROUND(VLOOKUP(K1,'Purchases and Sales Data'!$A:$R,13,FALSE),2)</f>
        <v>4929</v>
      </c>
      <c r="L6" s="80">
        <f>ROUND(VLOOKUP(L1,'Purchases and Sales Data'!$A:$R,13,FALSE),2)</f>
        <v>4770</v>
      </c>
      <c r="M6" s="134">
        <f>ROUND(VLOOKUP(M1,'Purchases and Sales Data'!$A:$R,13,FALSE),2)</f>
        <v>4929</v>
      </c>
      <c r="N6" s="79">
        <f>ROUND(VLOOKUP(N1,'Purchases and Sales Data'!$A:$R,13,FALSE),2)</f>
        <v>4929</v>
      </c>
      <c r="O6" s="80">
        <f>ROUND(VLOOKUP(O1,'Purchases and Sales Data'!$A:$R,13,FALSE),2)</f>
        <v>4770</v>
      </c>
      <c r="P6" s="134">
        <f>ROUND(VLOOKUP(P1,'Purchases and Sales Data'!$A:$R,13,FALSE),2)</f>
        <v>4929</v>
      </c>
      <c r="Q6" s="79">
        <f>ROUND(VLOOKUP(Q1,'Purchases and Sales Data'!$A:$R,13,FALSE),2)</f>
        <v>1350</v>
      </c>
      <c r="R6" s="80">
        <f>ROUND(VLOOKUP(R1,'Purchases and Sales Data'!$A:$R,13,FALSE),2)</f>
        <v>1350</v>
      </c>
      <c r="S6" s="134">
        <f>ROUND(VLOOKUP(S1,'Purchases and Sales Data'!$A:$R,13,FALSE),2)</f>
        <v>2137</v>
      </c>
      <c r="T6" s="79">
        <f>ROUND(VLOOKUP(T1,'Purchases and Sales Data'!$A:$R,13,FALSE),2)</f>
        <v>2047</v>
      </c>
      <c r="U6" s="80">
        <f>ROUND(VLOOKUP(U1,'Purchases and Sales Data'!$A:$R,13,FALSE),2)</f>
        <v>2160</v>
      </c>
      <c r="V6" s="134">
        <f>ROUND(VLOOKUP(V1,'Purchases and Sales Data'!$A:$R,13,FALSE),2)</f>
        <v>1980</v>
      </c>
      <c r="W6" s="79">
        <f>ROUND(VLOOKUP(W1,'Purchases and Sales Data'!$A:$R,13,FALSE),2)</f>
        <v>2070</v>
      </c>
      <c r="X6" s="80">
        <f>ROUND(VLOOKUP(X1,'Purchases and Sales Data'!$A:$R,13,FALSE),2)</f>
        <v>2070</v>
      </c>
      <c r="Y6" s="134">
        <f>ROUND(VLOOKUP(Y1,'Purchases and Sales Data'!$A:$R,13,FALSE),2)</f>
        <v>2093</v>
      </c>
      <c r="Z6" s="79">
        <f>ROUND(VLOOKUP(Z1,'Purchases and Sales Data'!$A:$R,13,FALSE),2)</f>
        <v>1980</v>
      </c>
      <c r="AA6" s="80">
        <f>ROUND(VLOOKUP(AA1,'Purchases and Sales Data'!$A:$R,13,FALSE),2)</f>
        <v>1890</v>
      </c>
      <c r="AB6" s="134">
        <f>ROUND(VLOOKUP(AB1,'Purchases and Sales Data'!$A:$R,13,FALSE),2)</f>
        <v>1936</v>
      </c>
      <c r="AC6" s="79">
        <f>ROUND(VLOOKUP(AC1,'Purchases and Sales Data'!$A:$R,13,FALSE),2)</f>
        <v>1350</v>
      </c>
      <c r="AD6" s="80">
        <f>ROUND(VLOOKUP(AD1,'Purchases and Sales Data'!$A:$R,13,FALSE),2)</f>
        <v>1350</v>
      </c>
      <c r="AE6" s="134">
        <f>ROUND(VLOOKUP(AE1,'Purchases and Sales Data'!$A:$R,13,FALSE),2)</f>
        <v>4675</v>
      </c>
      <c r="AF6" s="79">
        <f>ROUND(VLOOKUP(AF1,'Purchases and Sales Data'!$A:$R,13,FALSE),2)</f>
        <v>6057</v>
      </c>
      <c r="AG6" s="80">
        <f>ROUND(VLOOKUP(AG1,'Purchases and Sales Data'!$A:$R,13,FALSE),2)</f>
        <v>6789</v>
      </c>
      <c r="AH6" s="134">
        <f>ROUND(VLOOKUP(AH1,'Purchases and Sales Data'!$A:$R,13,FALSE),2)</f>
        <v>4770</v>
      </c>
      <c r="AI6" s="79">
        <f>ROUND(VLOOKUP(AI1,'Purchases and Sales Data'!$A:$R,13,FALSE),2)</f>
        <v>4922</v>
      </c>
      <c r="AJ6" s="80">
        <f>ROUND(VLOOKUP(AJ1,'Purchases and Sales Data'!$A:$R,13,FALSE),2)</f>
        <v>2070</v>
      </c>
      <c r="AK6" s="134">
        <f>ROUND(VLOOKUP(AK1,'Purchases and Sales Data'!$A:$R,13,FALSE),2)</f>
        <v>2092</v>
      </c>
      <c r="AL6" s="79">
        <f>ROUND(VLOOKUP(AL1,'Purchases and Sales Data'!$A:$R,13,FALSE),2)</f>
        <v>1980</v>
      </c>
      <c r="AM6" s="80">
        <f>ROUND(VLOOKUP(AM1,'Purchases and Sales Data'!$A:$R,13,FALSE),2)</f>
        <v>1890</v>
      </c>
      <c r="AN6" s="134">
        <f>ROUND(VLOOKUP(AN1,'Purchases and Sales Data'!$A:$R,13,FALSE),2)</f>
        <v>0</v>
      </c>
      <c r="AO6" s="79">
        <f>ROUND(VLOOKUP(AO1,'Purchases and Sales Data'!$A:$R,13,FALSE),2)</f>
        <v>0</v>
      </c>
      <c r="AP6" s="80">
        <f>ROUND(VLOOKUP(AP1,'Purchases and Sales Data'!$A:$R,13,FALSE),2)</f>
        <v>0</v>
      </c>
    </row>
    <row r="7" spans="1:42" x14ac:dyDescent="0.25">
      <c r="B7" s="5" t="s">
        <v>16</v>
      </c>
      <c r="C7" s="108" t="s">
        <v>17</v>
      </c>
      <c r="D7" s="107" t="s">
        <v>12</v>
      </c>
      <c r="E7" s="7" t="s">
        <v>15</v>
      </c>
      <c r="F7" s="173"/>
      <c r="G7" s="50">
        <f>ROUND(VLOOKUP(G1,'Purchases and Sales Data'!$A:$R,16,FALSE),2)</f>
        <v>5578.23</v>
      </c>
      <c r="H7" s="51">
        <f>ROUND(VLOOKUP(H1,'Purchases and Sales Data'!$A:$R,16,FALSE),2)</f>
        <v>4258.92</v>
      </c>
      <c r="I7" s="59">
        <f>ROUND(VLOOKUP(I1,'Purchases and Sales Data'!$A:$R,16,FALSE),2)</f>
        <v>4208.99</v>
      </c>
      <c r="J7" s="50">
        <f>ROUND(VLOOKUP(J1,'Purchases and Sales Data'!$A:$R,16,FALSE),2)</f>
        <v>3001.71</v>
      </c>
      <c r="K7" s="51">
        <f>ROUND(VLOOKUP(K1,'Purchases and Sales Data'!$A:$R,16,FALSE),2)</f>
        <v>3757.82</v>
      </c>
      <c r="L7" s="59">
        <f>ROUND(VLOOKUP(L1,'Purchases and Sales Data'!$A:$R,16,FALSE),2)</f>
        <v>567.09</v>
      </c>
      <c r="M7" s="50">
        <f>ROUND(VLOOKUP(M1,'Purchases and Sales Data'!$A:$R,16,FALSE),2)</f>
        <v>1776.4</v>
      </c>
      <c r="N7" s="51">
        <f>ROUND(VLOOKUP(N1,'Purchases and Sales Data'!$A:$R,16,FALSE),2)</f>
        <v>2782.6</v>
      </c>
      <c r="O7" s="59">
        <f>ROUND(VLOOKUP(O1,'Purchases and Sales Data'!$A:$R,16,FALSE),2)</f>
        <v>1117.23</v>
      </c>
      <c r="P7" s="50">
        <f>ROUND(VLOOKUP(P1,'Purchases and Sales Data'!$A:$R,16,FALSE),2)</f>
        <v>1468.18</v>
      </c>
      <c r="Q7" s="51">
        <f>ROUND(VLOOKUP(Q1,'Purchases and Sales Data'!$A:$R,16,FALSE),2)</f>
        <v>3940.48</v>
      </c>
      <c r="R7" s="59">
        <f>ROUND(VLOOKUP(R1,'Purchases and Sales Data'!$A:$R,16,FALSE),2)</f>
        <v>5133.55</v>
      </c>
      <c r="S7" s="50">
        <f>ROUND(VLOOKUP(S1,'Purchases and Sales Data'!$A:$R,16,FALSE),2)</f>
        <v>7988.64</v>
      </c>
      <c r="T7" s="51">
        <f>ROUND(VLOOKUP(T1,'Purchases and Sales Data'!$A:$R,16,FALSE),2)</f>
        <v>4552.4799999999996</v>
      </c>
      <c r="U7" s="59">
        <f>ROUND(VLOOKUP(U1,'Purchases and Sales Data'!$A:$R,16,FALSE),2)</f>
        <v>3348.38</v>
      </c>
      <c r="V7" s="50">
        <f>ROUND(VLOOKUP(V1,'Purchases and Sales Data'!$A:$R,16,FALSE),2)</f>
        <v>1986.27</v>
      </c>
      <c r="W7" s="51">
        <f>ROUND(VLOOKUP(W1,'Purchases and Sales Data'!$A:$R,16,FALSE),2)</f>
        <v>3055.27</v>
      </c>
      <c r="X7" s="59">
        <f>ROUND(VLOOKUP(X1,'Purchases and Sales Data'!$A:$R,16,FALSE),2)</f>
        <v>587.09</v>
      </c>
      <c r="Y7" s="50">
        <f>ROUND(VLOOKUP(Y1,'Purchases and Sales Data'!$A:$R,16,FALSE),2)</f>
        <v>420.01</v>
      </c>
      <c r="Z7" s="51">
        <f>ROUND(VLOOKUP(Z1,'Purchases and Sales Data'!$A:$R,16,FALSE),2)</f>
        <v>3598.4</v>
      </c>
      <c r="AA7" s="59">
        <f>ROUND(VLOOKUP(AA1,'Purchases and Sales Data'!$A:$R,16,FALSE),2)</f>
        <v>570.1</v>
      </c>
      <c r="AB7" s="50">
        <f>ROUND(VLOOKUP(AB1,'Purchases and Sales Data'!$A:$R,16,FALSE),2)</f>
        <v>1175.1300000000001</v>
      </c>
      <c r="AC7" s="51">
        <f>ROUND(VLOOKUP(AC1,'Purchases and Sales Data'!$A:$R,16,FALSE),2)</f>
        <v>2833.27</v>
      </c>
      <c r="AD7" s="59">
        <f>ROUND(VLOOKUP(AD1,'Purchases and Sales Data'!$A:$R,16,FALSE),2)</f>
        <v>5852.68</v>
      </c>
      <c r="AE7" s="50">
        <f>ROUND(VLOOKUP(AE1,'Purchases and Sales Data'!$A:$R,16,FALSE),2)</f>
        <v>8940.01</v>
      </c>
      <c r="AF7" s="51">
        <f>ROUND(VLOOKUP(AF1,'Purchases and Sales Data'!$A:$R,16,FALSE),2)</f>
        <v>6074.72</v>
      </c>
      <c r="AG7" s="59">
        <f>ROUND(VLOOKUP(AG1,'Purchases and Sales Data'!$A:$R,16,FALSE),2)</f>
        <v>3462.35</v>
      </c>
      <c r="AH7" s="50">
        <f>ROUND(VLOOKUP(AH1,'Purchases and Sales Data'!$A:$R,16,FALSE),2)</f>
        <v>1646.19</v>
      </c>
      <c r="AI7" s="51">
        <f>ROUND(VLOOKUP(AI1,'Purchases and Sales Data'!$A:$R,16,FALSE),2)</f>
        <v>870.12</v>
      </c>
      <c r="AJ7" s="59">
        <f>ROUND(VLOOKUP(AJ1,'Purchases and Sales Data'!$A:$R,16,FALSE),2)</f>
        <v>232.01</v>
      </c>
      <c r="AK7" s="50">
        <f>ROUND(VLOOKUP(AK1,'Purchases and Sales Data'!$A:$R,16,FALSE),2)</f>
        <v>1709.2</v>
      </c>
      <c r="AL7" s="51">
        <f>ROUND(VLOOKUP(AL1,'Purchases and Sales Data'!$A:$R,16,FALSE),2)</f>
        <v>2393.25</v>
      </c>
      <c r="AM7" s="59">
        <f>ROUND(VLOOKUP(AM1,'Purchases and Sales Data'!$A:$R,16,FALSE),2)</f>
        <v>8</v>
      </c>
      <c r="AN7" s="50">
        <f>ROUND(VLOOKUP(AN1,'Purchases and Sales Data'!$A:$R,16,FALSE),2)</f>
        <v>0</v>
      </c>
      <c r="AO7" s="51">
        <f>ROUND(VLOOKUP(AO1,'Purchases and Sales Data'!$A:$R,16,FALSE),2)</f>
        <v>0</v>
      </c>
      <c r="AP7" s="59">
        <f>ROUND(VLOOKUP(AP1,'Purchases and Sales Data'!$A:$R,16,FALSE),2)</f>
        <v>0</v>
      </c>
    </row>
    <row r="8" spans="1:42" x14ac:dyDescent="0.25">
      <c r="B8" s="8" t="s">
        <v>18</v>
      </c>
      <c r="C8" s="109" t="s">
        <v>19</v>
      </c>
      <c r="D8" s="109" t="s">
        <v>20</v>
      </c>
      <c r="E8" s="7" t="s">
        <v>15</v>
      </c>
      <c r="F8" s="173"/>
      <c r="G8" s="134">
        <f>G6-G7</f>
        <v>-159.22999999999956</v>
      </c>
      <c r="H8" s="79">
        <f t="shared" ref="H8:O8" si="25">H6-H7</f>
        <v>1876.08</v>
      </c>
      <c r="I8" s="80">
        <f t="shared" si="25"/>
        <v>-2048.9899999999998</v>
      </c>
      <c r="J8" s="134">
        <f t="shared" si="25"/>
        <v>1768.29</v>
      </c>
      <c r="K8" s="79">
        <f t="shared" si="25"/>
        <v>1171.1799999999998</v>
      </c>
      <c r="L8" s="80">
        <f t="shared" si="25"/>
        <v>4202.91</v>
      </c>
      <c r="M8" s="134">
        <f t="shared" si="25"/>
        <v>3152.6</v>
      </c>
      <c r="N8" s="79">
        <f t="shared" si="25"/>
        <v>2146.4</v>
      </c>
      <c r="O8" s="80">
        <f t="shared" si="25"/>
        <v>3652.77</v>
      </c>
      <c r="P8" s="134">
        <f t="shared" ref="P8" si="26">P6-P7</f>
        <v>3460.8199999999997</v>
      </c>
      <c r="Q8" s="79">
        <f t="shared" ref="Q8" si="27">Q6-Q7</f>
        <v>-2590.48</v>
      </c>
      <c r="R8" s="80">
        <f t="shared" ref="R8" si="28">R6-R7</f>
        <v>-3783.55</v>
      </c>
      <c r="S8" s="134">
        <f t="shared" ref="S8" si="29">S6-S7</f>
        <v>-5851.64</v>
      </c>
      <c r="T8" s="79">
        <f t="shared" ref="T8" si="30">T6-T7</f>
        <v>-2505.4799999999996</v>
      </c>
      <c r="U8" s="80">
        <f t="shared" ref="U8" si="31">U6-U7</f>
        <v>-1188.3800000000001</v>
      </c>
      <c r="V8" s="134">
        <f t="shared" ref="V8" si="32">V6-V7</f>
        <v>-6.2699999999999818</v>
      </c>
      <c r="W8" s="79">
        <f t="shared" ref="W8" si="33">W6-W7</f>
        <v>-985.27</v>
      </c>
      <c r="X8" s="80">
        <f t="shared" ref="X8" si="34">X6-X7</f>
        <v>1482.9099999999999</v>
      </c>
      <c r="Y8" s="134">
        <f t="shared" ref="Y8" si="35">Y6-Y7</f>
        <v>1672.99</v>
      </c>
      <c r="Z8" s="79">
        <f t="shared" ref="Z8" si="36">Z6-Z7</f>
        <v>-1618.4</v>
      </c>
      <c r="AA8" s="80">
        <f t="shared" ref="AA8" si="37">AA6-AA7</f>
        <v>1319.9</v>
      </c>
      <c r="AB8" s="134">
        <f t="shared" ref="AB8" si="38">AB6-AB7</f>
        <v>760.86999999999989</v>
      </c>
      <c r="AC8" s="79">
        <f t="shared" ref="AC8" si="39">AC6-AC7</f>
        <v>-1483.27</v>
      </c>
      <c r="AD8" s="80">
        <f t="shared" ref="AD8" si="40">AD6-AD7</f>
        <v>-4502.68</v>
      </c>
      <c r="AE8" s="134">
        <f t="shared" ref="AE8" si="41">AE6-AE7</f>
        <v>-4265.01</v>
      </c>
      <c r="AF8" s="79">
        <f t="shared" ref="AF8" si="42">AF6-AF7</f>
        <v>-17.720000000000255</v>
      </c>
      <c r="AG8" s="80">
        <f t="shared" ref="AG8" si="43">AG6-AG7</f>
        <v>3326.65</v>
      </c>
      <c r="AH8" s="134">
        <f t="shared" ref="AH8" si="44">AH6-AH7</f>
        <v>3123.81</v>
      </c>
      <c r="AI8" s="79">
        <f t="shared" ref="AI8" si="45">AI6-AI7</f>
        <v>4051.88</v>
      </c>
      <c r="AJ8" s="80">
        <f t="shared" ref="AJ8" si="46">AJ6-AJ7</f>
        <v>1837.99</v>
      </c>
      <c r="AK8" s="134">
        <f t="shared" ref="AK8" si="47">AK6-AK7</f>
        <v>382.79999999999995</v>
      </c>
      <c r="AL8" s="79">
        <f t="shared" ref="AL8" si="48">AL6-AL7</f>
        <v>-413.25</v>
      </c>
      <c r="AM8" s="80">
        <f t="shared" ref="AM8" si="49">AM6-AM7</f>
        <v>1882</v>
      </c>
      <c r="AN8" s="134">
        <f t="shared" ref="AN8" si="50">AN6-AN7</f>
        <v>0</v>
      </c>
      <c r="AO8" s="79">
        <f t="shared" ref="AO8" si="51">AO6-AO7</f>
        <v>0</v>
      </c>
      <c r="AP8" s="80">
        <f t="shared" ref="AP8" si="52">AP6-AP7</f>
        <v>0</v>
      </c>
    </row>
    <row r="9" spans="1:42" s="81" customFormat="1" x14ac:dyDescent="0.25">
      <c r="A9" s="68"/>
      <c r="B9" s="9" t="s">
        <v>21</v>
      </c>
      <c r="C9" s="110" t="s">
        <v>22</v>
      </c>
      <c r="D9" s="111" t="s">
        <v>23</v>
      </c>
      <c r="E9" s="7" t="s">
        <v>24</v>
      </c>
      <c r="F9" s="173"/>
      <c r="G9" s="135">
        <f>ROUND(G5/G6,4)</f>
        <v>4.4504000000000001</v>
      </c>
      <c r="H9" s="81">
        <f t="shared" ref="H9:O9" si="53">ROUND(H5/H6,4)</f>
        <v>3.8401999999999998</v>
      </c>
      <c r="I9" s="82">
        <f t="shared" si="53"/>
        <v>4.9301000000000004</v>
      </c>
      <c r="J9" s="135">
        <f t="shared" si="53"/>
        <v>3.5283000000000002</v>
      </c>
      <c r="K9" s="81">
        <f t="shared" si="53"/>
        <v>3.65</v>
      </c>
      <c r="L9" s="82">
        <f t="shared" si="53"/>
        <v>3.0754999999999999</v>
      </c>
      <c r="M9" s="135">
        <f t="shared" si="53"/>
        <v>3.2896000000000001</v>
      </c>
      <c r="N9" s="81">
        <f t="shared" si="53"/>
        <v>3.4651000000000001</v>
      </c>
      <c r="O9" s="82">
        <f t="shared" si="53"/>
        <v>3.1656</v>
      </c>
      <c r="P9" s="135">
        <f t="shared" ref="P9:R9" si="54">ROUND(P5/P6,4)</f>
        <v>3.2216999999999998</v>
      </c>
      <c r="Q9" s="81">
        <f t="shared" si="54"/>
        <v>5.8040000000000003</v>
      </c>
      <c r="R9" s="82">
        <f t="shared" si="54"/>
        <v>6.6</v>
      </c>
      <c r="S9" s="135">
        <f t="shared" ref="S9:U9" si="55">ROUND(S5/S6,4)</f>
        <v>6.5419999999999998</v>
      </c>
      <c r="T9" s="81">
        <f t="shared" si="55"/>
        <v>5.1780999999999997</v>
      </c>
      <c r="U9" s="82">
        <f t="shared" si="55"/>
        <v>4.5712000000000002</v>
      </c>
      <c r="V9" s="135">
        <f t="shared" ref="V9:AJ9" si="56">ROUND(V5/V6,4)</f>
        <v>4.0785999999999998</v>
      </c>
      <c r="W9" s="81">
        <f t="shared" si="56"/>
        <v>4.5044000000000004</v>
      </c>
      <c r="X9" s="82">
        <f t="shared" si="56"/>
        <v>3.4304999999999999</v>
      </c>
      <c r="Y9" s="135">
        <f t="shared" si="56"/>
        <v>3.3557999999999999</v>
      </c>
      <c r="Z9" s="81">
        <f t="shared" si="56"/>
        <v>4.8118999999999996</v>
      </c>
      <c r="AA9" s="82">
        <f t="shared" si="56"/>
        <v>3.4466999999999999</v>
      </c>
      <c r="AB9" s="135">
        <f t="shared" si="56"/>
        <v>3.7218</v>
      </c>
      <c r="AC9" s="81">
        <f t="shared" si="56"/>
        <v>5.0652999999999997</v>
      </c>
      <c r="AD9" s="82">
        <f t="shared" si="56"/>
        <v>7.0797999999999996</v>
      </c>
      <c r="AE9" s="135">
        <f t="shared" si="56"/>
        <v>5.8310000000000004</v>
      </c>
      <c r="AF9" s="81">
        <f t="shared" si="56"/>
        <v>4.5936000000000003</v>
      </c>
      <c r="AG9" s="82">
        <f t="shared" si="56"/>
        <v>4.3559000000000001</v>
      </c>
      <c r="AH9" s="135">
        <f t="shared" si="56"/>
        <v>3.7650999999999999</v>
      </c>
      <c r="AI9" s="81">
        <f t="shared" si="56"/>
        <v>3.4376000000000002</v>
      </c>
      <c r="AJ9" s="82">
        <f t="shared" si="56"/>
        <v>3.5324</v>
      </c>
      <c r="AK9" s="135">
        <f t="shared" ref="AK9:AP9" si="57">ROUND(AK5/AK6,4)</f>
        <v>4.0622999999999996</v>
      </c>
      <c r="AL9" s="81">
        <f t="shared" si="57"/>
        <v>4.5807000000000002</v>
      </c>
      <c r="AM9" s="82">
        <f t="shared" si="57"/>
        <v>3.4485999999999999</v>
      </c>
      <c r="AN9" s="135" t="e">
        <f t="shared" si="57"/>
        <v>#DIV/0!</v>
      </c>
      <c r="AO9" s="81" t="e">
        <f t="shared" si="57"/>
        <v>#DIV/0!</v>
      </c>
      <c r="AP9" s="82" t="e">
        <f t="shared" si="57"/>
        <v>#DIV/0!</v>
      </c>
    </row>
    <row r="10" spans="1:42" x14ac:dyDescent="0.25">
      <c r="B10" s="9"/>
      <c r="C10" s="110"/>
      <c r="D10" s="111"/>
      <c r="E10" s="7"/>
      <c r="F10" s="173"/>
      <c r="G10" s="135"/>
      <c r="H10" s="81"/>
      <c r="I10" s="82"/>
      <c r="J10" s="135"/>
      <c r="K10" s="81"/>
      <c r="L10" s="82"/>
      <c r="M10" s="135"/>
      <c r="N10" s="81"/>
      <c r="O10" s="82"/>
      <c r="P10" s="135"/>
      <c r="Q10" s="81"/>
      <c r="R10" s="82"/>
      <c r="S10" s="135"/>
      <c r="T10" s="81"/>
      <c r="U10" s="82"/>
      <c r="V10" s="135"/>
      <c r="W10" s="81"/>
      <c r="X10" s="82"/>
      <c r="Y10" s="135"/>
      <c r="Z10" s="81"/>
      <c r="AA10" s="82"/>
      <c r="AB10" s="135"/>
      <c r="AC10" s="81"/>
      <c r="AD10" s="82"/>
      <c r="AE10" s="135"/>
      <c r="AF10" s="81"/>
      <c r="AG10" s="82"/>
      <c r="AH10" s="135"/>
      <c r="AI10" s="81"/>
      <c r="AJ10" s="82"/>
      <c r="AK10" s="135"/>
      <c r="AL10" s="81"/>
      <c r="AM10" s="82"/>
      <c r="AN10" s="135"/>
      <c r="AO10" s="81"/>
      <c r="AP10" s="82"/>
    </row>
    <row r="11" spans="1:42" x14ac:dyDescent="0.25">
      <c r="B11" s="112" t="s">
        <v>25</v>
      </c>
      <c r="C11" s="113" t="s">
        <v>26</v>
      </c>
      <c r="D11" s="111" t="s">
        <v>27</v>
      </c>
      <c r="E11" s="7" t="s">
        <v>3</v>
      </c>
      <c r="F11" s="173"/>
      <c r="G11" s="136">
        <f>D46</f>
        <v>30544.97</v>
      </c>
      <c r="H11" s="83">
        <f>G14</f>
        <v>30172.388754933356</v>
      </c>
      <c r="I11" s="84">
        <f>H14</f>
        <v>37376.911170933352</v>
      </c>
      <c r="J11" s="136">
        <f>J46</f>
        <v>32192.042512722706</v>
      </c>
      <c r="K11" s="83">
        <f>J14</f>
        <v>38431.100119722709</v>
      </c>
      <c r="L11" s="84">
        <f>K14</f>
        <v>42705.907119722709</v>
      </c>
      <c r="M11" s="136">
        <f>M46</f>
        <v>55631.956824722707</v>
      </c>
      <c r="N11" s="83">
        <f>M14</f>
        <v>66002.749784722706</v>
      </c>
      <c r="O11" s="84">
        <f>N14</f>
        <v>73440.24042472271</v>
      </c>
      <c r="P11" s="136">
        <f>P46</f>
        <v>85003.449136722717</v>
      </c>
      <c r="Q11" s="83">
        <f>P14</f>
        <v>96153.172930722707</v>
      </c>
      <c r="R11" s="84">
        <f>Q14</f>
        <v>88436.093173708825</v>
      </c>
      <c r="S11" s="136">
        <f>S46</f>
        <v>77164.839539382403</v>
      </c>
      <c r="T11" s="83">
        <f>S14</f>
        <v>59732.713991479024</v>
      </c>
      <c r="U11" s="84">
        <f>T14</f>
        <v>52268.850541615233</v>
      </c>
      <c r="V11" s="136">
        <f>V46</f>
        <v>48728.64824642663</v>
      </c>
      <c r="W11" s="83">
        <f>V14</f>
        <v>48709.969820005084</v>
      </c>
      <c r="X11" s="84">
        <f>W14</f>
        <v>45774.835338290082</v>
      </c>
      <c r="Y11" s="136">
        <f>Y46</f>
        <v>50861.958093290079</v>
      </c>
      <c r="Z11" s="83">
        <f>Y14</f>
        <v>56476.177935290078</v>
      </c>
      <c r="AA11" s="84">
        <f>Z14</f>
        <v>51541.358574040954</v>
      </c>
      <c r="AB11" s="136">
        <f>AB46</f>
        <v>56090.657904040956</v>
      </c>
      <c r="AC11" s="83">
        <f>AB14</f>
        <v>58922.463870040956</v>
      </c>
      <c r="AD11" s="84">
        <f>AC14</f>
        <v>54318.703604991038</v>
      </c>
      <c r="AE11" s="136">
        <f>AE46</f>
        <v>40343.325372953055</v>
      </c>
      <c r="AF11" s="83">
        <f>AE14</f>
        <v>27105.625178085931</v>
      </c>
      <c r="AG11" s="84">
        <f>AF14</f>
        <v>27050.625999314241</v>
      </c>
      <c r="AH11" s="136">
        <f>AH46</f>
        <v>41541.180734314243</v>
      </c>
      <c r="AI11" s="83">
        <f>AH14</f>
        <v>53302.637765314241</v>
      </c>
      <c r="AJ11" s="84">
        <f>AI14</f>
        <v>67231.380453314239</v>
      </c>
      <c r="AK11" s="136">
        <f>AK46</f>
        <v>73723.896329314244</v>
      </c>
      <c r="AL11" s="83">
        <f>AK14</f>
        <v>75278.944769314243</v>
      </c>
      <c r="AM11" s="84">
        <f>AL14</f>
        <v>73827.86130043403</v>
      </c>
      <c r="AN11" s="136">
        <f>AN46</f>
        <v>80318.126500434024</v>
      </c>
      <c r="AO11" s="83">
        <f>AN14</f>
        <v>80318.126500434024</v>
      </c>
      <c r="AP11" s="84">
        <f>AO14</f>
        <v>80318.126500434024</v>
      </c>
    </row>
    <row r="12" spans="1:42" s="181" customFormat="1" x14ac:dyDescent="0.25">
      <c r="A12" s="68"/>
      <c r="B12" s="10" t="s">
        <v>28</v>
      </c>
      <c r="C12" s="107" t="s">
        <v>29</v>
      </c>
      <c r="D12" s="107" t="s">
        <v>30</v>
      </c>
      <c r="E12" s="7" t="s">
        <v>3</v>
      </c>
      <c r="F12" s="173"/>
      <c r="G12" s="52">
        <f>IF(G8&gt;0,(ABS(G8)*G9),0)</f>
        <v>0</v>
      </c>
      <c r="H12" s="53">
        <f t="shared" ref="H12:I12" si="58">IF(H8&gt;0,(ABS(H8)*H9),0)</f>
        <v>7204.5224159999998</v>
      </c>
      <c r="I12" s="54">
        <f t="shared" si="58"/>
        <v>0</v>
      </c>
      <c r="J12" s="52">
        <f>IF(J8&gt;0,(ABS(J8)*J9),0)</f>
        <v>6239.0576070000006</v>
      </c>
      <c r="K12" s="53">
        <f t="shared" ref="K12:L12" si="59">IF(K8&gt;0,(ABS(K8)*K9),0)</f>
        <v>4274.8069999999989</v>
      </c>
      <c r="L12" s="54">
        <f t="shared" si="59"/>
        <v>12926.049704999999</v>
      </c>
      <c r="M12" s="52">
        <f>IF(M8&gt;0,(ABS(M8)*M9),0)</f>
        <v>10370.792960000001</v>
      </c>
      <c r="N12" s="53">
        <f t="shared" ref="N12:O12" si="60">IF(N8&gt;0,(ABS(N8)*N9),0)</f>
        <v>7437.4906400000009</v>
      </c>
      <c r="O12" s="54">
        <f t="shared" si="60"/>
        <v>11563.208712</v>
      </c>
      <c r="P12" s="52">
        <f>IF(P8&gt;0,(ABS(P8)*P9),0)</f>
        <v>11149.723793999998</v>
      </c>
      <c r="Q12" s="53">
        <f t="shared" ref="Q12:R12" si="61">IF(Q8&gt;0,(ABS(Q8)*Q9),0)</f>
        <v>0</v>
      </c>
      <c r="R12" s="54">
        <f t="shared" si="61"/>
        <v>0</v>
      </c>
      <c r="S12" s="52">
        <f>IF(S8&gt;0,(ABS(S8)*S9),0)</f>
        <v>0</v>
      </c>
      <c r="T12" s="53">
        <f t="shared" ref="T12:U12" si="62">IF(T8&gt;0,(ABS(T8)*T9),0)</f>
        <v>0</v>
      </c>
      <c r="U12" s="54">
        <f t="shared" si="62"/>
        <v>0</v>
      </c>
      <c r="V12" s="52">
        <f>IF(V8&gt;0,(ABS(V8)*V9),0)</f>
        <v>0</v>
      </c>
      <c r="W12" s="53">
        <f t="shared" ref="W12:X12" si="63">IF(W8&gt;0,(ABS(W8)*W9),0)</f>
        <v>0</v>
      </c>
      <c r="X12" s="54">
        <f t="shared" si="63"/>
        <v>5087.1227549999994</v>
      </c>
      <c r="Y12" s="52">
        <f>IF(Y8&gt;0,(ABS(Y8)*Y9),0)</f>
        <v>5614.2198419999995</v>
      </c>
      <c r="Z12" s="53">
        <f t="shared" ref="Z12:AA12" si="64">IF(Z8&gt;0,(ABS(Z8)*Z9),0)</f>
        <v>0</v>
      </c>
      <c r="AA12" s="54">
        <f t="shared" si="64"/>
        <v>4549.2993299999998</v>
      </c>
      <c r="AB12" s="52">
        <f>IF(AB8&gt;0,(ABS(AB8)*AB9),0)</f>
        <v>2831.8059659999994</v>
      </c>
      <c r="AC12" s="53">
        <f t="shared" ref="AC12:AD12" si="65">IF(AC8&gt;0,(ABS(AC8)*AC9),0)</f>
        <v>0</v>
      </c>
      <c r="AD12" s="54">
        <f t="shared" si="65"/>
        <v>0</v>
      </c>
      <c r="AE12" s="52">
        <f>IF(AE8&gt;0,(ABS(AE8)*AE9),0)</f>
        <v>0</v>
      </c>
      <c r="AF12" s="53">
        <f t="shared" ref="AF12:AG12" si="66">IF(AF8&gt;0,(ABS(AF8)*AF9),0)</f>
        <v>0</v>
      </c>
      <c r="AG12" s="54">
        <f t="shared" si="66"/>
        <v>14490.554735000002</v>
      </c>
      <c r="AH12" s="52">
        <f>IF(AH8&gt;0,(ABS(AH8)*AH9),0)</f>
        <v>11761.457031</v>
      </c>
      <c r="AI12" s="53">
        <f t="shared" ref="AI12:AJ12" si="67">IF(AI8&gt;0,(ABS(AI8)*AI9),0)</f>
        <v>13928.742688000002</v>
      </c>
      <c r="AJ12" s="54">
        <f t="shared" si="67"/>
        <v>6492.5158760000004</v>
      </c>
      <c r="AK12" s="52">
        <f>IF(AK8&gt;0,(ABS(AK8)*AK9),0)</f>
        <v>1555.0484399999996</v>
      </c>
      <c r="AL12" s="53">
        <f t="shared" ref="AL12:AM12" si="68">IF(AL8&gt;0,(ABS(AL8)*AL9),0)</f>
        <v>0</v>
      </c>
      <c r="AM12" s="54">
        <f t="shared" si="68"/>
        <v>6490.2651999999998</v>
      </c>
      <c r="AN12" s="52">
        <f>IF(AN8&gt;0,(ABS(AN8)*AN9),0)</f>
        <v>0</v>
      </c>
      <c r="AO12" s="53">
        <f t="shared" ref="AO12:AP12" si="69">IF(AO8&gt;0,(ABS(AO8)*AO9),0)</f>
        <v>0</v>
      </c>
      <c r="AP12" s="54">
        <f t="shared" si="69"/>
        <v>0</v>
      </c>
    </row>
    <row r="13" spans="1:42" s="181" customFormat="1" x14ac:dyDescent="0.25">
      <c r="A13" s="68"/>
      <c r="B13" s="10" t="s">
        <v>31</v>
      </c>
      <c r="C13" s="114" t="s">
        <v>32</v>
      </c>
      <c r="D13" s="107" t="s">
        <v>33</v>
      </c>
      <c r="E13" s="7" t="s">
        <v>3</v>
      </c>
      <c r="F13" s="173"/>
      <c r="G13" s="52">
        <f>IF(G8&lt;0,((ABS(G8)*(G11/G16)*-1)),0)</f>
        <v>-372.58124506664524</v>
      </c>
      <c r="H13" s="53">
        <f t="shared" ref="H13:I13" si="70">IF(H8&lt;0,((ABS(H8)*(H11/H16)*-1)),0)</f>
        <v>0</v>
      </c>
      <c r="I13" s="54">
        <f t="shared" si="70"/>
        <v>-5184.8686582106457</v>
      </c>
      <c r="J13" s="52">
        <f>IF(J8&lt;0,((ABS(J8)*(J11/J16)*-1)),0)</f>
        <v>0</v>
      </c>
      <c r="K13" s="53">
        <f t="shared" ref="K13:L13" si="71">IF(K8&lt;0,((ABS(K8)*(K11/K16)*-1)),0)</f>
        <v>0</v>
      </c>
      <c r="L13" s="54">
        <f t="shared" si="71"/>
        <v>0</v>
      </c>
      <c r="M13" s="52">
        <f>IF(M8&lt;0,((ABS(M8)*(M11/M16)*-1)),0)</f>
        <v>0</v>
      </c>
      <c r="N13" s="53">
        <f t="shared" ref="N13:O13" si="72">IF(N8&lt;0,((ABS(N8)*(N11/N16)*-1)),0)</f>
        <v>0</v>
      </c>
      <c r="O13" s="54">
        <f t="shared" si="72"/>
        <v>0</v>
      </c>
      <c r="P13" s="52">
        <f>IF(P8&lt;0,((ABS(P8)*(P11/P16)*-1)),0)</f>
        <v>0</v>
      </c>
      <c r="Q13" s="53">
        <f t="shared" ref="Q13:R13" si="73">IF(Q8&lt;0,((ABS(Q8)*(Q11/Q16)*-1)),0)</f>
        <v>-7717.0797570138866</v>
      </c>
      <c r="R13" s="54">
        <f t="shared" si="73"/>
        <v>-11271.253634326416</v>
      </c>
      <c r="S13" s="52">
        <f>IF(S8&lt;0,((ABS(S8)*(S11/S16)*-1)),0)</f>
        <v>-17432.125547903379</v>
      </c>
      <c r="T13" s="53">
        <f t="shared" ref="T13:U13" si="74">IF(T8&lt;0,((ABS(T8)*(T11/T16)*-1)),0)</f>
        <v>-7463.8634498637884</v>
      </c>
      <c r="U13" s="54">
        <f t="shared" si="74"/>
        <v>-3540.2022951885992</v>
      </c>
      <c r="V13" s="52">
        <f>IF(V8&lt;0,((ABS(V8)*(V11/V16)*-1)),0)</f>
        <v>-18.678426421542309</v>
      </c>
      <c r="W13" s="53">
        <f t="shared" ref="W13:X13" si="75">IF(W8&lt;0,((ABS(W8)*(W11/W16)*-1)),0)</f>
        <v>-2935.1344817149993</v>
      </c>
      <c r="X13" s="54">
        <f t="shared" si="75"/>
        <v>0</v>
      </c>
      <c r="Y13" s="52">
        <f>IF(Y8&lt;0,((ABS(Y8)*(Y11/Y16)*-1)),0)</f>
        <v>0</v>
      </c>
      <c r="Z13" s="53">
        <f t="shared" ref="Z13:AA13" si="76">IF(Z8&lt;0,((ABS(Z8)*(Z11/Z16)*-1)),0)</f>
        <v>-4934.8193612491241</v>
      </c>
      <c r="AA13" s="54">
        <f t="shared" si="76"/>
        <v>0</v>
      </c>
      <c r="AB13" s="52">
        <f>IF(AB8&lt;0,((ABS(AB8)*(AB11/AB16)*-1)),0)</f>
        <v>0</v>
      </c>
      <c r="AC13" s="53">
        <f t="shared" ref="AC13:AD13" si="77">IF(AC8&lt;0,((ABS(AC8)*(AC11/AC16)*-1)),0)</f>
        <v>-4603.7602650499202</v>
      </c>
      <c r="AD13" s="54">
        <f t="shared" si="77"/>
        <v>-13975.378232037981</v>
      </c>
      <c r="AE13" s="52">
        <f>IF(AE8&lt;0,((ABS(AE8)*(AE11/AE16)*-1)),0)</f>
        <v>-13237.700194867126</v>
      </c>
      <c r="AF13" s="53">
        <f t="shared" ref="AF13:AG13" si="78">IF(AF8&lt;0,((ABS(AF8)*(AF11/AF16)*-1)),0)</f>
        <v>-54.999178771690765</v>
      </c>
      <c r="AG13" s="54">
        <f t="shared" si="78"/>
        <v>0</v>
      </c>
      <c r="AH13" s="52">
        <f>IF(AH8&lt;0,((ABS(AH8)*(AH11/AH16)*-1)),0)</f>
        <v>0</v>
      </c>
      <c r="AI13" s="53">
        <f t="shared" ref="AI13:AJ13" si="79">IF(AI8&lt;0,((ABS(AI8)*(AI11/AI16)*-1)),0)</f>
        <v>0</v>
      </c>
      <c r="AJ13" s="54">
        <f t="shared" si="79"/>
        <v>0</v>
      </c>
      <c r="AK13" s="52">
        <f>IF(AK8&lt;0,((ABS(AK8)*(AK11/AK16)*-1)),0)</f>
        <v>0</v>
      </c>
      <c r="AL13" s="53">
        <f t="shared" ref="AL13:AM13" si="80">IF(AL8&lt;0,((ABS(AL8)*(AL11/AL16)*-1)),0)</f>
        <v>-1451.0834688802147</v>
      </c>
      <c r="AM13" s="54">
        <f t="shared" si="80"/>
        <v>0</v>
      </c>
      <c r="AN13" s="52">
        <f>IF(AN8&lt;0,((ABS(AN8)*(AN11/AN16)*-1)),0)</f>
        <v>0</v>
      </c>
      <c r="AO13" s="53">
        <f t="shared" ref="AO13:AP13" si="81">IF(AO8&lt;0,((ABS(AO8)*(AO11/AO16)*-1)),0)</f>
        <v>0</v>
      </c>
      <c r="AP13" s="54">
        <f t="shared" si="81"/>
        <v>0</v>
      </c>
    </row>
    <row r="14" spans="1:42" x14ac:dyDescent="0.25">
      <c r="B14" s="112" t="s">
        <v>34</v>
      </c>
      <c r="C14" s="114" t="s">
        <v>35</v>
      </c>
      <c r="D14" s="107" t="s">
        <v>36</v>
      </c>
      <c r="E14" s="7" t="s">
        <v>3</v>
      </c>
      <c r="F14" s="173"/>
      <c r="G14" s="136">
        <f t="shared" ref="G14:O14" si="82">SUM(G11:G13)</f>
        <v>30172.388754933356</v>
      </c>
      <c r="H14" s="83">
        <f t="shared" si="82"/>
        <v>37376.911170933352</v>
      </c>
      <c r="I14" s="84">
        <f t="shared" si="82"/>
        <v>32192.042512722706</v>
      </c>
      <c r="J14" s="136">
        <f t="shared" si="82"/>
        <v>38431.100119722709</v>
      </c>
      <c r="K14" s="83">
        <f t="shared" si="82"/>
        <v>42705.907119722709</v>
      </c>
      <c r="L14" s="84">
        <f t="shared" si="82"/>
        <v>55631.956824722707</v>
      </c>
      <c r="M14" s="136">
        <f t="shared" si="82"/>
        <v>66002.749784722706</v>
      </c>
      <c r="N14" s="83">
        <f t="shared" si="82"/>
        <v>73440.24042472271</v>
      </c>
      <c r="O14" s="84">
        <f t="shared" si="82"/>
        <v>85003.449136722717</v>
      </c>
      <c r="P14" s="136">
        <f t="shared" ref="P14" si="83">SUM(P11:P13)</f>
        <v>96153.172930722707</v>
      </c>
      <c r="Q14" s="83">
        <f t="shared" ref="Q14" si="84">SUM(Q11:Q13)</f>
        <v>88436.093173708825</v>
      </c>
      <c r="R14" s="84">
        <f t="shared" ref="R14" si="85">SUM(R11:R13)</f>
        <v>77164.839539382403</v>
      </c>
      <c r="S14" s="136">
        <f t="shared" ref="S14" si="86">SUM(S11:S13)</f>
        <v>59732.713991479024</v>
      </c>
      <c r="T14" s="83">
        <f t="shared" ref="T14" si="87">SUM(T11:T13)</f>
        <v>52268.850541615233</v>
      </c>
      <c r="U14" s="84">
        <f t="shared" ref="U14" si="88">SUM(U11:U13)</f>
        <v>48728.64824642663</v>
      </c>
      <c r="V14" s="136">
        <f t="shared" ref="V14" si="89">SUM(V11:V13)</f>
        <v>48709.969820005084</v>
      </c>
      <c r="W14" s="83">
        <f t="shared" ref="W14" si="90">SUM(W11:W13)</f>
        <v>45774.835338290082</v>
      </c>
      <c r="X14" s="84">
        <f t="shared" ref="X14" si="91">SUM(X11:X13)</f>
        <v>50861.958093290079</v>
      </c>
      <c r="Y14" s="136">
        <f t="shared" ref="Y14" si="92">SUM(Y11:Y13)</f>
        <v>56476.177935290078</v>
      </c>
      <c r="Z14" s="83">
        <f t="shared" ref="Z14" si="93">SUM(Z11:Z13)</f>
        <v>51541.358574040954</v>
      </c>
      <c r="AA14" s="84">
        <f t="shared" ref="AA14" si="94">SUM(AA11:AA13)</f>
        <v>56090.657904040956</v>
      </c>
      <c r="AB14" s="136">
        <f t="shared" ref="AB14" si="95">SUM(AB11:AB13)</f>
        <v>58922.463870040956</v>
      </c>
      <c r="AC14" s="83">
        <f t="shared" ref="AC14" si="96">SUM(AC11:AC13)</f>
        <v>54318.703604991038</v>
      </c>
      <c r="AD14" s="84">
        <f t="shared" ref="AD14" si="97">SUM(AD11:AD13)</f>
        <v>40343.325372953055</v>
      </c>
      <c r="AE14" s="136">
        <f t="shared" ref="AE14" si="98">SUM(AE11:AE13)</f>
        <v>27105.625178085931</v>
      </c>
      <c r="AF14" s="83">
        <f t="shared" ref="AF14" si="99">SUM(AF11:AF13)</f>
        <v>27050.625999314241</v>
      </c>
      <c r="AG14" s="84">
        <f t="shared" ref="AG14" si="100">SUM(AG11:AG13)</f>
        <v>41541.180734314243</v>
      </c>
      <c r="AH14" s="136">
        <f t="shared" ref="AH14" si="101">SUM(AH11:AH13)</f>
        <v>53302.637765314241</v>
      </c>
      <c r="AI14" s="83">
        <f t="shared" ref="AI14" si="102">SUM(AI11:AI13)</f>
        <v>67231.380453314239</v>
      </c>
      <c r="AJ14" s="84">
        <f t="shared" ref="AJ14" si="103">SUM(AJ11:AJ13)</f>
        <v>73723.896329314244</v>
      </c>
      <c r="AK14" s="136">
        <f t="shared" ref="AK14" si="104">SUM(AK11:AK13)</f>
        <v>75278.944769314243</v>
      </c>
      <c r="AL14" s="83">
        <f t="shared" ref="AL14" si="105">SUM(AL11:AL13)</f>
        <v>73827.86130043403</v>
      </c>
      <c r="AM14" s="84">
        <f t="shared" ref="AM14" si="106">SUM(AM11:AM13)</f>
        <v>80318.126500434024</v>
      </c>
      <c r="AN14" s="136">
        <f t="shared" ref="AN14" si="107">SUM(AN11:AN13)</f>
        <v>80318.126500434024</v>
      </c>
      <c r="AO14" s="83">
        <f t="shared" ref="AO14" si="108">SUM(AO11:AO13)</f>
        <v>80318.126500434024</v>
      </c>
      <c r="AP14" s="84">
        <f t="shared" ref="AP14" si="109">SUM(AP11:AP13)</f>
        <v>80318.126500434024</v>
      </c>
    </row>
    <row r="16" spans="1:42" x14ac:dyDescent="0.25">
      <c r="B16" s="112" t="s">
        <v>37</v>
      </c>
      <c r="C16" s="113" t="s">
        <v>38</v>
      </c>
      <c r="D16" s="111" t="s">
        <v>27</v>
      </c>
      <c r="E16" s="7" t="s">
        <v>15</v>
      </c>
      <c r="F16" s="173"/>
      <c r="G16" s="137">
        <f>D47</f>
        <v>13054</v>
      </c>
      <c r="H16" s="87">
        <f>G19</f>
        <v>12894.77</v>
      </c>
      <c r="I16" s="88">
        <f>H19</f>
        <v>14770.85</v>
      </c>
      <c r="J16" s="137">
        <f>J47</f>
        <v>12721.86</v>
      </c>
      <c r="K16" s="87">
        <f>J19</f>
        <v>14490.150000000001</v>
      </c>
      <c r="L16" s="88">
        <f>K19</f>
        <v>15661.330000000002</v>
      </c>
      <c r="M16" s="137">
        <f>M47</f>
        <v>19864.240000000002</v>
      </c>
      <c r="N16" s="87">
        <f>M19</f>
        <v>23016.84</v>
      </c>
      <c r="O16" s="88">
        <f>N19</f>
        <v>25163.24</v>
      </c>
      <c r="P16" s="137">
        <f>P47</f>
        <v>28816.010000000002</v>
      </c>
      <c r="Q16" s="87">
        <f>P19</f>
        <v>32276.83</v>
      </c>
      <c r="R16" s="88">
        <f>Q19</f>
        <v>29686.350000000002</v>
      </c>
      <c r="S16" s="137">
        <f>S47</f>
        <v>25902.800000000003</v>
      </c>
      <c r="T16" s="87">
        <f>S19</f>
        <v>20051.160000000003</v>
      </c>
      <c r="U16" s="88">
        <f>T19</f>
        <v>17545.680000000004</v>
      </c>
      <c r="V16" s="137">
        <f>V47</f>
        <v>16357.300000000003</v>
      </c>
      <c r="W16" s="87">
        <f>V19</f>
        <v>16351.030000000002</v>
      </c>
      <c r="X16" s="88">
        <f>W19</f>
        <v>15365.760000000002</v>
      </c>
      <c r="Y16" s="137">
        <f>Y47</f>
        <v>16848.670000000002</v>
      </c>
      <c r="Z16" s="87">
        <f>Y19</f>
        <v>18521.660000000003</v>
      </c>
      <c r="AA16" s="88">
        <f>Z19</f>
        <v>16903.260000000002</v>
      </c>
      <c r="AB16" s="137">
        <f>AB47</f>
        <v>18223.160000000003</v>
      </c>
      <c r="AC16" s="87">
        <f>AB19</f>
        <v>18984.030000000002</v>
      </c>
      <c r="AD16" s="88">
        <f>AC19</f>
        <v>17500.760000000002</v>
      </c>
      <c r="AE16" s="137">
        <f>AE47</f>
        <v>12998.080000000002</v>
      </c>
      <c r="AF16" s="87">
        <f>AE19</f>
        <v>8733.0700000000015</v>
      </c>
      <c r="AG16" s="88">
        <f>AF19</f>
        <v>8715.3500000000022</v>
      </c>
      <c r="AH16" s="137">
        <f>AH47</f>
        <v>12042.000000000002</v>
      </c>
      <c r="AI16" s="87">
        <f>AH19</f>
        <v>15165.810000000001</v>
      </c>
      <c r="AJ16" s="88">
        <f>AI19</f>
        <v>19217.690000000002</v>
      </c>
      <c r="AK16" s="137">
        <f>AK47</f>
        <v>21055.680000000004</v>
      </c>
      <c r="AL16" s="87">
        <f>AK19</f>
        <v>21438.480000000003</v>
      </c>
      <c r="AM16" s="88">
        <f>AL19</f>
        <v>21025.230000000003</v>
      </c>
      <c r="AN16" s="137">
        <f>AN47</f>
        <v>22907.230000000003</v>
      </c>
      <c r="AO16" s="87">
        <f>AN19</f>
        <v>22907.230000000003</v>
      </c>
      <c r="AP16" s="88">
        <f>AO19</f>
        <v>22907.230000000003</v>
      </c>
    </row>
    <row r="17" spans="1:43" x14ac:dyDescent="0.25">
      <c r="B17" s="10" t="s">
        <v>28</v>
      </c>
      <c r="C17" s="113" t="s">
        <v>39</v>
      </c>
      <c r="D17" s="107" t="s">
        <v>40</v>
      </c>
      <c r="E17" s="7" t="s">
        <v>15</v>
      </c>
      <c r="F17" s="173"/>
      <c r="G17" s="137">
        <f t="shared" ref="G17:O17" si="110">IF(G8&gt;0,G8,0)</f>
        <v>0</v>
      </c>
      <c r="H17" s="87">
        <f t="shared" si="110"/>
        <v>1876.08</v>
      </c>
      <c r="I17" s="88">
        <f t="shared" si="110"/>
        <v>0</v>
      </c>
      <c r="J17" s="137">
        <f t="shared" si="110"/>
        <v>1768.29</v>
      </c>
      <c r="K17" s="87">
        <f t="shared" si="110"/>
        <v>1171.1799999999998</v>
      </c>
      <c r="L17" s="88">
        <f t="shared" si="110"/>
        <v>4202.91</v>
      </c>
      <c r="M17" s="137">
        <f t="shared" si="110"/>
        <v>3152.6</v>
      </c>
      <c r="N17" s="87">
        <f t="shared" si="110"/>
        <v>2146.4</v>
      </c>
      <c r="O17" s="88">
        <f t="shared" si="110"/>
        <v>3652.77</v>
      </c>
      <c r="P17" s="137">
        <f t="shared" ref="P17:R17" si="111">IF(P8&gt;0,P8,0)</f>
        <v>3460.8199999999997</v>
      </c>
      <c r="Q17" s="87">
        <f t="shared" si="111"/>
        <v>0</v>
      </c>
      <c r="R17" s="88">
        <f t="shared" si="111"/>
        <v>0</v>
      </c>
      <c r="S17" s="137">
        <f t="shared" ref="S17:U17" si="112">IF(S8&gt;0,S8,0)</f>
        <v>0</v>
      </c>
      <c r="T17" s="87">
        <f t="shared" si="112"/>
        <v>0</v>
      </c>
      <c r="U17" s="88">
        <f t="shared" si="112"/>
        <v>0</v>
      </c>
      <c r="V17" s="137">
        <f t="shared" ref="V17:AJ17" si="113">IF(V8&gt;0,V8,0)</f>
        <v>0</v>
      </c>
      <c r="W17" s="87">
        <f t="shared" si="113"/>
        <v>0</v>
      </c>
      <c r="X17" s="88">
        <f t="shared" si="113"/>
        <v>1482.9099999999999</v>
      </c>
      <c r="Y17" s="137">
        <f t="shared" si="113"/>
        <v>1672.99</v>
      </c>
      <c r="Z17" s="87">
        <f t="shared" si="113"/>
        <v>0</v>
      </c>
      <c r="AA17" s="88">
        <f t="shared" si="113"/>
        <v>1319.9</v>
      </c>
      <c r="AB17" s="137">
        <f t="shared" si="113"/>
        <v>760.86999999999989</v>
      </c>
      <c r="AC17" s="87">
        <f t="shared" si="113"/>
        <v>0</v>
      </c>
      <c r="AD17" s="88">
        <f t="shared" si="113"/>
        <v>0</v>
      </c>
      <c r="AE17" s="137">
        <f t="shared" si="113"/>
        <v>0</v>
      </c>
      <c r="AF17" s="87">
        <f t="shared" si="113"/>
        <v>0</v>
      </c>
      <c r="AG17" s="88">
        <f t="shared" si="113"/>
        <v>3326.65</v>
      </c>
      <c r="AH17" s="137">
        <f t="shared" si="113"/>
        <v>3123.81</v>
      </c>
      <c r="AI17" s="87">
        <f t="shared" si="113"/>
        <v>4051.88</v>
      </c>
      <c r="AJ17" s="88">
        <f t="shared" si="113"/>
        <v>1837.99</v>
      </c>
      <c r="AK17" s="137">
        <f t="shared" ref="AK17:AP17" si="114">IF(AK8&gt;0,AK8,0)</f>
        <v>382.79999999999995</v>
      </c>
      <c r="AL17" s="87">
        <f t="shared" si="114"/>
        <v>0</v>
      </c>
      <c r="AM17" s="88">
        <f t="shared" si="114"/>
        <v>1882</v>
      </c>
      <c r="AN17" s="137">
        <f t="shared" si="114"/>
        <v>0</v>
      </c>
      <c r="AO17" s="87">
        <f t="shared" si="114"/>
        <v>0</v>
      </c>
      <c r="AP17" s="88">
        <f t="shared" si="114"/>
        <v>0</v>
      </c>
    </row>
    <row r="18" spans="1:43" x14ac:dyDescent="0.25">
      <c r="B18" s="10" t="s">
        <v>31</v>
      </c>
      <c r="C18" s="115" t="s">
        <v>41</v>
      </c>
      <c r="D18" s="107" t="s">
        <v>42</v>
      </c>
      <c r="E18" s="7" t="s">
        <v>15</v>
      </c>
      <c r="F18" s="173"/>
      <c r="G18" s="137">
        <f t="shared" ref="G18:O18" si="115">IF(G8&lt;0,G8,0)</f>
        <v>-159.22999999999956</v>
      </c>
      <c r="H18" s="87">
        <f t="shared" si="115"/>
        <v>0</v>
      </c>
      <c r="I18" s="88">
        <f t="shared" si="115"/>
        <v>-2048.9899999999998</v>
      </c>
      <c r="J18" s="137">
        <f t="shared" si="115"/>
        <v>0</v>
      </c>
      <c r="K18" s="87">
        <f t="shared" si="115"/>
        <v>0</v>
      </c>
      <c r="L18" s="88">
        <f t="shared" si="115"/>
        <v>0</v>
      </c>
      <c r="M18" s="137">
        <f t="shared" si="115"/>
        <v>0</v>
      </c>
      <c r="N18" s="87">
        <f t="shared" si="115"/>
        <v>0</v>
      </c>
      <c r="O18" s="88">
        <f t="shared" si="115"/>
        <v>0</v>
      </c>
      <c r="P18" s="137">
        <f t="shared" ref="P18:R18" si="116">IF(P8&lt;0,P8,0)</f>
        <v>0</v>
      </c>
      <c r="Q18" s="87">
        <f t="shared" si="116"/>
        <v>-2590.48</v>
      </c>
      <c r="R18" s="88">
        <f t="shared" si="116"/>
        <v>-3783.55</v>
      </c>
      <c r="S18" s="137">
        <f t="shared" ref="S18:U18" si="117">IF(S8&lt;0,S8,0)</f>
        <v>-5851.64</v>
      </c>
      <c r="T18" s="87">
        <f t="shared" si="117"/>
        <v>-2505.4799999999996</v>
      </c>
      <c r="U18" s="88">
        <f t="shared" si="117"/>
        <v>-1188.3800000000001</v>
      </c>
      <c r="V18" s="137">
        <f t="shared" ref="V18:AJ18" si="118">IF(V8&lt;0,V8,0)</f>
        <v>-6.2699999999999818</v>
      </c>
      <c r="W18" s="87">
        <f t="shared" si="118"/>
        <v>-985.27</v>
      </c>
      <c r="X18" s="88">
        <f t="shared" si="118"/>
        <v>0</v>
      </c>
      <c r="Y18" s="137">
        <f t="shared" si="118"/>
        <v>0</v>
      </c>
      <c r="Z18" s="87">
        <f t="shared" si="118"/>
        <v>-1618.4</v>
      </c>
      <c r="AA18" s="88">
        <f t="shared" si="118"/>
        <v>0</v>
      </c>
      <c r="AB18" s="137">
        <f t="shared" si="118"/>
        <v>0</v>
      </c>
      <c r="AC18" s="87">
        <f t="shared" si="118"/>
        <v>-1483.27</v>
      </c>
      <c r="AD18" s="88">
        <f t="shared" si="118"/>
        <v>-4502.68</v>
      </c>
      <c r="AE18" s="137">
        <f t="shared" si="118"/>
        <v>-4265.01</v>
      </c>
      <c r="AF18" s="87">
        <f t="shared" si="118"/>
        <v>-17.720000000000255</v>
      </c>
      <c r="AG18" s="88">
        <f t="shared" si="118"/>
        <v>0</v>
      </c>
      <c r="AH18" s="137">
        <f t="shared" si="118"/>
        <v>0</v>
      </c>
      <c r="AI18" s="87">
        <f t="shared" si="118"/>
        <v>0</v>
      </c>
      <c r="AJ18" s="88">
        <f t="shared" si="118"/>
        <v>0</v>
      </c>
      <c r="AK18" s="137">
        <f t="shared" ref="AK18:AP18" si="119">IF(AK8&lt;0,AK8,0)</f>
        <v>0</v>
      </c>
      <c r="AL18" s="87">
        <f t="shared" si="119"/>
        <v>-413.25</v>
      </c>
      <c r="AM18" s="88">
        <f t="shared" si="119"/>
        <v>0</v>
      </c>
      <c r="AN18" s="137">
        <f t="shared" si="119"/>
        <v>0</v>
      </c>
      <c r="AO18" s="87">
        <f t="shared" si="119"/>
        <v>0</v>
      </c>
      <c r="AP18" s="88">
        <f t="shared" si="119"/>
        <v>0</v>
      </c>
    </row>
    <row r="19" spans="1:43" x14ac:dyDescent="0.25">
      <c r="B19" s="112" t="s">
        <v>43</v>
      </c>
      <c r="C19" s="107" t="s">
        <v>44</v>
      </c>
      <c r="D19" s="107" t="s">
        <v>36</v>
      </c>
      <c r="E19" s="7" t="s">
        <v>15</v>
      </c>
      <c r="F19" s="173"/>
      <c r="G19" s="137">
        <f t="shared" ref="G19:O19" si="120">SUM(G16:G18)</f>
        <v>12894.77</v>
      </c>
      <c r="H19" s="87">
        <f t="shared" si="120"/>
        <v>14770.85</v>
      </c>
      <c r="I19" s="88">
        <f>SUM(I16:I18)</f>
        <v>12721.86</v>
      </c>
      <c r="J19" s="137">
        <f t="shared" si="120"/>
        <v>14490.150000000001</v>
      </c>
      <c r="K19" s="87">
        <f t="shared" si="120"/>
        <v>15661.330000000002</v>
      </c>
      <c r="L19" s="88">
        <f t="shared" si="120"/>
        <v>19864.240000000002</v>
      </c>
      <c r="M19" s="137">
        <f t="shared" si="120"/>
        <v>23016.84</v>
      </c>
      <c r="N19" s="87">
        <f t="shared" si="120"/>
        <v>25163.24</v>
      </c>
      <c r="O19" s="88">
        <f t="shared" si="120"/>
        <v>28816.010000000002</v>
      </c>
      <c r="P19" s="137">
        <f t="shared" ref="P19" si="121">SUM(P16:P18)</f>
        <v>32276.83</v>
      </c>
      <c r="Q19" s="87">
        <f t="shared" ref="Q19" si="122">SUM(Q16:Q18)</f>
        <v>29686.350000000002</v>
      </c>
      <c r="R19" s="88">
        <f t="shared" ref="R19" si="123">SUM(R16:R18)</f>
        <v>25902.800000000003</v>
      </c>
      <c r="S19" s="137">
        <f t="shared" ref="S19" si="124">SUM(S16:S18)</f>
        <v>20051.160000000003</v>
      </c>
      <c r="T19" s="87">
        <f t="shared" ref="T19" si="125">SUM(T16:T18)</f>
        <v>17545.680000000004</v>
      </c>
      <c r="U19" s="88">
        <f t="shared" ref="U19" si="126">SUM(U16:U18)</f>
        <v>16357.300000000003</v>
      </c>
      <c r="V19" s="137">
        <f t="shared" ref="V19" si="127">SUM(V16:V18)</f>
        <v>16351.030000000002</v>
      </c>
      <c r="W19" s="87">
        <f t="shared" ref="W19" si="128">SUM(W16:W18)</f>
        <v>15365.760000000002</v>
      </c>
      <c r="X19" s="88">
        <f t="shared" ref="X19" si="129">SUM(X16:X18)</f>
        <v>16848.670000000002</v>
      </c>
      <c r="Y19" s="137">
        <f t="shared" ref="Y19" si="130">SUM(Y16:Y18)</f>
        <v>18521.660000000003</v>
      </c>
      <c r="Z19" s="87">
        <f t="shared" ref="Z19" si="131">SUM(Z16:Z18)</f>
        <v>16903.260000000002</v>
      </c>
      <c r="AA19" s="88">
        <f t="shared" ref="AA19" si="132">SUM(AA16:AA18)</f>
        <v>18223.160000000003</v>
      </c>
      <c r="AB19" s="137">
        <f t="shared" ref="AB19" si="133">SUM(AB16:AB18)</f>
        <v>18984.030000000002</v>
      </c>
      <c r="AC19" s="87">
        <f t="shared" ref="AC19" si="134">SUM(AC16:AC18)</f>
        <v>17500.760000000002</v>
      </c>
      <c r="AD19" s="88">
        <f t="shared" ref="AD19" si="135">SUM(AD16:AD18)</f>
        <v>12998.080000000002</v>
      </c>
      <c r="AE19" s="137">
        <f t="shared" ref="AE19" si="136">SUM(AE16:AE18)</f>
        <v>8733.0700000000015</v>
      </c>
      <c r="AF19" s="87">
        <f t="shared" ref="AF19" si="137">SUM(AF16:AF18)</f>
        <v>8715.3500000000022</v>
      </c>
      <c r="AG19" s="88">
        <f t="shared" ref="AG19" si="138">SUM(AG16:AG18)</f>
        <v>12042.000000000002</v>
      </c>
      <c r="AH19" s="137">
        <f t="shared" ref="AH19" si="139">SUM(AH16:AH18)</f>
        <v>15165.810000000001</v>
      </c>
      <c r="AI19" s="87">
        <f t="shared" ref="AI19" si="140">SUM(AI16:AI18)</f>
        <v>19217.690000000002</v>
      </c>
      <c r="AJ19" s="88">
        <f t="shared" ref="AJ19" si="141">SUM(AJ16:AJ18)</f>
        <v>21055.680000000004</v>
      </c>
      <c r="AK19" s="137">
        <f t="shared" ref="AK19" si="142">SUM(AK16:AK18)</f>
        <v>21438.480000000003</v>
      </c>
      <c r="AL19" s="87">
        <f t="shared" ref="AL19" si="143">SUM(AL16:AL18)</f>
        <v>21025.230000000003</v>
      </c>
      <c r="AM19" s="88">
        <f t="shared" ref="AM19" si="144">SUM(AM16:AM18)</f>
        <v>22907.230000000003</v>
      </c>
      <c r="AN19" s="137">
        <f t="shared" ref="AN19" si="145">SUM(AN16:AN18)</f>
        <v>22907.230000000003</v>
      </c>
      <c r="AO19" s="87">
        <f t="shared" ref="AO19" si="146">SUM(AO16:AO18)</f>
        <v>22907.230000000003</v>
      </c>
      <c r="AP19" s="88">
        <f t="shared" ref="AP19" si="147">SUM(AP16:AP18)</f>
        <v>22907.230000000003</v>
      </c>
    </row>
    <row r="20" spans="1:43" x14ac:dyDescent="0.25">
      <c r="A20" s="89"/>
    </row>
    <row r="21" spans="1:43" x14ac:dyDescent="0.25">
      <c r="A21" s="89"/>
      <c r="B21" s="5" t="s">
        <v>45</v>
      </c>
      <c r="C21" s="113" t="s">
        <v>46</v>
      </c>
      <c r="D21" s="113" t="s">
        <v>11</v>
      </c>
      <c r="E21" s="96" t="s">
        <v>3</v>
      </c>
      <c r="F21" s="175"/>
      <c r="G21" s="138">
        <f t="shared" ref="G21:O21" si="148">G5</f>
        <v>24116.71</v>
      </c>
      <c r="H21" s="90">
        <f t="shared" si="148"/>
        <v>23559.84</v>
      </c>
      <c r="I21" s="91">
        <f t="shared" si="148"/>
        <v>10649.04</v>
      </c>
      <c r="J21" s="138">
        <f t="shared" si="148"/>
        <v>16830.04</v>
      </c>
      <c r="K21" s="90">
        <f t="shared" si="148"/>
        <v>17990.71</v>
      </c>
      <c r="L21" s="91">
        <f t="shared" si="148"/>
        <v>14670.03</v>
      </c>
      <c r="M21" s="138">
        <f t="shared" si="148"/>
        <v>16214.51</v>
      </c>
      <c r="N21" s="90">
        <f t="shared" si="148"/>
        <v>17079.48</v>
      </c>
      <c r="O21" s="91">
        <f t="shared" si="148"/>
        <v>15099.84</v>
      </c>
      <c r="P21" s="138">
        <f t="shared" ref="P21:R21" si="149">P5</f>
        <v>15879.67</v>
      </c>
      <c r="Q21" s="90">
        <f t="shared" si="149"/>
        <v>7835.44</v>
      </c>
      <c r="R21" s="91">
        <f t="shared" si="149"/>
        <v>8910.0400000000009</v>
      </c>
      <c r="S21" s="138">
        <f t="shared" ref="S21:U21" si="150">S5</f>
        <v>13980.27</v>
      </c>
      <c r="T21" s="90">
        <f t="shared" si="150"/>
        <v>10599.57</v>
      </c>
      <c r="U21" s="91">
        <f t="shared" si="150"/>
        <v>9873.89</v>
      </c>
      <c r="V21" s="138">
        <f t="shared" ref="V21:AJ21" si="151">V5</f>
        <v>8075.53</v>
      </c>
      <c r="W21" s="90">
        <f t="shared" si="151"/>
        <v>9324.1299999999992</v>
      </c>
      <c r="X21" s="91">
        <f t="shared" si="151"/>
        <v>7101.04</v>
      </c>
      <c r="Y21" s="138">
        <f t="shared" si="151"/>
        <v>7023.65</v>
      </c>
      <c r="Z21" s="90">
        <f t="shared" si="151"/>
        <v>9527.58</v>
      </c>
      <c r="AA21" s="91">
        <f t="shared" si="151"/>
        <v>6514.24</v>
      </c>
      <c r="AB21" s="138">
        <f t="shared" si="151"/>
        <v>7205.39</v>
      </c>
      <c r="AC21" s="90">
        <f t="shared" si="151"/>
        <v>6838.18</v>
      </c>
      <c r="AD21" s="91">
        <f t="shared" si="151"/>
        <v>9557.76</v>
      </c>
      <c r="AE21" s="138">
        <f t="shared" si="151"/>
        <v>27259.94</v>
      </c>
      <c r="AF21" s="90">
        <f t="shared" si="151"/>
        <v>27823.56</v>
      </c>
      <c r="AG21" s="91">
        <f t="shared" si="151"/>
        <v>29572.04</v>
      </c>
      <c r="AH21" s="138">
        <f t="shared" si="151"/>
        <v>17959.47</v>
      </c>
      <c r="AI21" s="90">
        <f t="shared" si="151"/>
        <v>16920.009999999998</v>
      </c>
      <c r="AJ21" s="91">
        <f t="shared" si="151"/>
        <v>7312.15</v>
      </c>
      <c r="AK21" s="138">
        <f t="shared" ref="AK21:AP21" si="152">AK5</f>
        <v>8498.36</v>
      </c>
      <c r="AL21" s="90">
        <f t="shared" si="152"/>
        <v>9069.7800000000007</v>
      </c>
      <c r="AM21" s="91">
        <f t="shared" si="152"/>
        <v>6517.8</v>
      </c>
      <c r="AN21" s="138">
        <f t="shared" si="152"/>
        <v>0</v>
      </c>
      <c r="AO21" s="90">
        <f t="shared" si="152"/>
        <v>0</v>
      </c>
      <c r="AP21" s="91">
        <f t="shared" si="152"/>
        <v>0</v>
      </c>
    </row>
    <row r="22" spans="1:43" s="12" customFormat="1" x14ac:dyDescent="0.25">
      <c r="A22" s="89"/>
      <c r="B22" s="5" t="s">
        <v>47</v>
      </c>
      <c r="C22" s="116" t="s">
        <v>48</v>
      </c>
      <c r="D22" s="113" t="s">
        <v>130</v>
      </c>
      <c r="E22" s="96" t="s">
        <v>3</v>
      </c>
      <c r="F22" s="175"/>
      <c r="G22" s="138">
        <f>G21+G12+G13</f>
        <v>23744.128754933354</v>
      </c>
      <c r="H22" s="90">
        <f t="shared" ref="H22:O22" si="153">H21+H12+H13</f>
        <v>30764.362416</v>
      </c>
      <c r="I22" s="91">
        <f t="shared" si="153"/>
        <v>5464.1713417893552</v>
      </c>
      <c r="J22" s="138">
        <f t="shared" si="153"/>
        <v>23069.097607000003</v>
      </c>
      <c r="K22" s="90">
        <f t="shared" si="153"/>
        <v>22265.517</v>
      </c>
      <c r="L22" s="91">
        <f t="shared" si="153"/>
        <v>27596.079705</v>
      </c>
      <c r="M22" s="138">
        <f t="shared" si="153"/>
        <v>26585.302960000001</v>
      </c>
      <c r="N22" s="90">
        <f t="shared" si="153"/>
        <v>24516.97064</v>
      </c>
      <c r="O22" s="91">
        <f t="shared" si="153"/>
        <v>26663.048712</v>
      </c>
      <c r="P22" s="138">
        <f t="shared" ref="P22" si="154">P21+P12+P13</f>
        <v>27029.393793999996</v>
      </c>
      <c r="Q22" s="90">
        <f t="shared" ref="Q22" si="155">Q21+Q12+Q13</f>
        <v>118.36024298611301</v>
      </c>
      <c r="R22" s="91">
        <f t="shared" ref="R22" si="156">R21+R12+R13</f>
        <v>-2361.2136343264156</v>
      </c>
      <c r="S22" s="138">
        <f t="shared" ref="S22" si="157">S21+S12+S13</f>
        <v>-3451.8555479033785</v>
      </c>
      <c r="T22" s="90">
        <f t="shared" ref="T22" si="158">T21+T12+T13</f>
        <v>3135.7065501362113</v>
      </c>
      <c r="U22" s="91">
        <f t="shared" ref="U22" si="159">U21+U12+U13</f>
        <v>6333.6877048114002</v>
      </c>
      <c r="V22" s="138">
        <f t="shared" ref="V22" si="160">V21+V12+V13</f>
        <v>8056.8515735784576</v>
      </c>
      <c r="W22" s="90">
        <f t="shared" ref="W22" si="161">W21+W12+W13</f>
        <v>6388.9955182849999</v>
      </c>
      <c r="X22" s="91">
        <f t="shared" ref="X22" si="162">X21+X12+X13</f>
        <v>12188.162754999999</v>
      </c>
      <c r="Y22" s="138">
        <f t="shared" ref="Y22" si="163">Y21+Y12+Y13</f>
        <v>12637.869842</v>
      </c>
      <c r="Z22" s="90">
        <f t="shared" ref="Z22" si="164">Z21+Z12+Z13</f>
        <v>4592.7606387508758</v>
      </c>
      <c r="AA22" s="91">
        <f t="shared" ref="AA22" si="165">AA21+AA12+AA13</f>
        <v>11063.53933</v>
      </c>
      <c r="AB22" s="138">
        <f t="shared" ref="AB22" si="166">AB21+AB12+AB13</f>
        <v>10037.195965999999</v>
      </c>
      <c r="AC22" s="90">
        <f t="shared" ref="AC22" si="167">AC21+AC12+AC13</f>
        <v>2234.4197349500801</v>
      </c>
      <c r="AD22" s="91">
        <f t="shared" ref="AD22" si="168">AD21+AD12+AD13</f>
        <v>-4417.6182320379812</v>
      </c>
      <c r="AE22" s="138">
        <f t="shared" ref="AE22" si="169">AE21+AE12+AE13</f>
        <v>14022.239805132873</v>
      </c>
      <c r="AF22" s="90">
        <f t="shared" ref="AF22" si="170">AF21+AF12+AF13</f>
        <v>27768.560821228311</v>
      </c>
      <c r="AG22" s="91">
        <f t="shared" ref="AG22" si="171">AG21+AG12+AG13</f>
        <v>44062.594735000006</v>
      </c>
      <c r="AH22" s="138">
        <f t="shared" ref="AH22" si="172">AH21+AH12+AH13</f>
        <v>29720.927030999999</v>
      </c>
      <c r="AI22" s="90">
        <f t="shared" ref="AI22" si="173">AI21+AI12+AI13</f>
        <v>30848.752688</v>
      </c>
      <c r="AJ22" s="91">
        <f t="shared" ref="AJ22" si="174">AJ21+AJ12+AJ13</f>
        <v>13804.665875999999</v>
      </c>
      <c r="AK22" s="138">
        <f t="shared" ref="AK22" si="175">AK21+AK12+AK13</f>
        <v>10053.408439999999</v>
      </c>
      <c r="AL22" s="90">
        <f t="shared" ref="AL22" si="176">AL21+AL12+AL13</f>
        <v>7618.6965311197855</v>
      </c>
      <c r="AM22" s="91">
        <f t="shared" ref="AM22" si="177">AM21+AM12+AM13</f>
        <v>13008.065200000001</v>
      </c>
      <c r="AN22" s="138">
        <f t="shared" ref="AN22" si="178">AN21+AN12+AN13</f>
        <v>0</v>
      </c>
      <c r="AO22" s="90">
        <f t="shared" ref="AO22" si="179">AO21+AO12+AO13</f>
        <v>0</v>
      </c>
      <c r="AP22" s="91">
        <f t="shared" ref="AP22" si="180">AP21+AP12+AP13</f>
        <v>0</v>
      </c>
    </row>
    <row r="23" spans="1:43" s="87" customFormat="1" x14ac:dyDescent="0.25">
      <c r="A23" s="89"/>
      <c r="B23" s="11"/>
      <c r="C23" s="109"/>
      <c r="D23" s="109"/>
      <c r="E23" s="150"/>
      <c r="F23" s="174"/>
      <c r="G23" s="55"/>
      <c r="H23" s="68"/>
      <c r="I23" s="56"/>
      <c r="J23" s="55"/>
      <c r="K23" s="68"/>
      <c r="L23" s="56"/>
      <c r="M23" s="55"/>
      <c r="N23" s="68"/>
      <c r="O23" s="56"/>
      <c r="P23" s="55"/>
      <c r="Q23" s="68"/>
      <c r="R23" s="56"/>
      <c r="S23" s="55"/>
      <c r="T23" s="68"/>
      <c r="U23" s="56"/>
      <c r="V23" s="55"/>
      <c r="W23" s="68"/>
      <c r="X23" s="56"/>
      <c r="Y23" s="55"/>
      <c r="Z23" s="68"/>
      <c r="AA23" s="56"/>
      <c r="AB23" s="55"/>
      <c r="AC23" s="68"/>
      <c r="AD23" s="56"/>
      <c r="AE23" s="55"/>
      <c r="AF23" s="68"/>
      <c r="AG23" s="56"/>
      <c r="AH23" s="55"/>
      <c r="AI23" s="68"/>
      <c r="AJ23" s="56"/>
      <c r="AK23" s="55"/>
      <c r="AL23" s="68"/>
      <c r="AM23" s="56"/>
      <c r="AN23" s="55"/>
      <c r="AO23" s="68"/>
      <c r="AP23" s="56"/>
    </row>
    <row r="24" spans="1:43" x14ac:dyDescent="0.25">
      <c r="A24" s="89"/>
      <c r="B24" s="117" t="s">
        <v>49</v>
      </c>
      <c r="C24" s="113" t="s">
        <v>50</v>
      </c>
      <c r="D24" s="113" t="s">
        <v>17</v>
      </c>
      <c r="E24" s="96" t="s">
        <v>15</v>
      </c>
      <c r="F24" s="175"/>
      <c r="G24" s="57">
        <f t="shared" ref="G24:O24" si="181">G7</f>
        <v>5578.23</v>
      </c>
      <c r="H24" s="92">
        <f t="shared" si="181"/>
        <v>4258.92</v>
      </c>
      <c r="I24" s="58">
        <f t="shared" si="181"/>
        <v>4208.99</v>
      </c>
      <c r="J24" s="57">
        <f t="shared" si="181"/>
        <v>3001.71</v>
      </c>
      <c r="K24" s="92">
        <f t="shared" si="181"/>
        <v>3757.82</v>
      </c>
      <c r="L24" s="58">
        <f t="shared" si="181"/>
        <v>567.09</v>
      </c>
      <c r="M24" s="57">
        <f t="shared" si="181"/>
        <v>1776.4</v>
      </c>
      <c r="N24" s="92">
        <f t="shared" si="181"/>
        <v>2782.6</v>
      </c>
      <c r="O24" s="58">
        <f t="shared" si="181"/>
        <v>1117.23</v>
      </c>
      <c r="P24" s="57">
        <f t="shared" ref="P24:R24" si="182">P7</f>
        <v>1468.18</v>
      </c>
      <c r="Q24" s="92">
        <f t="shared" si="182"/>
        <v>3940.48</v>
      </c>
      <c r="R24" s="58">
        <f t="shared" si="182"/>
        <v>5133.55</v>
      </c>
      <c r="S24" s="57">
        <f t="shared" ref="S24:U24" si="183">S7</f>
        <v>7988.64</v>
      </c>
      <c r="T24" s="92">
        <f t="shared" si="183"/>
        <v>4552.4799999999996</v>
      </c>
      <c r="U24" s="58">
        <f t="shared" si="183"/>
        <v>3348.38</v>
      </c>
      <c r="V24" s="57">
        <f t="shared" ref="V24:AJ24" si="184">V7</f>
        <v>1986.27</v>
      </c>
      <c r="W24" s="92">
        <f t="shared" si="184"/>
        <v>3055.27</v>
      </c>
      <c r="X24" s="58">
        <f t="shared" si="184"/>
        <v>587.09</v>
      </c>
      <c r="Y24" s="57">
        <f t="shared" si="184"/>
        <v>420.01</v>
      </c>
      <c r="Z24" s="92">
        <f t="shared" si="184"/>
        <v>3598.4</v>
      </c>
      <c r="AA24" s="58">
        <f t="shared" si="184"/>
        <v>570.1</v>
      </c>
      <c r="AB24" s="57">
        <f t="shared" si="184"/>
        <v>1175.1300000000001</v>
      </c>
      <c r="AC24" s="92">
        <f t="shared" si="184"/>
        <v>2833.27</v>
      </c>
      <c r="AD24" s="58">
        <f t="shared" si="184"/>
        <v>5852.68</v>
      </c>
      <c r="AE24" s="57">
        <f t="shared" si="184"/>
        <v>8940.01</v>
      </c>
      <c r="AF24" s="92">
        <f t="shared" si="184"/>
        <v>6074.72</v>
      </c>
      <c r="AG24" s="58">
        <f t="shared" si="184"/>
        <v>3462.35</v>
      </c>
      <c r="AH24" s="57">
        <f t="shared" si="184"/>
        <v>1646.19</v>
      </c>
      <c r="AI24" s="92">
        <f t="shared" si="184"/>
        <v>870.12</v>
      </c>
      <c r="AJ24" s="58">
        <f t="shared" si="184"/>
        <v>232.01</v>
      </c>
      <c r="AK24" s="57">
        <f t="shared" ref="AK24:AP24" si="185">AK7</f>
        <v>1709.2</v>
      </c>
      <c r="AL24" s="92">
        <f t="shared" si="185"/>
        <v>2393.25</v>
      </c>
      <c r="AM24" s="58">
        <f t="shared" si="185"/>
        <v>8</v>
      </c>
      <c r="AN24" s="57">
        <f t="shared" si="185"/>
        <v>0</v>
      </c>
      <c r="AO24" s="92">
        <f t="shared" si="185"/>
        <v>0</v>
      </c>
      <c r="AP24" s="58">
        <f t="shared" si="185"/>
        <v>0</v>
      </c>
    </row>
    <row r="25" spans="1:43" x14ac:dyDescent="0.25">
      <c r="A25" s="89"/>
      <c r="B25" s="117" t="s">
        <v>49</v>
      </c>
      <c r="C25" s="113" t="s">
        <v>51</v>
      </c>
      <c r="D25" s="116" t="s">
        <v>133</v>
      </c>
      <c r="E25" s="96" t="s">
        <v>2</v>
      </c>
      <c r="F25" s="175"/>
      <c r="G25" s="57">
        <f>G24/1.03</f>
        <v>5415.7572815533977</v>
      </c>
      <c r="H25" s="92">
        <f t="shared" ref="H25:J25" si="186">H24/1.03</f>
        <v>4134.8737864077666</v>
      </c>
      <c r="I25" s="58">
        <f t="shared" si="186"/>
        <v>4086.3980582524268</v>
      </c>
      <c r="J25" s="57">
        <f t="shared" si="186"/>
        <v>2914.2815533980583</v>
      </c>
      <c r="K25" s="92">
        <f t="shared" ref="K25" si="187">K24/1.03</f>
        <v>3648.3689320388348</v>
      </c>
      <c r="L25" s="58">
        <f t="shared" ref="L25:M25" si="188">L24/1.03</f>
        <v>550.57281553398059</v>
      </c>
      <c r="M25" s="57">
        <f t="shared" si="188"/>
        <v>1724.6601941747574</v>
      </c>
      <c r="N25" s="92">
        <f t="shared" ref="N25" si="189">N24/1.03</f>
        <v>2701.5533980582522</v>
      </c>
      <c r="O25" s="58">
        <f t="shared" ref="O25:P25" si="190">O24/1.03</f>
        <v>1084.6893203883494</v>
      </c>
      <c r="P25" s="57">
        <f t="shared" si="190"/>
        <v>1425.4174757281553</v>
      </c>
      <c r="Q25" s="92">
        <f t="shared" ref="Q25" si="191">Q24/1.03</f>
        <v>3825.7087378640776</v>
      </c>
      <c r="R25" s="58">
        <f t="shared" ref="R25:S25" si="192">R24/1.03</f>
        <v>4984.0291262135925</v>
      </c>
      <c r="S25" s="57">
        <f t="shared" si="192"/>
        <v>7755.961165048544</v>
      </c>
      <c r="T25" s="92">
        <f t="shared" ref="T25" si="193">T24/1.03</f>
        <v>4419.8834951456301</v>
      </c>
      <c r="U25" s="58">
        <f t="shared" ref="U25:V25" si="194">U24/1.03</f>
        <v>3250.8543689320391</v>
      </c>
      <c r="V25" s="57">
        <f t="shared" si="194"/>
        <v>1928.4174757281553</v>
      </c>
      <c r="W25" s="92">
        <f t="shared" ref="W25" si="195">W24/1.03</f>
        <v>2966.2815533980583</v>
      </c>
      <c r="X25" s="58">
        <f t="shared" ref="X25:Y25" si="196">X24/1.03</f>
        <v>569.99029126213588</v>
      </c>
      <c r="Y25" s="57">
        <f t="shared" si="196"/>
        <v>407.77669902912618</v>
      </c>
      <c r="Z25" s="92">
        <f t="shared" ref="Z25" si="197">Z24/1.03</f>
        <v>3493.5922330097087</v>
      </c>
      <c r="AA25" s="58">
        <f t="shared" ref="AA25:AB25" si="198">AA24/1.03</f>
        <v>553.495145631068</v>
      </c>
      <c r="AB25" s="57">
        <f t="shared" si="198"/>
        <v>1140.9029126213593</v>
      </c>
      <c r="AC25" s="92">
        <f t="shared" ref="AC25" si="199">AC24/1.03</f>
        <v>2750.7475728155341</v>
      </c>
      <c r="AD25" s="58">
        <f t="shared" ref="AD25:AE25" si="200">AD24/1.03</f>
        <v>5682.2135922330099</v>
      </c>
      <c r="AE25" s="57">
        <f t="shared" si="200"/>
        <v>8679.6213592233016</v>
      </c>
      <c r="AF25" s="92">
        <f t="shared" ref="AF25" si="201">AF24/1.03</f>
        <v>5897.7864077669901</v>
      </c>
      <c r="AG25" s="58">
        <f t="shared" ref="AG25:AH25" si="202">AG24/1.03</f>
        <v>3361.5048543689318</v>
      </c>
      <c r="AH25" s="57">
        <f t="shared" si="202"/>
        <v>1598.2427184466019</v>
      </c>
      <c r="AI25" s="92">
        <f t="shared" ref="AI25" si="203">AI24/1.03</f>
        <v>844.77669902912623</v>
      </c>
      <c r="AJ25" s="58">
        <f t="shared" ref="AJ25:AK25" si="204">AJ24/1.03</f>
        <v>225.252427184466</v>
      </c>
      <c r="AK25" s="57">
        <f t="shared" si="204"/>
        <v>1659.4174757281553</v>
      </c>
      <c r="AL25" s="92">
        <f t="shared" ref="AL25" si="205">AL24/1.03</f>
        <v>2323.5436893203882</v>
      </c>
      <c r="AM25" s="58">
        <f t="shared" ref="AM25:AN25" si="206">AM24/1.03</f>
        <v>7.766990291262136</v>
      </c>
      <c r="AN25" s="57">
        <f t="shared" si="206"/>
        <v>0</v>
      </c>
      <c r="AO25" s="92">
        <f t="shared" ref="AO25" si="207">AO24/1.03</f>
        <v>0</v>
      </c>
      <c r="AP25" s="58">
        <f t="shared" ref="AP25" si="208">AP24/1.03</f>
        <v>0</v>
      </c>
      <c r="AQ25" s="55"/>
    </row>
    <row r="26" spans="1:43" x14ac:dyDescent="0.25">
      <c r="A26" s="89"/>
      <c r="B26" s="11" t="s">
        <v>52</v>
      </c>
      <c r="C26" s="113" t="s">
        <v>53</v>
      </c>
      <c r="D26" s="109" t="s">
        <v>12</v>
      </c>
      <c r="E26" s="96" t="s">
        <v>2</v>
      </c>
      <c r="F26" s="175"/>
      <c r="G26" s="157">
        <f>ROUND(VLOOKUP(G1,'Purchases and Sales Data'!$A:$R,11,FALSE),2)</f>
        <v>5186</v>
      </c>
      <c r="H26" s="93">
        <f>ROUND(VLOOKUP(H1,'Purchases and Sales Data'!$A:$R,11,FALSE),2)</f>
        <v>4631</v>
      </c>
      <c r="I26" s="94">
        <f>ROUND(VLOOKUP(I1,'Purchases and Sales Data'!$A:$R,11,FALSE),2)</f>
        <v>4683</v>
      </c>
      <c r="J26" s="50">
        <f>ROUND(VLOOKUP(J1,'Purchases and Sales Data'!$A:$R,11,FALSE),2)</f>
        <v>2255</v>
      </c>
      <c r="K26" s="51">
        <f>ROUND(VLOOKUP(K1,'Purchases and Sales Data'!$A:$R,11,FALSE),2)</f>
        <v>3718</v>
      </c>
      <c r="L26" s="59">
        <f>ROUND(VLOOKUP(L1,'Purchases and Sales Data'!$A:$R,11,FALSE),2)</f>
        <v>1167</v>
      </c>
      <c r="M26" s="50">
        <f>ROUND(VLOOKUP(M1,'Purchases and Sales Data'!$A:$R,11,FALSE),2)</f>
        <v>1428</v>
      </c>
      <c r="N26" s="51">
        <f>ROUND(VLOOKUP(N1,'Purchases and Sales Data'!$A:$R,11,FALSE),2)</f>
        <v>2370</v>
      </c>
      <c r="O26" s="59">
        <f>ROUND(VLOOKUP(O1,'Purchases and Sales Data'!$A:$R,11,FALSE),2)</f>
        <v>1281</v>
      </c>
      <c r="P26" s="50">
        <f>ROUND(VLOOKUP(P1,'Purchases and Sales Data'!$A:$R,11,FALSE),2)</f>
        <v>758.7</v>
      </c>
      <c r="Q26" s="51">
        <f>ROUND(VLOOKUP(Q1,'Purchases and Sales Data'!$A:$R,11,FALSE),2)</f>
        <v>1929.8</v>
      </c>
      <c r="R26" s="59">
        <f>ROUND(VLOOKUP(R1,'Purchases and Sales Data'!$A:$R,11,FALSE),2)</f>
        <v>4223.6000000000004</v>
      </c>
      <c r="S26" s="50">
        <f>ROUND(VLOOKUP(S1,'Purchases and Sales Data'!$A:$R,11,FALSE),2)</f>
        <v>8441.4</v>
      </c>
      <c r="T26" s="51">
        <f>ROUND(VLOOKUP(T1,'Purchases and Sales Data'!$A:$R,11,FALSE),2)</f>
        <v>3438.4</v>
      </c>
      <c r="U26" s="59">
        <f>ROUND(VLOOKUP(U1,'Purchases and Sales Data'!$A:$R,11,FALSE),2)</f>
        <v>4111.7</v>
      </c>
      <c r="V26" s="50">
        <f>ROUND(VLOOKUP(V1,'Purchases and Sales Data'!$A:$R,11,FALSE),2)</f>
        <v>1800</v>
      </c>
      <c r="W26" s="51">
        <f>ROUND(VLOOKUP(W1,'Purchases and Sales Data'!$A:$R,11,FALSE),2)</f>
        <v>1592.1</v>
      </c>
      <c r="X26" s="59">
        <f>ROUND(VLOOKUP(X1,'Purchases and Sales Data'!$A:$R,11,FALSE),2)</f>
        <v>1930.4</v>
      </c>
      <c r="Y26" s="50">
        <f>ROUND(VLOOKUP(Y1,'Purchases and Sales Data'!$A:$R,11,FALSE),2)</f>
        <v>482.2</v>
      </c>
      <c r="Z26" s="51">
        <f>ROUND(VLOOKUP(Z1,'Purchases and Sales Data'!$A:$R,11,FALSE),2)</f>
        <v>1536.8</v>
      </c>
      <c r="AA26" s="59">
        <f>ROUND(VLOOKUP(AA1,'Purchases and Sales Data'!$A:$R,11,FALSE),2)</f>
        <v>2147.1</v>
      </c>
      <c r="AB26" s="50">
        <f>ROUND(VLOOKUP(AB1,'Purchases and Sales Data'!$A:$R,11,FALSE),2)</f>
        <v>738.4</v>
      </c>
      <c r="AC26" s="51">
        <f>ROUND(VLOOKUP(AC1,'Purchases and Sales Data'!$A:$R,11,FALSE),2)</f>
        <v>1150</v>
      </c>
      <c r="AD26" s="59">
        <f>ROUND(VLOOKUP(AD1,'Purchases and Sales Data'!$A:$R,11,FALSE),2)</f>
        <v>4760</v>
      </c>
      <c r="AE26" s="50">
        <f>ROUND(VLOOKUP(AE1,'Purchases and Sales Data'!$A:$R,11,FALSE),2)</f>
        <v>6166.3</v>
      </c>
      <c r="AF26" s="51">
        <f>ROUND(VLOOKUP(AF1,'Purchases and Sales Data'!$A:$R,11,FALSE),2)</f>
        <v>7003.7</v>
      </c>
      <c r="AG26" s="59">
        <f>ROUND(VLOOKUP(AG1,'Purchases and Sales Data'!$A:$R,11,FALSE),2)</f>
        <v>4593.3999999999996</v>
      </c>
      <c r="AH26" s="50">
        <f>ROUND(VLOOKUP(AH1,'Purchases and Sales Data'!$A:$R,11,FALSE),2)</f>
        <v>2566.3000000000002</v>
      </c>
      <c r="AI26" s="51">
        <f>ROUND(VLOOKUP(AI1,'Purchases and Sales Data'!$A:$R,11,FALSE),2)</f>
        <v>818.2</v>
      </c>
      <c r="AJ26" s="59">
        <f>ROUND(VLOOKUP(AJ1,'Purchases and Sales Data'!$A:$R,11,FALSE),2)</f>
        <v>787.2</v>
      </c>
      <c r="AK26" s="50">
        <f>ROUND(VLOOKUP(AK1,'Purchases and Sales Data'!$A:$R,11,FALSE),2)</f>
        <v>1067.9000000000001</v>
      </c>
      <c r="AL26" s="51">
        <f>ROUND(VLOOKUP(AL1,'Purchases and Sales Data'!$A:$R,11,FALSE),2)</f>
        <v>2486.9</v>
      </c>
      <c r="AM26" s="59">
        <f>ROUND(VLOOKUP(AM1,'Purchases and Sales Data'!$A:$R,11,FALSE),2)</f>
        <v>1303</v>
      </c>
      <c r="AN26" s="50">
        <f>ROUND(VLOOKUP(AN1,'Purchases and Sales Data'!$A:$R,11,FALSE),2)</f>
        <v>0</v>
      </c>
      <c r="AO26" s="51">
        <f>ROUND(VLOOKUP(AO1,'Purchases and Sales Data'!$A:$R,11,FALSE),2)</f>
        <v>0</v>
      </c>
      <c r="AP26" s="59">
        <f>ROUND(VLOOKUP(AP1,'Purchases and Sales Data'!$A:$R,11,FALSE),2)</f>
        <v>0</v>
      </c>
    </row>
    <row r="27" spans="1:43" x14ac:dyDescent="0.25">
      <c r="A27" s="89"/>
      <c r="B27" s="118" t="s">
        <v>54</v>
      </c>
      <c r="C27" s="113" t="s">
        <v>55</v>
      </c>
      <c r="D27" s="109" t="s">
        <v>56</v>
      </c>
      <c r="E27" s="96"/>
      <c r="F27" s="175"/>
      <c r="G27" s="47" t="str">
        <f>IF((G25*0.95)&lt;=G26,"","LIMIT APPLIED")</f>
        <v/>
      </c>
      <c r="H27" s="48" t="str">
        <f t="shared" ref="H27:I27" si="209">IF((H25*0.95)&lt;=H26,"","LIMIT APPLIED")</f>
        <v/>
      </c>
      <c r="I27" s="49" t="str">
        <f t="shared" si="209"/>
        <v/>
      </c>
      <c r="J27" s="47" t="str">
        <f>IF((J25*0.95)&lt;=J26,"","LIMIT APPLIED")</f>
        <v>LIMIT APPLIED</v>
      </c>
      <c r="K27" s="48" t="str">
        <f t="shared" ref="K27:L27" si="210">IF((K25*0.95)&lt;=K26,"","LIMIT APPLIED")</f>
        <v/>
      </c>
      <c r="L27" s="49" t="str">
        <f t="shared" si="210"/>
        <v/>
      </c>
      <c r="M27" s="47" t="str">
        <f>IF((M25*0.95)&lt;=M26,"","LIMIT APPLIED")</f>
        <v>LIMIT APPLIED</v>
      </c>
      <c r="N27" s="48" t="str">
        <f t="shared" ref="N27:O27" si="211">IF((N25*0.95)&lt;=N26,"","LIMIT APPLIED")</f>
        <v>LIMIT APPLIED</v>
      </c>
      <c r="O27" s="49" t="str">
        <f t="shared" si="211"/>
        <v/>
      </c>
      <c r="P27" s="47" t="str">
        <f>IF((P25*0.95)&lt;=P26,"","LIMIT APPLIED")</f>
        <v>LIMIT APPLIED</v>
      </c>
      <c r="Q27" s="48" t="str">
        <f t="shared" ref="Q27:R27" si="212">IF((Q25*0.95)&lt;=Q26,"","LIMIT APPLIED")</f>
        <v>LIMIT APPLIED</v>
      </c>
      <c r="R27" s="49" t="str">
        <f t="shared" si="212"/>
        <v>LIMIT APPLIED</v>
      </c>
      <c r="S27" s="47" t="str">
        <f>IF((S25*0.95)&lt;=S26,"","LIMIT APPLIED")</f>
        <v/>
      </c>
      <c r="T27" s="48" t="str">
        <f t="shared" ref="T27:U27" si="213">IF((T25*0.95)&lt;=T26,"","LIMIT APPLIED")</f>
        <v>LIMIT APPLIED</v>
      </c>
      <c r="U27" s="49" t="str">
        <f t="shared" si="213"/>
        <v/>
      </c>
      <c r="V27" s="47" t="str">
        <f>IF((V25*0.95)&lt;=V26,"","LIMIT APPLIED")</f>
        <v>LIMIT APPLIED</v>
      </c>
      <c r="W27" s="48" t="str">
        <f t="shared" ref="W27:X27" si="214">IF((W25*0.95)&lt;=W26,"","LIMIT APPLIED")</f>
        <v>LIMIT APPLIED</v>
      </c>
      <c r="X27" s="49" t="str">
        <f t="shared" si="214"/>
        <v/>
      </c>
      <c r="Y27" s="47" t="str">
        <f>IF((Y25*0.95)&lt;=Y26,"","LIMIT APPLIED")</f>
        <v/>
      </c>
      <c r="Z27" s="48" t="str">
        <f t="shared" ref="Z27:AA27" si="215">IF((Z25*0.95)&lt;=Z26,"","LIMIT APPLIED")</f>
        <v>LIMIT APPLIED</v>
      </c>
      <c r="AA27" s="49" t="str">
        <f t="shared" si="215"/>
        <v/>
      </c>
      <c r="AB27" s="47" t="str">
        <f>IF((AB25*0.95)&lt;=AB26,"","LIMIT APPLIED")</f>
        <v>LIMIT APPLIED</v>
      </c>
      <c r="AC27" s="48" t="str">
        <f t="shared" ref="AC27:AD27" si="216">IF((AC25*0.95)&lt;=AC26,"","LIMIT APPLIED")</f>
        <v>LIMIT APPLIED</v>
      </c>
      <c r="AD27" s="49" t="str">
        <f t="shared" si="216"/>
        <v>LIMIT APPLIED</v>
      </c>
      <c r="AE27" s="47" t="str">
        <f>IF((AE25*0.95)&lt;=AE26,"","LIMIT APPLIED")</f>
        <v>LIMIT APPLIED</v>
      </c>
      <c r="AF27" s="48" t="str">
        <f t="shared" ref="AF27:AG27" si="217">IF((AF25*0.95)&lt;=AF26,"","LIMIT APPLIED")</f>
        <v/>
      </c>
      <c r="AG27" s="49" t="str">
        <f t="shared" si="217"/>
        <v/>
      </c>
      <c r="AH27" s="47" t="str">
        <f>IF((AH25*0.95)&lt;=AH26,"","LIMIT APPLIED")</f>
        <v/>
      </c>
      <c r="AI27" s="48" t="str">
        <f t="shared" ref="AI27:AJ27" si="218">IF((AI25*0.95)&lt;=AI26,"","LIMIT APPLIED")</f>
        <v/>
      </c>
      <c r="AJ27" s="49" t="str">
        <f t="shared" si="218"/>
        <v/>
      </c>
      <c r="AK27" s="47" t="str">
        <f>IF((AK25*0.95)&lt;=AK26,"","LIMIT APPLIED")</f>
        <v>LIMIT APPLIED</v>
      </c>
      <c r="AL27" s="48" t="str">
        <f t="shared" ref="AL27:AM27" si="219">IF((AL25*0.95)&lt;=AL26,"","LIMIT APPLIED")</f>
        <v/>
      </c>
      <c r="AM27" s="49" t="str">
        <f t="shared" si="219"/>
        <v/>
      </c>
      <c r="AN27" s="47" t="str">
        <f>IF((AN25*0.95)&lt;=AN26,"","LIMIT APPLIED")</f>
        <v/>
      </c>
      <c r="AO27" s="48" t="str">
        <f t="shared" ref="AO27:AP27" si="220">IF((AO25*0.95)&lt;=AO26,"","LIMIT APPLIED")</f>
        <v/>
      </c>
      <c r="AP27" s="49" t="str">
        <f t="shared" si="220"/>
        <v/>
      </c>
    </row>
    <row r="28" spans="1:43" x14ac:dyDescent="0.25">
      <c r="A28" s="89"/>
      <c r="B28" s="11" t="s">
        <v>57</v>
      </c>
      <c r="C28" s="113" t="s">
        <v>58</v>
      </c>
      <c r="D28" s="109" t="s">
        <v>59</v>
      </c>
      <c r="E28" s="96" t="s">
        <v>2</v>
      </c>
      <c r="F28" s="175"/>
      <c r="G28" s="137">
        <f>IF((G25*0.95)&lt;=G26,G26,G25*0.95)</f>
        <v>5186</v>
      </c>
      <c r="H28" s="87">
        <f t="shared" ref="H28:I28" si="221">IF((H25*0.95)&lt;=H26,H26,H25*0.95)</f>
        <v>4631</v>
      </c>
      <c r="I28" s="88">
        <f t="shared" si="221"/>
        <v>4683</v>
      </c>
      <c r="J28" s="137">
        <f>IF((J25*0.95)&lt;=J26,J26,J25*0.95)</f>
        <v>2768.5674757281554</v>
      </c>
      <c r="K28" s="87">
        <f t="shared" ref="K28:L28" si="222">IF((K25*0.95)&lt;=K26,K26,K25*0.95)</f>
        <v>3718</v>
      </c>
      <c r="L28" s="88">
        <f t="shared" si="222"/>
        <v>1167</v>
      </c>
      <c r="M28" s="137">
        <f>IF((M25*0.95)&lt;=M26,M26,M25*0.95)</f>
        <v>1638.4271844660195</v>
      </c>
      <c r="N28" s="87">
        <f t="shared" ref="N28:O28" si="223">IF((N25*0.95)&lt;=N26,N26,N25*0.95)</f>
        <v>2566.4757281553393</v>
      </c>
      <c r="O28" s="88">
        <f t="shared" si="223"/>
        <v>1281</v>
      </c>
      <c r="P28" s="137">
        <f>IF((P25*0.95)&lt;=P26,P26,P25*0.95)</f>
        <v>1354.1466019417476</v>
      </c>
      <c r="Q28" s="87">
        <f t="shared" ref="Q28:R28" si="224">IF((Q25*0.95)&lt;=Q26,Q26,Q25*0.95)</f>
        <v>3634.4233009708737</v>
      </c>
      <c r="R28" s="88">
        <f t="shared" si="224"/>
        <v>4734.8276699029129</v>
      </c>
      <c r="S28" s="137">
        <f>IF((S25*0.95)&lt;=S26,S26,S25*0.95)</f>
        <v>8441.4</v>
      </c>
      <c r="T28" s="87">
        <f t="shared" ref="T28:U28" si="225">IF((T25*0.95)&lt;=T26,T26,T25*0.95)</f>
        <v>4198.8893203883481</v>
      </c>
      <c r="U28" s="88">
        <f t="shared" si="225"/>
        <v>4111.7</v>
      </c>
      <c r="V28" s="137">
        <f>IF((V25*0.95)&lt;=V26,V26,V25*0.95)</f>
        <v>1831.9966019417475</v>
      </c>
      <c r="W28" s="87">
        <f t="shared" ref="W28:X28" si="226">IF((W25*0.95)&lt;=W26,W26,W25*0.95)</f>
        <v>2817.9674757281555</v>
      </c>
      <c r="X28" s="88">
        <f t="shared" si="226"/>
        <v>1930.4</v>
      </c>
      <c r="Y28" s="137">
        <f>IF((Y25*0.95)&lt;=Y26,Y26,Y25*0.95)</f>
        <v>482.2</v>
      </c>
      <c r="Z28" s="87">
        <f t="shared" ref="Z28:AA28" si="227">IF((Z25*0.95)&lt;=Z26,Z26,Z25*0.95)</f>
        <v>3318.9126213592231</v>
      </c>
      <c r="AA28" s="88">
        <f t="shared" si="227"/>
        <v>2147.1</v>
      </c>
      <c r="AB28" s="137">
        <f>IF((AB25*0.95)&lt;=AB26,AB26,AB25*0.95)</f>
        <v>1083.8577669902913</v>
      </c>
      <c r="AC28" s="87">
        <f t="shared" ref="AC28:AD28" si="228">IF((AC25*0.95)&lt;=AC26,AC26,AC25*0.95)</f>
        <v>2613.2101941747574</v>
      </c>
      <c r="AD28" s="88">
        <f t="shared" si="228"/>
        <v>5398.1029126213589</v>
      </c>
      <c r="AE28" s="137">
        <f>IF((AE25*0.95)&lt;=AE26,AE26,AE25*0.95)</f>
        <v>8245.6402912621361</v>
      </c>
      <c r="AF28" s="87">
        <f t="shared" ref="AF28:AG28" si="229">IF((AF25*0.95)&lt;=AF26,AF26,AF25*0.95)</f>
        <v>7003.7</v>
      </c>
      <c r="AG28" s="88">
        <f t="shared" si="229"/>
        <v>4593.3999999999996</v>
      </c>
      <c r="AH28" s="137">
        <f>IF((AH25*0.95)&lt;=AH26,AH26,AH25*0.95)</f>
        <v>2566.3000000000002</v>
      </c>
      <c r="AI28" s="87">
        <f t="shared" ref="AI28:AJ28" si="230">IF((AI25*0.95)&lt;=AI26,AI26,AI25*0.95)</f>
        <v>818.2</v>
      </c>
      <c r="AJ28" s="88">
        <f t="shared" si="230"/>
        <v>787.2</v>
      </c>
      <c r="AK28" s="137">
        <f>IF((AK25*0.95)&lt;=AK26,AK26,AK25*0.95)</f>
        <v>1576.4466019417475</v>
      </c>
      <c r="AL28" s="87">
        <f t="shared" ref="AL28:AM28" si="231">IF((AL25*0.95)&lt;=AL26,AL26,AL25*0.95)</f>
        <v>2486.9</v>
      </c>
      <c r="AM28" s="88">
        <f t="shared" si="231"/>
        <v>1303</v>
      </c>
      <c r="AN28" s="137">
        <f>IF((AN25*0.95)&lt;=AN26,AN26,AN25*0.95)</f>
        <v>0</v>
      </c>
      <c r="AO28" s="87">
        <f t="shared" ref="AO28:AP28" si="232">IF((AO25*0.95)&lt;=AO26,AO26,AO25*0.95)</f>
        <v>0</v>
      </c>
      <c r="AP28" s="88">
        <f t="shared" si="232"/>
        <v>0</v>
      </c>
    </row>
    <row r="29" spans="1:43" x14ac:dyDescent="0.25">
      <c r="A29" s="89"/>
      <c r="B29" s="89"/>
      <c r="C29" s="113"/>
      <c r="D29" s="95"/>
      <c r="E29" s="89"/>
      <c r="F29" s="176"/>
      <c r="G29" s="60"/>
      <c r="H29" s="89"/>
      <c r="I29" s="61"/>
      <c r="J29" s="60"/>
      <c r="K29" s="89"/>
      <c r="L29" s="61"/>
      <c r="M29" s="60"/>
      <c r="N29" s="89"/>
      <c r="O29" s="61"/>
      <c r="P29" s="60"/>
      <c r="Q29" s="89"/>
      <c r="R29" s="61"/>
      <c r="S29" s="60"/>
      <c r="T29" s="89"/>
      <c r="U29" s="61"/>
      <c r="V29" s="60"/>
      <c r="W29" s="89"/>
      <c r="X29" s="61"/>
      <c r="Y29" s="60"/>
      <c r="Z29" s="89"/>
      <c r="AA29" s="61"/>
      <c r="AB29" s="60"/>
      <c r="AC29" s="89"/>
      <c r="AD29" s="61"/>
      <c r="AE29" s="60"/>
      <c r="AF29" s="89"/>
      <c r="AG29" s="61"/>
      <c r="AH29" s="60"/>
      <c r="AI29" s="89"/>
      <c r="AJ29" s="61"/>
      <c r="AK29" s="60"/>
      <c r="AL29" s="89"/>
      <c r="AM29" s="61"/>
      <c r="AN29" s="60"/>
      <c r="AO29" s="89"/>
      <c r="AP29" s="61"/>
    </row>
    <row r="30" spans="1:43" x14ac:dyDescent="0.25">
      <c r="A30" s="89"/>
      <c r="B30" s="11" t="s">
        <v>60</v>
      </c>
      <c r="C30" s="113" t="s">
        <v>61</v>
      </c>
      <c r="D30" s="116" t="s">
        <v>62</v>
      </c>
      <c r="E30" s="96" t="s">
        <v>0</v>
      </c>
      <c r="F30" s="175"/>
      <c r="G30" s="135">
        <f t="shared" ref="G30:O30" si="233">ROUND(G5/G7,4)</f>
        <v>4.3234000000000004</v>
      </c>
      <c r="H30" s="81">
        <f t="shared" si="233"/>
        <v>5.5319000000000003</v>
      </c>
      <c r="I30" s="82">
        <f t="shared" si="233"/>
        <v>2.5301</v>
      </c>
      <c r="J30" s="135">
        <f t="shared" si="233"/>
        <v>5.6067999999999998</v>
      </c>
      <c r="K30" s="81">
        <f t="shared" si="233"/>
        <v>4.7874999999999996</v>
      </c>
      <c r="L30" s="82">
        <f t="shared" si="233"/>
        <v>25.869</v>
      </c>
      <c r="M30" s="135">
        <f t="shared" si="233"/>
        <v>9.1277000000000008</v>
      </c>
      <c r="N30" s="81">
        <f t="shared" si="233"/>
        <v>6.1379999999999999</v>
      </c>
      <c r="O30" s="82">
        <f t="shared" si="233"/>
        <v>13.5154</v>
      </c>
      <c r="P30" s="135">
        <f t="shared" ref="P30:R30" si="234">ROUND(P5/P7,4)</f>
        <v>10.815899999999999</v>
      </c>
      <c r="Q30" s="81">
        <f t="shared" si="234"/>
        <v>1.9883999999999999</v>
      </c>
      <c r="R30" s="82">
        <f t="shared" si="234"/>
        <v>1.7356</v>
      </c>
      <c r="S30" s="135">
        <f t="shared" ref="S30:U30" si="235">ROUND(S5/S7,4)</f>
        <v>1.75</v>
      </c>
      <c r="T30" s="81">
        <f t="shared" si="235"/>
        <v>2.3283</v>
      </c>
      <c r="U30" s="82">
        <f t="shared" si="235"/>
        <v>2.9489000000000001</v>
      </c>
      <c r="V30" s="135">
        <f t="shared" ref="V30:AJ30" si="236">ROUND(V5/V7,4)</f>
        <v>4.0656999999999996</v>
      </c>
      <c r="W30" s="81">
        <f t="shared" si="236"/>
        <v>3.0518000000000001</v>
      </c>
      <c r="X30" s="82">
        <f t="shared" si="236"/>
        <v>12.0953</v>
      </c>
      <c r="Y30" s="135">
        <f t="shared" si="236"/>
        <v>16.7226</v>
      </c>
      <c r="Z30" s="81">
        <f t="shared" si="236"/>
        <v>2.6476999999999999</v>
      </c>
      <c r="AA30" s="82">
        <f t="shared" si="236"/>
        <v>11.426500000000001</v>
      </c>
      <c r="AB30" s="135">
        <f t="shared" si="236"/>
        <v>6.1315999999999997</v>
      </c>
      <c r="AC30" s="81">
        <f t="shared" si="236"/>
        <v>2.4135</v>
      </c>
      <c r="AD30" s="82">
        <f t="shared" si="236"/>
        <v>1.6331</v>
      </c>
      <c r="AE30" s="135">
        <f t="shared" si="236"/>
        <v>3.0491999999999999</v>
      </c>
      <c r="AF30" s="81">
        <f t="shared" si="236"/>
        <v>4.5801999999999996</v>
      </c>
      <c r="AG30" s="82">
        <f t="shared" si="236"/>
        <v>8.5410000000000004</v>
      </c>
      <c r="AH30" s="135">
        <f t="shared" si="236"/>
        <v>10.909700000000001</v>
      </c>
      <c r="AI30" s="81">
        <f t="shared" si="236"/>
        <v>19.445599999999999</v>
      </c>
      <c r="AJ30" s="82">
        <f t="shared" si="236"/>
        <v>31.516500000000001</v>
      </c>
      <c r="AK30" s="135">
        <f t="shared" ref="AK30:AP30" si="237">ROUND(AK5/AK7,4)</f>
        <v>4.9721000000000002</v>
      </c>
      <c r="AL30" s="81">
        <f t="shared" si="237"/>
        <v>3.7896999999999998</v>
      </c>
      <c r="AM30" s="82">
        <f t="shared" si="237"/>
        <v>814.72500000000002</v>
      </c>
      <c r="AN30" s="135" t="e">
        <f t="shared" si="237"/>
        <v>#DIV/0!</v>
      </c>
      <c r="AO30" s="81" t="e">
        <f t="shared" si="237"/>
        <v>#DIV/0!</v>
      </c>
      <c r="AP30" s="82" t="e">
        <f t="shared" si="237"/>
        <v>#DIV/0!</v>
      </c>
    </row>
    <row r="31" spans="1:43" x14ac:dyDescent="0.25">
      <c r="A31" s="89"/>
      <c r="B31" s="11" t="s">
        <v>63</v>
      </c>
      <c r="C31" s="113" t="s">
        <v>64</v>
      </c>
      <c r="D31" s="116" t="s">
        <v>65</v>
      </c>
      <c r="E31" s="96" t="s">
        <v>0</v>
      </c>
      <c r="F31" s="175"/>
      <c r="G31" s="135">
        <f t="shared" ref="G31:O31" si="238">ROUND(G22/G28,4)</f>
        <v>4.5785</v>
      </c>
      <c r="H31" s="81">
        <f t="shared" si="238"/>
        <v>6.6430999999999996</v>
      </c>
      <c r="I31" s="82">
        <f t="shared" si="238"/>
        <v>1.1668000000000001</v>
      </c>
      <c r="J31" s="135">
        <f t="shared" si="238"/>
        <v>8.3324999999999996</v>
      </c>
      <c r="K31" s="81">
        <f t="shared" si="238"/>
        <v>5.9885999999999999</v>
      </c>
      <c r="L31" s="82">
        <f t="shared" si="238"/>
        <v>23.646999999999998</v>
      </c>
      <c r="M31" s="135">
        <f t="shared" si="238"/>
        <v>16.226099999999999</v>
      </c>
      <c r="N31" s="81">
        <f t="shared" si="238"/>
        <v>9.5527999999999995</v>
      </c>
      <c r="O31" s="82">
        <f t="shared" si="238"/>
        <v>20.8142</v>
      </c>
      <c r="P31" s="135">
        <f t="shared" ref="P31:R31" si="239">ROUND(P22/P28,4)</f>
        <v>19.9605</v>
      </c>
      <c r="Q31" s="81">
        <f t="shared" si="239"/>
        <v>3.2599999999999997E-2</v>
      </c>
      <c r="R31" s="82">
        <f t="shared" si="239"/>
        <v>-0.49869999999999998</v>
      </c>
      <c r="S31" s="135">
        <f t="shared" ref="S31:U31" si="240">ROUND(S22/S28,4)</f>
        <v>-0.40889999999999999</v>
      </c>
      <c r="T31" s="81">
        <f t="shared" si="240"/>
        <v>0.74680000000000002</v>
      </c>
      <c r="U31" s="82">
        <f t="shared" si="240"/>
        <v>1.5404</v>
      </c>
      <c r="V31" s="135">
        <f t="shared" ref="V31:AJ31" si="241">ROUND(V22/V28,4)</f>
        <v>4.3978999999999999</v>
      </c>
      <c r="W31" s="81">
        <f t="shared" si="241"/>
        <v>2.2671999999999999</v>
      </c>
      <c r="X31" s="82">
        <f t="shared" si="241"/>
        <v>6.3137999999999996</v>
      </c>
      <c r="Y31" s="135">
        <f t="shared" si="241"/>
        <v>26.2088</v>
      </c>
      <c r="Z31" s="81">
        <f t="shared" si="241"/>
        <v>1.3837999999999999</v>
      </c>
      <c r="AA31" s="82">
        <f t="shared" si="241"/>
        <v>5.1528</v>
      </c>
      <c r="AB31" s="135">
        <f t="shared" si="241"/>
        <v>9.2606000000000002</v>
      </c>
      <c r="AC31" s="81">
        <f t="shared" si="241"/>
        <v>0.85499999999999998</v>
      </c>
      <c r="AD31" s="82">
        <f t="shared" si="241"/>
        <v>-0.81840000000000002</v>
      </c>
      <c r="AE31" s="135">
        <f t="shared" si="241"/>
        <v>1.7005999999999999</v>
      </c>
      <c r="AF31" s="81">
        <f t="shared" si="241"/>
        <v>3.9647999999999999</v>
      </c>
      <c r="AG31" s="82">
        <f t="shared" si="241"/>
        <v>9.5925999999999991</v>
      </c>
      <c r="AH31" s="135">
        <f t="shared" si="241"/>
        <v>11.581200000000001</v>
      </c>
      <c r="AI31" s="81">
        <f t="shared" si="241"/>
        <v>37.703200000000002</v>
      </c>
      <c r="AJ31" s="82">
        <f t="shared" si="241"/>
        <v>17.5364</v>
      </c>
      <c r="AK31" s="135">
        <f t="shared" ref="AK31:AP31" si="242">ROUND(AK22/AK28,4)</f>
        <v>6.3773</v>
      </c>
      <c r="AL31" s="81">
        <f t="shared" si="242"/>
        <v>3.0634999999999999</v>
      </c>
      <c r="AM31" s="82">
        <f t="shared" si="242"/>
        <v>9.9832000000000001</v>
      </c>
      <c r="AN31" s="135" t="e">
        <f t="shared" si="242"/>
        <v>#DIV/0!</v>
      </c>
      <c r="AO31" s="81" t="e">
        <f t="shared" si="242"/>
        <v>#DIV/0!</v>
      </c>
      <c r="AP31" s="82" t="e">
        <f t="shared" si="242"/>
        <v>#DIV/0!</v>
      </c>
    </row>
    <row r="32" spans="1:43" x14ac:dyDescent="0.25">
      <c r="A32" s="89"/>
      <c r="B32" s="11" t="s">
        <v>66</v>
      </c>
      <c r="C32" s="113" t="s">
        <v>67</v>
      </c>
      <c r="D32" s="107" t="s">
        <v>12</v>
      </c>
      <c r="E32" s="96" t="s">
        <v>0</v>
      </c>
      <c r="F32" s="175"/>
      <c r="G32" s="135">
        <f>VLOOKUP(G$1,'GCR Rate and Recovery'!$A:$F,6,FALSE)</f>
        <v>5.7556000000000003</v>
      </c>
      <c r="H32" s="81">
        <f>VLOOKUP(H$1,'GCR Rate and Recovery'!$A:$F,6,FALSE)</f>
        <v>5.7556000000000003</v>
      </c>
      <c r="I32" s="82">
        <f>VLOOKUP(I$1,'GCR Rate and Recovery'!$A:$F,6,FALSE)</f>
        <v>5.7556000000000003</v>
      </c>
      <c r="J32" s="135"/>
      <c r="K32" s="81">
        <f>VLOOKUP(K$1,'GCR Rate and Recovery'!$A:$F,6,FALSE)</f>
        <v>3.4611999999999998</v>
      </c>
      <c r="L32" s="82">
        <f>VLOOKUP(L$1,'GCR Rate and Recovery'!$A:$F,6,FALSE)</f>
        <v>3.4611999999999998</v>
      </c>
      <c r="M32" s="135">
        <f>VLOOKUP(M$1,'GCR Rate and Recovery'!$A:$F,6,FALSE)</f>
        <v>4.0663</v>
      </c>
      <c r="N32" s="81">
        <f>VLOOKUP(N$1,'GCR Rate and Recovery'!$A:$F,6,FALSE)</f>
        <v>4.0663</v>
      </c>
      <c r="O32" s="82">
        <f>VLOOKUP(O$1,'GCR Rate and Recovery'!$A:$F,6,FALSE)</f>
        <v>4.0663</v>
      </c>
      <c r="P32" s="135">
        <f>VLOOKUP(P$1,'GCR Rate and Recovery'!$A:$F,6,FALSE)</f>
        <v>5.4179000000000004</v>
      </c>
      <c r="Q32" s="81">
        <f>VLOOKUP(Q$1,'GCR Rate and Recovery'!$A:$F,6,FALSE)</f>
        <v>5.4179000000000004</v>
      </c>
      <c r="R32" s="82">
        <f>VLOOKUP(R$1,'GCR Rate and Recovery'!$A:$F,6,FALSE)</f>
        <v>5.4179000000000004</v>
      </c>
      <c r="S32" s="135">
        <f>VLOOKUP(S$1,'GCR Rate and Recovery'!$A:$F,6,FALSE)</f>
        <v>5.8064</v>
      </c>
      <c r="T32" s="81">
        <f>VLOOKUP(T$1,'GCR Rate and Recovery'!$A:$F,6,FALSE)</f>
        <v>5.8064</v>
      </c>
      <c r="U32" s="82">
        <f>VLOOKUP(U$1,'GCR Rate and Recovery'!$A:$F,6,FALSE)</f>
        <v>5.8064</v>
      </c>
      <c r="V32" s="135">
        <f>VLOOKUP(V$1,'GCR Rate and Recovery'!$A:$F,6,FALSE)</f>
        <v>5.1132</v>
      </c>
      <c r="W32" s="81">
        <f>VLOOKUP(W$1,'GCR Rate and Recovery'!$A:$F,6,FALSE)</f>
        <v>5.1132</v>
      </c>
      <c r="X32" s="82">
        <f>VLOOKUP(X$1,'GCR Rate and Recovery'!$A:$F,6,FALSE)</f>
        <v>5.1132</v>
      </c>
      <c r="Y32" s="135">
        <f>VLOOKUP(Y$1,'GCR Rate and Recovery'!$A:$F,6,FALSE)</f>
        <v>5.1132</v>
      </c>
      <c r="Z32" s="81">
        <f>VLOOKUP(Z$1,'GCR Rate and Recovery'!$A:$F,6,FALSE)</f>
        <v>5.1132</v>
      </c>
      <c r="AA32" s="82">
        <f>VLOOKUP(AA$1,'GCR Rate and Recovery'!$A:$F,6,FALSE)</f>
        <v>5.1132</v>
      </c>
      <c r="AB32" s="135">
        <f>VLOOKUP(AB$1,'GCR Rate and Recovery'!$A:$F,6,FALSE)</f>
        <v>5.1132</v>
      </c>
      <c r="AC32" s="81">
        <f>VLOOKUP(AC$1,'GCR Rate and Recovery'!$A:$F,6,FALSE)</f>
        <v>5.1132</v>
      </c>
      <c r="AD32" s="82">
        <f>VLOOKUP(AD$1,'GCR Rate and Recovery'!$A:$F,6,FALSE)</f>
        <v>5.1132</v>
      </c>
      <c r="AE32" s="135">
        <f>VLOOKUP(AE$1,'GCR Rate and Recovery'!$A:$F,6,FALSE)</f>
        <v>5.1132</v>
      </c>
      <c r="AF32" s="81">
        <f>VLOOKUP(AF$1,'GCR Rate and Recovery'!$A:$F,6,FALSE)</f>
        <v>5.1132</v>
      </c>
      <c r="AG32" s="82">
        <f>VLOOKUP(AG$1,'GCR Rate and Recovery'!$A:$F,6,FALSE)</f>
        <v>5.1132</v>
      </c>
      <c r="AH32" s="135">
        <f>VLOOKUP(AH$1,'GCR Rate and Recovery'!$A:$F,6,FALSE)</f>
        <v>5.1132</v>
      </c>
      <c r="AI32" s="81">
        <f>VLOOKUP(AI$1,'GCR Rate and Recovery'!$A:$F,6,FALSE)</f>
        <v>5.1132</v>
      </c>
      <c r="AJ32" s="82">
        <f>VLOOKUP(AJ$1,'GCR Rate and Recovery'!$A:$F,6,FALSE)</f>
        <v>5.1132</v>
      </c>
      <c r="AK32" s="135">
        <f>VLOOKUP(AK$1,'GCR Rate and Recovery'!$A:$F,6,FALSE)</f>
        <v>5.1132</v>
      </c>
      <c r="AL32" s="81">
        <f>VLOOKUP(AL$1,'GCR Rate and Recovery'!$A:$F,6,FALSE)</f>
        <v>5.1132</v>
      </c>
      <c r="AM32" s="82">
        <f>VLOOKUP(AM$1,'GCR Rate and Recovery'!$A:$F,6,FALSE)</f>
        <v>5.1132</v>
      </c>
      <c r="AN32" s="135">
        <f>VLOOKUP(AN$1,'GCR Rate and Recovery'!$A:$F,6,FALSE)</f>
        <v>5.1132</v>
      </c>
      <c r="AO32" s="81">
        <f>VLOOKUP(AO$1,'GCR Rate and Recovery'!$A:$F,6,FALSE)</f>
        <v>5.1132</v>
      </c>
      <c r="AP32" s="82">
        <f>VLOOKUP(AP$1,'GCR Rate and Recovery'!$A:$F,6,FALSE)</f>
        <v>5.1132</v>
      </c>
    </row>
    <row r="33" spans="1:42" x14ac:dyDescent="0.25">
      <c r="A33" s="89"/>
      <c r="B33" s="119" t="s">
        <v>4</v>
      </c>
      <c r="C33" s="120" t="s">
        <v>68</v>
      </c>
      <c r="D33" s="121" t="s">
        <v>69</v>
      </c>
      <c r="E33" s="97" t="s">
        <v>0</v>
      </c>
      <c r="F33" s="177"/>
      <c r="G33" s="62">
        <f t="shared" ref="G33:O33" si="243">G31-G32</f>
        <v>-1.1771000000000003</v>
      </c>
      <c r="H33" s="63">
        <f t="shared" si="243"/>
        <v>0.88749999999999929</v>
      </c>
      <c r="I33" s="64">
        <f t="shared" si="243"/>
        <v>-4.5888</v>
      </c>
      <c r="J33" s="62">
        <f t="shared" si="243"/>
        <v>8.3324999999999996</v>
      </c>
      <c r="K33" s="63">
        <f t="shared" si="243"/>
        <v>2.5274000000000001</v>
      </c>
      <c r="L33" s="64">
        <f t="shared" si="243"/>
        <v>20.1858</v>
      </c>
      <c r="M33" s="62">
        <f t="shared" si="243"/>
        <v>12.159799999999999</v>
      </c>
      <c r="N33" s="63">
        <f t="shared" si="243"/>
        <v>5.4864999999999995</v>
      </c>
      <c r="O33" s="64">
        <f t="shared" si="243"/>
        <v>16.747900000000001</v>
      </c>
      <c r="P33" s="62">
        <f t="shared" ref="P33" si="244">P31-P32</f>
        <v>14.5426</v>
      </c>
      <c r="Q33" s="63">
        <f t="shared" ref="Q33" si="245">Q31-Q32</f>
        <v>-5.3853</v>
      </c>
      <c r="R33" s="64">
        <f t="shared" ref="R33" si="246">R31-R32</f>
        <v>-5.9166000000000007</v>
      </c>
      <c r="S33" s="62">
        <f t="shared" ref="S33" si="247">S31-S32</f>
        <v>-6.2153</v>
      </c>
      <c r="T33" s="63">
        <f t="shared" ref="T33" si="248">T31-T32</f>
        <v>-5.0595999999999997</v>
      </c>
      <c r="U33" s="64">
        <f t="shared" ref="U33" si="249">U31-U32</f>
        <v>-4.266</v>
      </c>
      <c r="V33" s="62">
        <f t="shared" ref="V33" si="250">V31-V32</f>
        <v>-0.71530000000000005</v>
      </c>
      <c r="W33" s="63">
        <f t="shared" ref="W33" si="251">W31-W32</f>
        <v>-2.8460000000000001</v>
      </c>
      <c r="X33" s="64">
        <f t="shared" ref="X33" si="252">X31-X32</f>
        <v>1.2005999999999997</v>
      </c>
      <c r="Y33" s="62">
        <f t="shared" ref="Y33" si="253">Y31-Y32</f>
        <v>21.095600000000001</v>
      </c>
      <c r="Z33" s="63">
        <f t="shared" ref="Z33" si="254">Z31-Z32</f>
        <v>-3.7294</v>
      </c>
      <c r="AA33" s="64">
        <f t="shared" ref="AA33" si="255">AA31-AA32</f>
        <v>3.960000000000008E-2</v>
      </c>
      <c r="AB33" s="62">
        <f t="shared" ref="AB33" si="256">AB31-AB32</f>
        <v>4.1474000000000002</v>
      </c>
      <c r="AC33" s="63">
        <f t="shared" ref="AC33" si="257">AC31-AC32</f>
        <v>-4.2582000000000004</v>
      </c>
      <c r="AD33" s="64">
        <f t="shared" ref="AD33" si="258">AD31-AD32</f>
        <v>-5.9315999999999995</v>
      </c>
      <c r="AE33" s="62">
        <f t="shared" ref="AE33" si="259">AE31-AE32</f>
        <v>-3.4126000000000003</v>
      </c>
      <c r="AF33" s="63">
        <f t="shared" ref="AF33" si="260">AF31-AF32</f>
        <v>-1.1484000000000001</v>
      </c>
      <c r="AG33" s="64">
        <f t="shared" ref="AG33" si="261">AG31-AG32</f>
        <v>4.4793999999999992</v>
      </c>
      <c r="AH33" s="62">
        <f t="shared" ref="AH33" si="262">AH31-AH32</f>
        <v>6.4680000000000009</v>
      </c>
      <c r="AI33" s="63">
        <f t="shared" ref="AI33" si="263">AI31-AI32</f>
        <v>32.590000000000003</v>
      </c>
      <c r="AJ33" s="64">
        <f t="shared" ref="AJ33" si="264">AJ31-AJ32</f>
        <v>12.423200000000001</v>
      </c>
      <c r="AK33" s="62">
        <f t="shared" ref="AK33" si="265">AK31-AK32</f>
        <v>1.2641</v>
      </c>
      <c r="AL33" s="63">
        <f t="shared" ref="AL33" si="266">AL31-AL32</f>
        <v>-2.0497000000000001</v>
      </c>
      <c r="AM33" s="64">
        <f t="shared" ref="AM33" si="267">AM31-AM32</f>
        <v>4.87</v>
      </c>
      <c r="AN33" s="62" t="e">
        <f t="shared" ref="AN33" si="268">AN31-AN32</f>
        <v>#DIV/0!</v>
      </c>
      <c r="AO33" s="63" t="e">
        <f t="shared" ref="AO33" si="269">AO31-AO32</f>
        <v>#DIV/0!</v>
      </c>
      <c r="AP33" s="64" t="e">
        <f t="shared" ref="AP33" si="270">AP31-AP32</f>
        <v>#DIV/0!</v>
      </c>
    </row>
    <row r="34" spans="1:42" x14ac:dyDescent="0.25">
      <c r="A34" s="89"/>
      <c r="B34" s="122" t="s">
        <v>52</v>
      </c>
      <c r="C34" s="120" t="s">
        <v>70</v>
      </c>
      <c r="D34" s="123" t="s">
        <v>12</v>
      </c>
      <c r="E34" s="13" t="s">
        <v>2</v>
      </c>
      <c r="F34" s="178"/>
      <c r="G34" s="65">
        <f>G26</f>
        <v>5186</v>
      </c>
      <c r="H34" s="66">
        <f t="shared" ref="H34:AP34" si="271">H26</f>
        <v>4631</v>
      </c>
      <c r="I34" s="67">
        <f t="shared" si="271"/>
        <v>4683</v>
      </c>
      <c r="J34" s="65">
        <f t="shared" si="271"/>
        <v>2255</v>
      </c>
      <c r="K34" s="66">
        <f t="shared" si="271"/>
        <v>3718</v>
      </c>
      <c r="L34" s="67">
        <f t="shared" si="271"/>
        <v>1167</v>
      </c>
      <c r="M34" s="65">
        <f t="shared" si="271"/>
        <v>1428</v>
      </c>
      <c r="N34" s="66">
        <f t="shared" si="271"/>
        <v>2370</v>
      </c>
      <c r="O34" s="67">
        <f t="shared" si="271"/>
        <v>1281</v>
      </c>
      <c r="P34" s="65">
        <f t="shared" si="271"/>
        <v>758.7</v>
      </c>
      <c r="Q34" s="66">
        <f t="shared" si="271"/>
        <v>1929.8</v>
      </c>
      <c r="R34" s="67">
        <f t="shared" si="271"/>
        <v>4223.6000000000004</v>
      </c>
      <c r="S34" s="65">
        <f t="shared" si="271"/>
        <v>8441.4</v>
      </c>
      <c r="T34" s="66">
        <f t="shared" si="271"/>
        <v>3438.4</v>
      </c>
      <c r="U34" s="67">
        <f t="shared" si="271"/>
        <v>4111.7</v>
      </c>
      <c r="V34" s="65">
        <f t="shared" si="271"/>
        <v>1800</v>
      </c>
      <c r="W34" s="66">
        <f t="shared" si="271"/>
        <v>1592.1</v>
      </c>
      <c r="X34" s="67">
        <f t="shared" si="271"/>
        <v>1930.4</v>
      </c>
      <c r="Y34" s="65">
        <f t="shared" si="271"/>
        <v>482.2</v>
      </c>
      <c r="Z34" s="66">
        <f t="shared" si="271"/>
        <v>1536.8</v>
      </c>
      <c r="AA34" s="67">
        <f t="shared" si="271"/>
        <v>2147.1</v>
      </c>
      <c r="AB34" s="65">
        <f t="shared" si="271"/>
        <v>738.4</v>
      </c>
      <c r="AC34" s="66">
        <f t="shared" si="271"/>
        <v>1150</v>
      </c>
      <c r="AD34" s="67">
        <f t="shared" si="271"/>
        <v>4760</v>
      </c>
      <c r="AE34" s="65">
        <f t="shared" si="271"/>
        <v>6166.3</v>
      </c>
      <c r="AF34" s="66">
        <f t="shared" si="271"/>
        <v>7003.7</v>
      </c>
      <c r="AG34" s="67">
        <f t="shared" si="271"/>
        <v>4593.3999999999996</v>
      </c>
      <c r="AH34" s="65">
        <f t="shared" si="271"/>
        <v>2566.3000000000002</v>
      </c>
      <c r="AI34" s="66">
        <f t="shared" si="271"/>
        <v>818.2</v>
      </c>
      <c r="AJ34" s="67">
        <f t="shared" si="271"/>
        <v>787.2</v>
      </c>
      <c r="AK34" s="65">
        <f t="shared" si="271"/>
        <v>1067.9000000000001</v>
      </c>
      <c r="AL34" s="66">
        <f t="shared" si="271"/>
        <v>2486.9</v>
      </c>
      <c r="AM34" s="67">
        <f t="shared" si="271"/>
        <v>1303</v>
      </c>
      <c r="AN34" s="65">
        <f t="shared" si="271"/>
        <v>0</v>
      </c>
      <c r="AO34" s="66">
        <f t="shared" si="271"/>
        <v>0</v>
      </c>
      <c r="AP34" s="67">
        <f t="shared" si="271"/>
        <v>0</v>
      </c>
    </row>
    <row r="35" spans="1:42" x14ac:dyDescent="0.25">
      <c r="A35" s="89"/>
      <c r="B35" s="11" t="s">
        <v>71</v>
      </c>
      <c r="C35" s="124" t="s">
        <v>72</v>
      </c>
      <c r="D35" s="116" t="s">
        <v>73</v>
      </c>
      <c r="E35" s="96" t="s">
        <v>3</v>
      </c>
      <c r="F35" s="175"/>
      <c r="G35" s="223">
        <f>G33*G34</f>
        <v>-6104.4406000000017</v>
      </c>
      <c r="H35" s="224">
        <f t="shared" ref="H35:I35" si="272">H33*H34</f>
        <v>4110.0124999999971</v>
      </c>
      <c r="I35" s="225">
        <f t="shared" si="272"/>
        <v>-21489.350399999999</v>
      </c>
      <c r="J35" s="223">
        <f>J33*J34</f>
        <v>18789.787499999999</v>
      </c>
      <c r="K35" s="224">
        <f t="shared" ref="K35" si="273">K33*K34</f>
        <v>9396.8732</v>
      </c>
      <c r="L35" s="225">
        <f t="shared" ref="L35:M35" si="274">L33*L34</f>
        <v>23556.828600000001</v>
      </c>
      <c r="M35" s="223">
        <f t="shared" si="274"/>
        <v>17364.194399999997</v>
      </c>
      <c r="N35" s="224">
        <f t="shared" ref="N35" si="275">N33*N34</f>
        <v>13003.004999999999</v>
      </c>
      <c r="O35" s="225">
        <f t="shared" ref="O35:P35" si="276">O33*O34</f>
        <v>21454.0599</v>
      </c>
      <c r="P35" s="223">
        <f t="shared" si="276"/>
        <v>11033.47062</v>
      </c>
      <c r="Q35" s="224">
        <f t="shared" ref="Q35" si="277">Q33*Q34</f>
        <v>-10392.551939999999</v>
      </c>
      <c r="R35" s="225">
        <f t="shared" ref="R35:S35" si="278">R33*R34</f>
        <v>-24989.351760000005</v>
      </c>
      <c r="S35" s="223">
        <f t="shared" si="278"/>
        <v>-52465.833419999995</v>
      </c>
      <c r="T35" s="224">
        <f t="shared" ref="T35" si="279">T33*T34</f>
        <v>-17396.928639999998</v>
      </c>
      <c r="U35" s="225">
        <f t="shared" ref="U35:V35" si="280">U33*U34</f>
        <v>-17540.512200000001</v>
      </c>
      <c r="V35" s="223">
        <f t="shared" si="280"/>
        <v>-1287.5400000000002</v>
      </c>
      <c r="W35" s="224">
        <f t="shared" ref="W35" si="281">W33*W34</f>
        <v>-4531.1166000000003</v>
      </c>
      <c r="X35" s="225">
        <f t="shared" ref="X35:Y35" si="282">X33*X34</f>
        <v>2317.6382399999993</v>
      </c>
      <c r="Y35" s="223">
        <f t="shared" si="282"/>
        <v>10172.29832</v>
      </c>
      <c r="Z35" s="224">
        <f t="shared" ref="Z35" si="283">Z33*Z34</f>
        <v>-5731.3419199999998</v>
      </c>
      <c r="AA35" s="225">
        <f t="shared" ref="AA35:AB35" si="284">AA33*AA34</f>
        <v>85.02516000000017</v>
      </c>
      <c r="AB35" s="223">
        <f t="shared" si="284"/>
        <v>3062.4401600000001</v>
      </c>
      <c r="AC35" s="224">
        <f t="shared" ref="AC35" si="285">AC33*AC34</f>
        <v>-4896.93</v>
      </c>
      <c r="AD35" s="225">
        <f t="shared" ref="AD35:AE35" si="286">AD33*AD34</f>
        <v>-28234.415999999997</v>
      </c>
      <c r="AE35" s="223">
        <f t="shared" si="286"/>
        <v>-21043.115380000003</v>
      </c>
      <c r="AF35" s="224">
        <f t="shared" ref="AF35" si="287">AF33*AF34</f>
        <v>-8043.0490800000007</v>
      </c>
      <c r="AG35" s="225">
        <f t="shared" ref="AG35:AH35" si="288">AG33*AG34</f>
        <v>20575.675959999993</v>
      </c>
      <c r="AH35" s="223">
        <f t="shared" si="288"/>
        <v>16598.828400000002</v>
      </c>
      <c r="AI35" s="224">
        <f t="shared" ref="AI35" si="289">AI33*AI34</f>
        <v>26665.138000000003</v>
      </c>
      <c r="AJ35" s="225">
        <f t="shared" ref="AJ35:AK35" si="290">AJ33*AJ34</f>
        <v>9779.5430400000023</v>
      </c>
      <c r="AK35" s="223">
        <f t="shared" si="290"/>
        <v>1349.9323900000002</v>
      </c>
      <c r="AL35" s="224">
        <f t="shared" ref="AL35" si="291">AL33*AL34</f>
        <v>-5097.3989300000003</v>
      </c>
      <c r="AM35" s="225">
        <f t="shared" ref="AM35:AN35" si="292">AM33*AM34</f>
        <v>6345.6100000000006</v>
      </c>
      <c r="AN35" s="223" t="e">
        <f t="shared" si="292"/>
        <v>#DIV/0!</v>
      </c>
      <c r="AO35" s="224" t="e">
        <f t="shared" ref="AO35" si="293">AO33*AO34</f>
        <v>#DIV/0!</v>
      </c>
      <c r="AP35" s="225" t="e">
        <f t="shared" ref="AP35" si="294">AP33*AP34</f>
        <v>#DIV/0!</v>
      </c>
    </row>
    <row r="36" spans="1:42" x14ac:dyDescent="0.25">
      <c r="A36" s="89"/>
      <c r="C36" s="113"/>
    </row>
    <row r="37" spans="1:42" x14ac:dyDescent="0.25">
      <c r="A37" s="89"/>
      <c r="B37" s="12" t="s">
        <v>74</v>
      </c>
      <c r="G37" s="69" t="s">
        <v>3</v>
      </c>
      <c r="H37" s="158">
        <f>SUM(G35:I35)</f>
        <v>-23483.778500000004</v>
      </c>
      <c r="J37" s="69" t="s">
        <v>3</v>
      </c>
      <c r="K37" s="158">
        <f>SUM(J35:L35)</f>
        <v>51743.489300000001</v>
      </c>
      <c r="M37" s="69" t="s">
        <v>3</v>
      </c>
      <c r="N37" s="158">
        <f>SUM(M35:O35)</f>
        <v>51821.259299999998</v>
      </c>
      <c r="P37" s="69" t="s">
        <v>3</v>
      </c>
      <c r="Q37" s="158">
        <f>SUM(P35:R35)</f>
        <v>-24348.433080000003</v>
      </c>
      <c r="S37" s="69" t="s">
        <v>3</v>
      </c>
      <c r="T37" s="158">
        <f>SUM(S35:U35)</f>
        <v>-87403.274259999991</v>
      </c>
      <c r="V37" s="69" t="s">
        <v>3</v>
      </c>
      <c r="W37" s="158">
        <f>SUM(V35:X35)</f>
        <v>-3501.0183600000009</v>
      </c>
      <c r="Y37" s="69" t="s">
        <v>3</v>
      </c>
      <c r="Z37" s="158">
        <f>SUM(Y35:AA35)</f>
        <v>4525.9815600000002</v>
      </c>
      <c r="AB37" s="69" t="s">
        <v>3</v>
      </c>
      <c r="AC37" s="158">
        <f>SUM(AB35:AD35)</f>
        <v>-30068.905839999999</v>
      </c>
      <c r="AE37" s="69" t="s">
        <v>3</v>
      </c>
      <c r="AF37" s="158">
        <f>SUM(AE35:AG35)</f>
        <v>-8510.4885000000104</v>
      </c>
      <c r="AH37" s="69" t="s">
        <v>3</v>
      </c>
      <c r="AI37" s="158">
        <f>SUM(AH35:AJ35)</f>
        <v>53043.509440000009</v>
      </c>
      <c r="AK37" s="69" t="s">
        <v>3</v>
      </c>
      <c r="AL37" s="158">
        <f>SUM(AK35:AM35)</f>
        <v>2598.1434600000002</v>
      </c>
      <c r="AN37" s="69" t="s">
        <v>3</v>
      </c>
      <c r="AO37" s="158" t="e">
        <f>SUM(AN35:AP35)</f>
        <v>#DIV/0!</v>
      </c>
    </row>
    <row r="38" spans="1:42" x14ac:dyDescent="0.25">
      <c r="A38" s="89"/>
      <c r="B38" s="14" t="s">
        <v>75</v>
      </c>
      <c r="C38" s="125"/>
      <c r="D38" s="125"/>
      <c r="E38" s="153"/>
      <c r="F38" s="179"/>
      <c r="G38" s="70" t="s">
        <v>2</v>
      </c>
      <c r="H38" s="98">
        <f>SUMIFS('Purchases and Sales Data'!$K$3:$K$125,'Purchases and Sales Data'!$B$3:$B$125,"&gt;="&amp;EDATE(I1,-11),'Purchases and Sales Data'!$B$3:$B$125,"&lt;="&amp;I1)</f>
        <v>40927</v>
      </c>
      <c r="I38" s="71"/>
      <c r="J38" s="70" t="s">
        <v>2</v>
      </c>
      <c r="K38" s="98">
        <f>SUMIFS('Purchases and Sales Data'!$K$3:$K$125,'Purchases and Sales Data'!$B$3:$B$125,"&gt;="&amp;EDATE(L1,-11),'Purchases and Sales Data'!$B$3:$B$125,"&lt;="&amp;L1)</f>
        <v>40697</v>
      </c>
      <c r="L38" s="71"/>
      <c r="M38" s="70" t="s">
        <v>2</v>
      </c>
      <c r="N38" s="98">
        <f>SUMIFS('Purchases and Sales Data'!$K$3:$K$125,'Purchases and Sales Data'!$B$3:$B$125,"&gt;="&amp;EDATE(O1,-11),'Purchases and Sales Data'!$B$3:$B$125,"&lt;="&amp;O1)</f>
        <v>40874</v>
      </c>
      <c r="O38" s="71"/>
      <c r="P38" s="70" t="s">
        <v>2</v>
      </c>
      <c r="Q38" s="98">
        <f>SUMIFS('Purchases and Sales Data'!$K$3:$K$125,'Purchases and Sales Data'!$B$3:$B$125,"&gt;="&amp;EDATE(R1,-11),'Purchases and Sales Data'!$B$3:$B$125,"&lt;="&amp;R1)</f>
        <v>33631.1</v>
      </c>
      <c r="R38" s="71"/>
      <c r="S38" s="70" t="s">
        <v>2</v>
      </c>
      <c r="T38" s="98">
        <f>SUMIFS('Purchases and Sales Data'!$K$3:$K$125,'Purchases and Sales Data'!$B$3:$B$125,"&gt;="&amp;EDATE(U1,-11),'Purchases and Sales Data'!$B$3:$B$125,"&lt;="&amp;U1)</f>
        <v>35122.6</v>
      </c>
      <c r="U38" s="71"/>
      <c r="V38" s="70" t="s">
        <v>2</v>
      </c>
      <c r="W38" s="98">
        <f>SUMIFS('Purchases and Sales Data'!$K$3:$K$125,'Purchases and Sales Data'!$B$3:$B$125,"&gt;="&amp;EDATE(X1,-11),'Purchases and Sales Data'!$B$3:$B$125,"&lt;="&amp;X1)</f>
        <v>33305.1</v>
      </c>
      <c r="X38" s="71"/>
      <c r="Y38" s="70" t="s">
        <v>2</v>
      </c>
      <c r="Z38" s="98">
        <f>SUMIFS('Purchases and Sales Data'!$K$3:$K$125,'Purchases and Sales Data'!$B$3:$B$125,"&gt;="&amp;EDATE(AA1,-11),'Purchases and Sales Data'!$B$3:$B$125,"&lt;="&amp;AA1)</f>
        <v>32392.2</v>
      </c>
      <c r="AA38" s="71"/>
      <c r="AB38" s="70" t="s">
        <v>2</v>
      </c>
      <c r="AC38" s="98">
        <f>SUMIFS('Purchases and Sales Data'!$K$3:$K$125,'Purchases and Sales Data'!$B$3:$B$125,"&gt;="&amp;EDATE(AD1,-11),'Purchases and Sales Data'!$B$3:$B$125,"&lt;="&amp;AD1)</f>
        <v>32128.5</v>
      </c>
      <c r="AD38" s="71"/>
      <c r="AE38" s="70" t="s">
        <v>2</v>
      </c>
      <c r="AF38" s="98">
        <f>SUMIFS('Purchases and Sales Data'!$K$3:$K$125,'Purchases and Sales Data'!$B$3:$B$125,"&gt;="&amp;EDATE(AG1,-11),'Purchases and Sales Data'!$B$3:$B$125,"&lt;="&amp;AG1)</f>
        <v>33900.400000000001</v>
      </c>
      <c r="AG38" s="71"/>
      <c r="AH38" s="70" t="s">
        <v>2</v>
      </c>
      <c r="AI38" s="98">
        <f>SUMIFS('Purchases and Sales Data'!$K$3:$K$125,'Purchases and Sales Data'!$B$3:$B$125,"&gt;="&amp;EDATE(AJ1,-11),'Purchases and Sales Data'!$B$3:$B$125,"&lt;="&amp;AJ1)</f>
        <v>32749.600000000002</v>
      </c>
      <c r="AJ38" s="71"/>
      <c r="AK38" s="70" t="s">
        <v>2</v>
      </c>
      <c r="AL38" s="98">
        <f>SUMIFS('Purchases and Sales Data'!$K$3:$K$125,'Purchases and Sales Data'!$B$3:$B$125,"&gt;="&amp;EDATE(AM1,-11),'Purchases and Sales Data'!$B$3:$B$125,"&lt;="&amp;AM1)</f>
        <v>33441.300000000003</v>
      </c>
      <c r="AM38" s="71"/>
      <c r="AN38" s="70" t="s">
        <v>2</v>
      </c>
      <c r="AO38" s="98">
        <f>SUMIFS('Purchases and Sales Data'!$K$3:$K$125,'Purchases and Sales Data'!$B$3:$B$125,"&gt;="&amp;EDATE(AP1,-11),'Purchases and Sales Data'!$B$3:$B$125,"&lt;="&amp;AP1)</f>
        <v>26792.9</v>
      </c>
      <c r="AP38" s="71"/>
    </row>
    <row r="39" spans="1:42" x14ac:dyDescent="0.25">
      <c r="A39" s="89"/>
      <c r="B39" s="15" t="s">
        <v>76</v>
      </c>
      <c r="G39" s="72" t="s">
        <v>0</v>
      </c>
      <c r="H39" s="73">
        <f>ROUND((H37/H38),4)</f>
        <v>-0.57379999999999998</v>
      </c>
      <c r="I39" s="74"/>
      <c r="J39" s="72" t="s">
        <v>0</v>
      </c>
      <c r="K39" s="73">
        <f>ROUND((K37/K38),4)</f>
        <v>1.2714000000000001</v>
      </c>
      <c r="L39" s="74"/>
      <c r="M39" s="72" t="s">
        <v>0</v>
      </c>
      <c r="N39" s="73">
        <f>ROUND((N37/N38),4)</f>
        <v>1.2678</v>
      </c>
      <c r="O39" s="74"/>
      <c r="P39" s="72" t="s">
        <v>0</v>
      </c>
      <c r="Q39" s="73">
        <f>ROUND((Q37/Q38),4)</f>
        <v>-0.72399999999999998</v>
      </c>
      <c r="R39" s="74"/>
      <c r="S39" s="72" t="s">
        <v>0</v>
      </c>
      <c r="T39" s="73">
        <f>ROUND((T37/T38),4)</f>
        <v>-2.4885000000000002</v>
      </c>
      <c r="U39" s="74"/>
      <c r="V39" s="72" t="s">
        <v>0</v>
      </c>
      <c r="W39" s="73">
        <f>ROUND((W37/W38),4)</f>
        <v>-0.1051</v>
      </c>
      <c r="X39" s="74"/>
      <c r="Y39" s="72" t="s">
        <v>0</v>
      </c>
      <c r="Z39" s="73">
        <f>ROUND((Z37/Z38),4)</f>
        <v>0.13969999999999999</v>
      </c>
      <c r="AA39" s="74"/>
      <c r="AB39" s="72" t="s">
        <v>0</v>
      </c>
      <c r="AC39" s="73">
        <f>ROUND((AC37/AC38),4)</f>
        <v>-0.93589999999999995</v>
      </c>
      <c r="AD39" s="74"/>
      <c r="AE39" s="72" t="s">
        <v>0</v>
      </c>
      <c r="AF39" s="73">
        <f>ROUND((AF37/AF38),4)</f>
        <v>-0.251</v>
      </c>
      <c r="AG39" s="74"/>
      <c r="AH39" s="72" t="s">
        <v>0</v>
      </c>
      <c r="AI39" s="73">
        <f>ROUND((AI37/AI38),4)</f>
        <v>1.6196999999999999</v>
      </c>
      <c r="AJ39" s="74"/>
      <c r="AK39" s="72" t="s">
        <v>0</v>
      </c>
      <c r="AL39" s="73">
        <f>ROUND((AL37/AL38),4)</f>
        <v>7.7700000000000005E-2</v>
      </c>
      <c r="AM39" s="74"/>
      <c r="AN39" s="72" t="s">
        <v>0</v>
      </c>
      <c r="AO39" s="73" t="e">
        <f>ROUND((AO37/AO38),4)</f>
        <v>#DIV/0!</v>
      </c>
      <c r="AP39" s="74"/>
    </row>
    <row r="40" spans="1:42" x14ac:dyDescent="0.25">
      <c r="A40" s="89"/>
      <c r="H40" s="159"/>
      <c r="J40" s="139"/>
      <c r="K40" s="159"/>
      <c r="M40" s="139"/>
      <c r="N40" s="159"/>
      <c r="P40" s="139"/>
      <c r="Q40" s="159"/>
      <c r="S40" s="139"/>
      <c r="T40" s="159"/>
      <c r="V40" s="139"/>
      <c r="W40" s="159"/>
      <c r="Y40" s="139"/>
      <c r="Z40" s="159"/>
      <c r="AB40" s="139"/>
      <c r="AC40" s="159"/>
      <c r="AE40" s="139"/>
      <c r="AF40" s="159"/>
      <c r="AH40" s="139"/>
      <c r="AI40" s="159"/>
      <c r="AK40" s="139"/>
      <c r="AL40" s="159"/>
      <c r="AN40" s="139"/>
      <c r="AO40" s="159"/>
    </row>
    <row r="41" spans="1:42" x14ac:dyDescent="0.25">
      <c r="A41" s="99"/>
      <c r="B41" s="12"/>
      <c r="C41" s="12"/>
      <c r="G41" s="160"/>
      <c r="H41" s="150"/>
      <c r="I41" s="86"/>
      <c r="J41" s="160"/>
      <c r="K41" s="150"/>
      <c r="L41" s="86"/>
      <c r="M41" s="160"/>
      <c r="N41" s="150"/>
      <c r="O41" s="86"/>
      <c r="P41" s="160"/>
      <c r="Q41" s="150"/>
      <c r="R41" s="86"/>
      <c r="S41" s="160"/>
      <c r="T41" s="150"/>
      <c r="U41" s="86"/>
      <c r="V41" s="160"/>
      <c r="W41" s="150"/>
      <c r="X41" s="86"/>
      <c r="Y41" s="160"/>
      <c r="Z41" s="150"/>
      <c r="AA41" s="86"/>
      <c r="AB41" s="160"/>
      <c r="AC41" s="150"/>
      <c r="AD41" s="86"/>
      <c r="AE41" s="160"/>
      <c r="AF41" s="150"/>
      <c r="AG41" s="86"/>
      <c r="AH41" s="160"/>
      <c r="AI41" s="150"/>
      <c r="AJ41" s="86"/>
      <c r="AK41" s="160"/>
      <c r="AL41" s="150"/>
      <c r="AM41" s="86"/>
      <c r="AN41" s="160"/>
      <c r="AO41" s="150"/>
      <c r="AP41" s="86"/>
    </row>
    <row r="42" spans="1:42" x14ac:dyDescent="0.25">
      <c r="A42" s="99"/>
      <c r="B42" s="226" t="s">
        <v>131</v>
      </c>
      <c r="J42" s="136"/>
      <c r="M42" s="136"/>
      <c r="P42" s="136"/>
      <c r="S42" s="136"/>
      <c r="V42" s="136"/>
      <c r="Y42" s="136"/>
      <c r="AB42" s="136"/>
      <c r="AE42" s="136"/>
      <c r="AH42" s="136"/>
      <c r="AK42" s="136"/>
      <c r="AN42" s="136"/>
    </row>
    <row r="43" spans="1:42" x14ac:dyDescent="0.25">
      <c r="A43" s="126"/>
      <c r="B43" s="227" t="s">
        <v>132</v>
      </c>
    </row>
    <row r="44" spans="1:42" x14ac:dyDescent="0.25">
      <c r="A44" s="99"/>
      <c r="D44" s="16" t="s">
        <v>77</v>
      </c>
      <c r="E44" s="75"/>
      <c r="G44" s="16" t="s">
        <v>78</v>
      </c>
      <c r="H44" s="17"/>
      <c r="J44" s="16" t="s">
        <v>78</v>
      </c>
      <c r="K44" s="17"/>
      <c r="M44" s="16" t="s">
        <v>78</v>
      </c>
      <c r="N44" s="17"/>
      <c r="P44" s="16" t="s">
        <v>78</v>
      </c>
      <c r="Q44" s="17"/>
      <c r="S44" s="16" t="s">
        <v>78</v>
      </c>
      <c r="T44" s="17"/>
      <c r="V44" s="16" t="s">
        <v>78</v>
      </c>
      <c r="W44" s="17"/>
      <c r="Y44" s="16" t="s">
        <v>78</v>
      </c>
      <c r="Z44" s="17"/>
      <c r="AB44" s="16" t="s">
        <v>78</v>
      </c>
      <c r="AC44" s="17"/>
      <c r="AE44" s="16" t="s">
        <v>78</v>
      </c>
      <c r="AF44" s="17"/>
      <c r="AH44" s="16" t="s">
        <v>78</v>
      </c>
      <c r="AI44" s="17"/>
      <c r="AK44" s="16" t="s">
        <v>78</v>
      </c>
      <c r="AL44" s="17"/>
      <c r="AN44" s="16" t="s">
        <v>78</v>
      </c>
      <c r="AO44" s="17"/>
    </row>
    <row r="45" spans="1:42" x14ac:dyDescent="0.25">
      <c r="A45" s="99"/>
      <c r="D45" s="18" t="s">
        <v>79</v>
      </c>
      <c r="E45" s="154" t="s">
        <v>80</v>
      </c>
      <c r="G45" s="18" t="s">
        <v>79</v>
      </c>
      <c r="H45" s="19">
        <f>EDATE(G3,-1)</f>
        <v>44896</v>
      </c>
      <c r="J45" s="18" t="s">
        <v>79</v>
      </c>
      <c r="K45" s="19">
        <f>EDATE(J3,-1)</f>
        <v>44986</v>
      </c>
      <c r="M45" s="18" t="s">
        <v>79</v>
      </c>
      <c r="N45" s="19">
        <f>EDATE(M3,-1)</f>
        <v>45078</v>
      </c>
      <c r="P45" s="18" t="s">
        <v>79</v>
      </c>
      <c r="Q45" s="19">
        <f>EDATE(P3,-1)</f>
        <v>45170</v>
      </c>
      <c r="S45" s="18" t="s">
        <v>79</v>
      </c>
      <c r="T45" s="19">
        <f>EDATE(S3,-1)</f>
        <v>45261</v>
      </c>
      <c r="V45" s="18" t="s">
        <v>79</v>
      </c>
      <c r="W45" s="19">
        <f>EDATE(V3,-1)</f>
        <v>45352</v>
      </c>
      <c r="Y45" s="18" t="s">
        <v>79</v>
      </c>
      <c r="Z45" s="19">
        <f>EDATE(Y3,-1)</f>
        <v>45444</v>
      </c>
      <c r="AB45" s="18" t="s">
        <v>79</v>
      </c>
      <c r="AC45" s="19">
        <f>EDATE(AB3,-1)</f>
        <v>45536</v>
      </c>
      <c r="AE45" s="18" t="s">
        <v>79</v>
      </c>
      <c r="AF45" s="19">
        <f>EDATE(AE3,-1)</f>
        <v>45627</v>
      </c>
      <c r="AH45" s="18" t="s">
        <v>79</v>
      </c>
      <c r="AI45" s="19">
        <f>EDATE(AH3,-1)</f>
        <v>45717</v>
      </c>
      <c r="AK45" s="18" t="s">
        <v>79</v>
      </c>
      <c r="AL45" s="19">
        <f>EDATE(AK3,-1)</f>
        <v>45809</v>
      </c>
      <c r="AN45" s="18" t="s">
        <v>79</v>
      </c>
      <c r="AO45" s="19">
        <f>EDATE(AN3,-1)</f>
        <v>45901</v>
      </c>
    </row>
    <row r="46" spans="1:42" x14ac:dyDescent="0.25">
      <c r="A46" s="127"/>
      <c r="D46" s="166">
        <v>30544.97</v>
      </c>
      <c r="E46" s="129" t="s">
        <v>3</v>
      </c>
      <c r="G46" s="166">
        <v>30544.97</v>
      </c>
      <c r="H46" s="128" t="s">
        <v>3</v>
      </c>
      <c r="J46" s="166">
        <f>I14</f>
        <v>32192.042512722706</v>
      </c>
      <c r="K46" s="128" t="s">
        <v>3</v>
      </c>
      <c r="M46" s="166">
        <f>L14</f>
        <v>55631.956824722707</v>
      </c>
      <c r="N46" s="128" t="s">
        <v>3</v>
      </c>
      <c r="P46" s="166">
        <f>O14</f>
        <v>85003.449136722717</v>
      </c>
      <c r="Q46" s="128" t="s">
        <v>3</v>
      </c>
      <c r="S46" s="166">
        <f>R14</f>
        <v>77164.839539382403</v>
      </c>
      <c r="T46" s="128" t="s">
        <v>3</v>
      </c>
      <c r="V46" s="166">
        <f>U14</f>
        <v>48728.64824642663</v>
      </c>
      <c r="W46" s="128" t="s">
        <v>3</v>
      </c>
      <c r="Y46" s="166">
        <f>X14</f>
        <v>50861.958093290079</v>
      </c>
      <c r="Z46" s="128" t="s">
        <v>3</v>
      </c>
      <c r="AB46" s="166">
        <f>AA14</f>
        <v>56090.657904040956</v>
      </c>
      <c r="AC46" s="128" t="s">
        <v>3</v>
      </c>
      <c r="AE46" s="166">
        <f>AD14</f>
        <v>40343.325372953055</v>
      </c>
      <c r="AF46" s="128" t="s">
        <v>3</v>
      </c>
      <c r="AH46" s="166">
        <f>AG14</f>
        <v>41541.180734314243</v>
      </c>
      <c r="AI46" s="128" t="s">
        <v>3</v>
      </c>
      <c r="AK46" s="166">
        <f>AJ14</f>
        <v>73723.896329314244</v>
      </c>
      <c r="AL46" s="128" t="s">
        <v>3</v>
      </c>
      <c r="AN46" s="166">
        <f>AM14</f>
        <v>80318.126500434024</v>
      </c>
      <c r="AO46" s="128" t="s">
        <v>3</v>
      </c>
    </row>
    <row r="47" spans="1:42" x14ac:dyDescent="0.25">
      <c r="A47" s="127"/>
      <c r="D47" s="167">
        <v>13054</v>
      </c>
      <c r="E47" s="155" t="s">
        <v>15</v>
      </c>
      <c r="G47" s="167">
        <v>13054</v>
      </c>
      <c r="H47" s="130" t="s">
        <v>15</v>
      </c>
      <c r="J47" s="167">
        <f>I19</f>
        <v>12721.86</v>
      </c>
      <c r="K47" s="130" t="s">
        <v>15</v>
      </c>
      <c r="M47" s="167">
        <f>L19</f>
        <v>19864.240000000002</v>
      </c>
      <c r="N47" s="130" t="s">
        <v>15</v>
      </c>
      <c r="P47" s="167">
        <f>O19</f>
        <v>28816.010000000002</v>
      </c>
      <c r="Q47" s="130" t="s">
        <v>15</v>
      </c>
      <c r="S47" s="167">
        <f>R19</f>
        <v>25902.800000000003</v>
      </c>
      <c r="T47" s="130" t="s">
        <v>15</v>
      </c>
      <c r="V47" s="167">
        <f>U19</f>
        <v>16357.300000000003</v>
      </c>
      <c r="W47" s="130" t="s">
        <v>15</v>
      </c>
      <c r="Y47" s="167">
        <f>X19</f>
        <v>16848.670000000002</v>
      </c>
      <c r="Z47" s="130" t="s">
        <v>15</v>
      </c>
      <c r="AB47" s="167">
        <f>AA19</f>
        <v>18223.160000000003</v>
      </c>
      <c r="AC47" s="130" t="s">
        <v>15</v>
      </c>
      <c r="AE47" s="167">
        <f>AD19</f>
        <v>12998.080000000002</v>
      </c>
      <c r="AF47" s="130" t="s">
        <v>15</v>
      </c>
      <c r="AH47" s="167">
        <f>AG19</f>
        <v>12042.000000000002</v>
      </c>
      <c r="AI47" s="130" t="s">
        <v>15</v>
      </c>
      <c r="AK47" s="167">
        <f>AJ19</f>
        <v>21055.680000000004</v>
      </c>
      <c r="AL47" s="130" t="s">
        <v>15</v>
      </c>
      <c r="AN47" s="167">
        <f>AM19</f>
        <v>22907.230000000003</v>
      </c>
      <c r="AO47" s="130" t="s">
        <v>15</v>
      </c>
    </row>
    <row r="48" spans="1:42" x14ac:dyDescent="0.25">
      <c r="A48" s="99"/>
      <c r="D48" s="20">
        <f>ROUND((D46/D47),4)</f>
        <v>2.3399000000000001</v>
      </c>
      <c r="E48" s="156" t="s">
        <v>24</v>
      </c>
      <c r="G48" s="20">
        <f>ROUND((G46/G47),4)</f>
        <v>2.3399000000000001</v>
      </c>
      <c r="H48" s="131" t="s">
        <v>24</v>
      </c>
      <c r="J48" s="20">
        <f>ROUND((J46/J47),4)</f>
        <v>2.5305</v>
      </c>
      <c r="K48" s="131" t="s">
        <v>24</v>
      </c>
      <c r="M48" s="20">
        <f>ROUND((M46/M47),4)</f>
        <v>2.8006000000000002</v>
      </c>
      <c r="N48" s="131" t="s">
        <v>24</v>
      </c>
      <c r="P48" s="20">
        <f>ROUND((P46/P47),4)</f>
        <v>2.9499</v>
      </c>
      <c r="Q48" s="131" t="s">
        <v>24</v>
      </c>
      <c r="S48" s="20">
        <f>ROUND((S46/S47),4)</f>
        <v>2.9790000000000001</v>
      </c>
      <c r="T48" s="131" t="s">
        <v>24</v>
      </c>
      <c r="V48" s="20">
        <f>ROUND((V46/V47),4)</f>
        <v>2.9790000000000001</v>
      </c>
      <c r="W48" s="131" t="s">
        <v>24</v>
      </c>
      <c r="Y48" s="20">
        <f>ROUND((Y46/Y47),4)</f>
        <v>3.0188000000000001</v>
      </c>
      <c r="Z48" s="131" t="s">
        <v>24</v>
      </c>
      <c r="AB48" s="20">
        <f>ROUND((AB46/AB47),4)</f>
        <v>3.0779999999999998</v>
      </c>
      <c r="AC48" s="131" t="s">
        <v>24</v>
      </c>
      <c r="AE48" s="20">
        <f>ROUND((AE46/AE47),4)</f>
        <v>3.1038000000000001</v>
      </c>
      <c r="AF48" s="131" t="s">
        <v>24</v>
      </c>
      <c r="AH48" s="20">
        <f>ROUND((AH46/AH47),4)</f>
        <v>3.4497</v>
      </c>
      <c r="AI48" s="131" t="s">
        <v>24</v>
      </c>
      <c r="AK48" s="20">
        <f>ROUND((AK46/AK47),4)</f>
        <v>3.5013999999999998</v>
      </c>
      <c r="AL48" s="131" t="s">
        <v>24</v>
      </c>
      <c r="AN48" s="20">
        <f>ROUND((AN46/AN47),4)</f>
        <v>3.5062000000000002</v>
      </c>
      <c r="AO48" s="131" t="s">
        <v>24</v>
      </c>
    </row>
    <row r="49" spans="1:41" x14ac:dyDescent="0.25">
      <c r="A49" s="99"/>
      <c r="D49" s="21">
        <f>D47/D53</f>
        <v>12673.786407766989</v>
      </c>
      <c r="E49" s="129" t="s">
        <v>81</v>
      </c>
      <c r="G49" s="21">
        <f>G47/G53</f>
        <v>12673.786407766989</v>
      </c>
      <c r="H49" s="128" t="s">
        <v>81</v>
      </c>
      <c r="J49" s="21">
        <f>J47/J53</f>
        <v>12351.320388349515</v>
      </c>
      <c r="K49" s="128" t="s">
        <v>81</v>
      </c>
      <c r="M49" s="21">
        <f>M47/M53</f>
        <v>19285.669902912621</v>
      </c>
      <c r="N49" s="128" t="s">
        <v>81</v>
      </c>
      <c r="P49" s="21">
        <f>P47/P53</f>
        <v>27976.708737864079</v>
      </c>
      <c r="Q49" s="128" t="s">
        <v>81</v>
      </c>
      <c r="S49" s="21">
        <f>S47/S53</f>
        <v>25148.34951456311</v>
      </c>
      <c r="T49" s="128" t="s">
        <v>81</v>
      </c>
      <c r="V49" s="21">
        <f>V47/V53</f>
        <v>15880.87378640777</v>
      </c>
      <c r="W49" s="128" t="s">
        <v>81</v>
      </c>
      <c r="Y49" s="21">
        <f>Y47/Y53</f>
        <v>16357.932038834953</v>
      </c>
      <c r="Z49" s="128" t="s">
        <v>81</v>
      </c>
      <c r="AB49" s="21">
        <f>AB47/AB53</f>
        <v>17692.388349514567</v>
      </c>
      <c r="AC49" s="128" t="s">
        <v>81</v>
      </c>
      <c r="AE49" s="21">
        <f>AE47/AE53</f>
        <v>12619.49514563107</v>
      </c>
      <c r="AF49" s="128" t="s">
        <v>81</v>
      </c>
      <c r="AH49" s="21">
        <f>AH47/AH53</f>
        <v>11691.262135922332</v>
      </c>
      <c r="AI49" s="128" t="s">
        <v>81</v>
      </c>
      <c r="AK49" s="21">
        <f>AK47/AK53</f>
        <v>20442.407766990294</v>
      </c>
      <c r="AL49" s="128" t="s">
        <v>81</v>
      </c>
      <c r="AN49" s="21">
        <f>AN47/AN53</f>
        <v>22240.029126213594</v>
      </c>
      <c r="AO49" s="128" t="s">
        <v>81</v>
      </c>
    </row>
    <row r="50" spans="1:41" x14ac:dyDescent="0.25">
      <c r="A50" s="99"/>
      <c r="D50" s="22">
        <f>ROUND((D46/(D47/D53)),4)</f>
        <v>2.4100999999999999</v>
      </c>
      <c r="E50" s="156" t="s">
        <v>82</v>
      </c>
      <c r="G50" s="22">
        <f>ROUND((G46/(G47/G53)),4)</f>
        <v>2.4100999999999999</v>
      </c>
      <c r="H50" s="131" t="s">
        <v>82</v>
      </c>
      <c r="J50" s="22">
        <f>ROUND((J46/(J47/J53)),4)</f>
        <v>2.6063999999999998</v>
      </c>
      <c r="K50" s="131" t="s">
        <v>82</v>
      </c>
      <c r="M50" s="22">
        <f>ROUND((M46/(M47/M53)),4)</f>
        <v>2.8845999999999998</v>
      </c>
      <c r="N50" s="131" t="s">
        <v>82</v>
      </c>
      <c r="P50" s="22">
        <f>ROUND((P46/(P47/P53)),4)</f>
        <v>3.0384000000000002</v>
      </c>
      <c r="Q50" s="131" t="s">
        <v>82</v>
      </c>
      <c r="S50" s="22">
        <f>ROUND((S46/(S47/S53)),4)</f>
        <v>3.0684</v>
      </c>
      <c r="T50" s="131" t="s">
        <v>82</v>
      </c>
      <c r="V50" s="22">
        <f>ROUND((V46/(V47/V53)),4)</f>
        <v>3.0684</v>
      </c>
      <c r="W50" s="131" t="s">
        <v>82</v>
      </c>
      <c r="Y50" s="22">
        <f>ROUND((Y46/(Y47/Y53)),4)</f>
        <v>3.1093000000000002</v>
      </c>
      <c r="Z50" s="131" t="s">
        <v>82</v>
      </c>
      <c r="AB50" s="22">
        <f>ROUND((AB46/(AB47/AB53)),4)</f>
        <v>3.1703000000000001</v>
      </c>
      <c r="AC50" s="131" t="s">
        <v>82</v>
      </c>
      <c r="AE50" s="22">
        <f>ROUND((AE46/(AE47/AE53)),4)</f>
        <v>3.1968999999999999</v>
      </c>
      <c r="AF50" s="131" t="s">
        <v>82</v>
      </c>
      <c r="AH50" s="22">
        <f>ROUND((AH46/(AH47/AH53)),4)</f>
        <v>3.5531999999999999</v>
      </c>
      <c r="AI50" s="131" t="s">
        <v>82</v>
      </c>
      <c r="AK50" s="22">
        <f>ROUND((AK46/(AK47/AK53)),4)</f>
        <v>3.6063999999999998</v>
      </c>
      <c r="AL50" s="131" t="s">
        <v>82</v>
      </c>
      <c r="AN50" s="22">
        <f>ROUND((AN46/(AN47/AN53)),4)</f>
        <v>3.6114000000000002</v>
      </c>
      <c r="AO50" s="131" t="s">
        <v>82</v>
      </c>
    </row>
    <row r="51" spans="1:41" x14ac:dyDescent="0.25">
      <c r="A51" s="99"/>
      <c r="D51" s="68"/>
      <c r="E51" s="68"/>
    </row>
    <row r="52" spans="1:41" x14ac:dyDescent="0.25">
      <c r="A52" s="99"/>
      <c r="D52" s="100" t="s">
        <v>83</v>
      </c>
      <c r="E52" s="68"/>
      <c r="G52" s="100" t="s">
        <v>83</v>
      </c>
      <c r="J52" s="100" t="s">
        <v>83</v>
      </c>
      <c r="M52" s="100" t="s">
        <v>83</v>
      </c>
      <c r="P52" s="100" t="s">
        <v>83</v>
      </c>
      <c r="S52" s="100" t="s">
        <v>83</v>
      </c>
      <c r="V52" s="100" t="s">
        <v>83</v>
      </c>
      <c r="Y52" s="100" t="s">
        <v>83</v>
      </c>
      <c r="AB52" s="100" t="s">
        <v>83</v>
      </c>
      <c r="AE52" s="100" t="s">
        <v>83</v>
      </c>
      <c r="AH52" s="100" t="s">
        <v>83</v>
      </c>
      <c r="AK52" s="100" t="s">
        <v>83</v>
      </c>
      <c r="AN52" s="100" t="s">
        <v>83</v>
      </c>
    </row>
    <row r="53" spans="1:41" x14ac:dyDescent="0.25">
      <c r="A53" s="99"/>
      <c r="B53" s="68"/>
      <c r="C53" s="68"/>
      <c r="D53" s="101">
        <v>1.03</v>
      </c>
      <c r="E53" s="68"/>
      <c r="G53" s="101">
        <v>1.03</v>
      </c>
      <c r="J53" s="101">
        <v>1.03</v>
      </c>
      <c r="M53" s="101">
        <v>1.03</v>
      </c>
      <c r="P53" s="101">
        <v>1.03</v>
      </c>
      <c r="S53" s="101">
        <v>1.03</v>
      </c>
      <c r="V53" s="101">
        <v>1.03</v>
      </c>
      <c r="Y53" s="101">
        <v>1.03</v>
      </c>
      <c r="AB53" s="101">
        <v>1.03</v>
      </c>
      <c r="AE53" s="101">
        <v>1.03</v>
      </c>
      <c r="AH53" s="101">
        <v>1.03</v>
      </c>
      <c r="AK53" s="101">
        <v>1.03</v>
      </c>
      <c r="AN53" s="101">
        <v>1.03</v>
      </c>
    </row>
    <row r="54" spans="1:41" x14ac:dyDescent="0.25">
      <c r="A54" s="89"/>
      <c r="D54" s="228" t="s">
        <v>134</v>
      </c>
      <c r="E54" s="68"/>
      <c r="G54" s="228" t="s">
        <v>134</v>
      </c>
      <c r="J54" s="228" t="s">
        <v>134</v>
      </c>
      <c r="M54" s="228" t="s">
        <v>134</v>
      </c>
      <c r="P54" s="228" t="s">
        <v>134</v>
      </c>
      <c r="S54" s="228" t="s">
        <v>134</v>
      </c>
      <c r="V54" s="228" t="s">
        <v>134</v>
      </c>
      <c r="Y54" s="228" t="s">
        <v>134</v>
      </c>
      <c r="AB54" s="228" t="s">
        <v>134</v>
      </c>
      <c r="AE54" s="228" t="s">
        <v>134</v>
      </c>
      <c r="AH54" s="228" t="s">
        <v>134</v>
      </c>
      <c r="AK54" s="228" t="s">
        <v>134</v>
      </c>
      <c r="AN54" s="228" t="s">
        <v>134</v>
      </c>
    </row>
    <row r="55" spans="1:41" x14ac:dyDescent="0.25">
      <c r="D55" s="228" t="s">
        <v>135</v>
      </c>
      <c r="G55" s="228" t="s">
        <v>135</v>
      </c>
      <c r="J55" s="228" t="s">
        <v>135</v>
      </c>
      <c r="M55" s="228" t="s">
        <v>135</v>
      </c>
      <c r="P55" s="228" t="s">
        <v>135</v>
      </c>
      <c r="S55" s="228" t="s">
        <v>135</v>
      </c>
      <c r="V55" s="228" t="s">
        <v>135</v>
      </c>
      <c r="Y55" s="228" t="s">
        <v>135</v>
      </c>
      <c r="AB55" s="228" t="s">
        <v>135</v>
      </c>
      <c r="AE55" s="228" t="s">
        <v>135</v>
      </c>
      <c r="AH55" s="228" t="s">
        <v>135</v>
      </c>
      <c r="AK55" s="228" t="s">
        <v>135</v>
      </c>
      <c r="AN55" s="228" t="s">
        <v>135</v>
      </c>
    </row>
  </sheetData>
  <mergeCells count="1">
    <mergeCell ref="B4:E4"/>
  </mergeCells>
  <phoneticPr fontId="12" type="noConversion"/>
  <pageMargins left="0.7" right="0.7" top="0.75" bottom="0.75" header="0.3" footer="0.3"/>
  <pageSetup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B6CE-76B2-4621-AE86-0D97BF3DDED8}">
  <dimension ref="A1:AK150"/>
  <sheetViews>
    <sheetView zoomScaleNormal="100" workbookViewId="0">
      <pane ySplit="2" topLeftCell="A3" activePane="bottomLeft" state="frozen"/>
      <selection pane="bottomLeft" activeCell="X6" sqref="X6"/>
    </sheetView>
  </sheetViews>
  <sheetFormatPr defaultColWidth="9.140625" defaultRowHeight="12.75" x14ac:dyDescent="0.2"/>
  <cols>
    <col min="1" max="1" width="10.7109375" style="45" hidden="1" customWidth="1"/>
    <col min="2" max="2" width="10" style="37" customWidth="1"/>
    <col min="3" max="3" width="11.28515625" style="29" customWidth="1"/>
    <col min="4" max="4" width="12.28515625" style="28" customWidth="1"/>
    <col min="5" max="5" width="12" style="29" customWidth="1"/>
    <col min="6" max="6" width="12" style="28" customWidth="1"/>
    <col min="7" max="7" width="10.5703125" style="29" customWidth="1"/>
    <col min="8" max="8" width="12.28515625" style="28" customWidth="1"/>
    <col min="9" max="9" width="9.85546875" style="29" customWidth="1"/>
    <col min="10" max="10" width="11.28515625" style="28" customWidth="1"/>
    <col min="11" max="11" width="10.28515625" style="27" customWidth="1"/>
    <col min="12" max="12" width="11.140625" style="38" customWidth="1"/>
    <col min="13" max="13" width="10.28515625" style="26" bestFit="1" customWidth="1"/>
    <col min="14" max="14" width="12.28515625" style="25" bestFit="1" customWidth="1"/>
    <col min="15" max="15" width="14.42578125" style="25" customWidth="1"/>
    <col min="16" max="16" width="10.28515625" style="24" bestFit="1" customWidth="1"/>
    <col min="17" max="17" width="10.5703125" style="24" customWidth="1"/>
    <col min="18" max="18" width="12.28515625" style="25" bestFit="1" customWidth="1"/>
    <col min="19" max="19" width="2.42578125" style="23" customWidth="1"/>
    <col min="20" max="20" width="3.28515625" style="23" bestFit="1" customWidth="1"/>
    <col min="21" max="21" width="31" style="23" bestFit="1" customWidth="1"/>
    <col min="22" max="22" width="13.7109375" style="23" customWidth="1"/>
    <col min="23" max="23" width="4.7109375" style="37" customWidth="1"/>
    <col min="24" max="24" width="12.5703125" style="23" customWidth="1"/>
    <col min="25" max="25" width="13.28515625" style="23" customWidth="1"/>
    <col min="26" max="26" width="11.140625" style="23" customWidth="1"/>
    <col min="27" max="27" width="11.28515625" style="23" bestFit="1" customWidth="1"/>
    <col min="28" max="30" width="9.42578125" style="23" customWidth="1"/>
    <col min="31" max="31" width="10.28515625" style="23" customWidth="1"/>
    <col min="32" max="37" width="9.42578125" style="23" customWidth="1"/>
    <col min="38" max="16384" width="9.140625" style="23"/>
  </cols>
  <sheetData>
    <row r="1" spans="1:37" x14ac:dyDescent="0.2">
      <c r="B1" s="237" t="s">
        <v>101</v>
      </c>
      <c r="C1" s="237"/>
      <c r="D1" s="237"/>
      <c r="E1" s="237"/>
      <c r="F1" s="237"/>
      <c r="G1" s="237"/>
      <c r="H1" s="237"/>
      <c r="I1" s="237"/>
      <c r="J1" s="237"/>
      <c r="K1" s="238"/>
      <c r="L1" s="239" t="s">
        <v>91</v>
      </c>
      <c r="M1" s="240"/>
      <c r="N1" s="240"/>
      <c r="O1" s="240"/>
      <c r="P1" s="240"/>
      <c r="Q1" s="240"/>
      <c r="R1" s="240"/>
    </row>
    <row r="2" spans="1:37" s="34" customFormat="1" ht="51" x14ac:dyDescent="0.2">
      <c r="A2" s="46" t="s">
        <v>102</v>
      </c>
      <c r="B2" s="203" t="s">
        <v>100</v>
      </c>
      <c r="C2" s="35" t="s">
        <v>99</v>
      </c>
      <c r="D2" s="36" t="s">
        <v>98</v>
      </c>
      <c r="E2" s="35" t="s">
        <v>97</v>
      </c>
      <c r="F2" s="36" t="s">
        <v>96</v>
      </c>
      <c r="G2" s="39" t="s">
        <v>95</v>
      </c>
      <c r="H2" s="40" t="s">
        <v>94</v>
      </c>
      <c r="I2" s="39" t="s">
        <v>93</v>
      </c>
      <c r="J2" s="36" t="s">
        <v>92</v>
      </c>
      <c r="K2" s="41" t="s">
        <v>85</v>
      </c>
      <c r="L2" s="203" t="s">
        <v>100</v>
      </c>
      <c r="M2" s="42" t="s">
        <v>90</v>
      </c>
      <c r="N2" s="40" t="s">
        <v>89</v>
      </c>
      <c r="O2" s="40" t="s">
        <v>88</v>
      </c>
      <c r="P2" s="39" t="s">
        <v>16</v>
      </c>
      <c r="Q2" s="39" t="s">
        <v>127</v>
      </c>
      <c r="R2" s="43" t="s">
        <v>86</v>
      </c>
      <c r="U2" s="146" t="s">
        <v>104</v>
      </c>
      <c r="V2" s="164">
        <v>45930</v>
      </c>
      <c r="W2" s="37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12.75" customHeight="1" x14ac:dyDescent="0.2">
      <c r="A3" s="149">
        <f>EOMONTH((B3),-1)+1</f>
        <v>43466</v>
      </c>
      <c r="B3" s="204">
        <v>43466</v>
      </c>
      <c r="C3" s="194">
        <v>5534</v>
      </c>
      <c r="D3" s="197">
        <v>30722.62</v>
      </c>
      <c r="E3" s="194">
        <v>1091</v>
      </c>
      <c r="F3" s="197">
        <v>5989.42</v>
      </c>
      <c r="G3" s="30">
        <f>C3+E3</f>
        <v>6625</v>
      </c>
      <c r="H3" s="32">
        <f t="shared" ref="H3:H66" si="0">SUM(D3+F3)</f>
        <v>36712.04</v>
      </c>
      <c r="I3" s="194">
        <v>0</v>
      </c>
      <c r="J3" s="197">
        <v>0</v>
      </c>
      <c r="K3" s="33">
        <v>6625</v>
      </c>
      <c r="L3" s="207">
        <v>43466</v>
      </c>
      <c r="M3" s="214">
        <v>4960</v>
      </c>
      <c r="N3" s="197">
        <v>15100.88</v>
      </c>
      <c r="O3" s="197">
        <v>6878.66</v>
      </c>
      <c r="P3" s="194">
        <v>7636.2</v>
      </c>
      <c r="Q3" s="30">
        <f>M3-P3</f>
        <v>-2676.2</v>
      </c>
      <c r="R3" s="31">
        <f>SUM(N3:O3)</f>
        <v>21979.54</v>
      </c>
      <c r="T3" s="34"/>
      <c r="U3" s="147" t="s">
        <v>105</v>
      </c>
      <c r="V3" s="162">
        <f>EDATE(V4,-11)</f>
        <v>45566</v>
      </c>
    </row>
    <row r="4" spans="1:37" x14ac:dyDescent="0.2">
      <c r="A4" s="149">
        <f t="shared" ref="A4:A67" si="1">EOMONTH((B4),-1)+1</f>
        <v>43497</v>
      </c>
      <c r="B4" s="204">
        <f>EDATE(B3,1)</f>
        <v>43497</v>
      </c>
      <c r="C4" s="194">
        <v>4788</v>
      </c>
      <c r="D4" s="197">
        <v>26525.91</v>
      </c>
      <c r="E4" s="194">
        <v>1012</v>
      </c>
      <c r="F4" s="197">
        <v>5529.75</v>
      </c>
      <c r="G4" s="30">
        <f t="shared" ref="G4:G67" si="2">C4+E4</f>
        <v>5800</v>
      </c>
      <c r="H4" s="32">
        <f t="shared" si="0"/>
        <v>32055.66</v>
      </c>
      <c r="I4" s="194">
        <v>0</v>
      </c>
      <c r="J4" s="197">
        <v>0</v>
      </c>
      <c r="K4" s="33">
        <v>5800</v>
      </c>
      <c r="L4" s="207">
        <f t="shared" ref="L4:L14" si="3">EDATE(L3,1)</f>
        <v>43497</v>
      </c>
      <c r="M4" s="214">
        <v>3950</v>
      </c>
      <c r="N4" s="197">
        <v>11551.06</v>
      </c>
      <c r="O4" s="197">
        <v>4784.5200000000004</v>
      </c>
      <c r="P4" s="194">
        <v>5311.4</v>
      </c>
      <c r="Q4" s="30">
        <f t="shared" ref="Q4:Q67" si="4">M4-P4</f>
        <v>-1361.3999999999996</v>
      </c>
      <c r="R4" s="31">
        <f t="shared" ref="R4:R67" si="5">SUM(N4:O4)</f>
        <v>16335.58</v>
      </c>
      <c r="T4" s="34"/>
      <c r="U4" s="148" t="s">
        <v>103</v>
      </c>
      <c r="V4" s="162">
        <f>EDATE((V2+1),-1)</f>
        <v>45901</v>
      </c>
    </row>
    <row r="5" spans="1:37" x14ac:dyDescent="0.2">
      <c r="A5" s="149">
        <f t="shared" si="1"/>
        <v>43525</v>
      </c>
      <c r="B5" s="204">
        <f>EDATE(B4,1)</f>
        <v>43525</v>
      </c>
      <c r="C5" s="194">
        <v>4927</v>
      </c>
      <c r="D5" s="197">
        <v>27298.15</v>
      </c>
      <c r="E5" s="194">
        <v>884</v>
      </c>
      <c r="F5" s="197">
        <v>4842.62</v>
      </c>
      <c r="G5" s="30">
        <f t="shared" si="2"/>
        <v>5811</v>
      </c>
      <c r="H5" s="32">
        <f t="shared" si="0"/>
        <v>32140.77</v>
      </c>
      <c r="I5" s="194">
        <v>0</v>
      </c>
      <c r="J5" s="197">
        <v>0</v>
      </c>
      <c r="K5" s="33">
        <v>5811</v>
      </c>
      <c r="L5" s="207">
        <f t="shared" si="3"/>
        <v>43525</v>
      </c>
      <c r="M5" s="214">
        <v>4198</v>
      </c>
      <c r="N5" s="197">
        <v>12410.22</v>
      </c>
      <c r="O5" s="197">
        <v>4726.88</v>
      </c>
      <c r="P5" s="194">
        <v>5247.4</v>
      </c>
      <c r="Q5" s="30">
        <f t="shared" si="4"/>
        <v>-1049.3999999999996</v>
      </c>
      <c r="R5" s="31">
        <f t="shared" si="5"/>
        <v>17137.099999999999</v>
      </c>
    </row>
    <row r="6" spans="1:37" x14ac:dyDescent="0.2">
      <c r="A6" s="149">
        <f t="shared" si="1"/>
        <v>43556</v>
      </c>
      <c r="B6" s="204">
        <f t="shared" ref="B6:B68" si="6">EDATE(B5,1)</f>
        <v>43556</v>
      </c>
      <c r="C6" s="194">
        <v>1878</v>
      </c>
      <c r="D6" s="197">
        <v>10405.709999999999</v>
      </c>
      <c r="E6" s="194">
        <v>377</v>
      </c>
      <c r="F6" s="197">
        <v>2075.48</v>
      </c>
      <c r="G6" s="30">
        <f t="shared" si="2"/>
        <v>2255</v>
      </c>
      <c r="H6" s="32">
        <f t="shared" si="0"/>
        <v>12481.189999999999</v>
      </c>
      <c r="I6" s="194">
        <v>0</v>
      </c>
      <c r="J6" s="197">
        <v>0</v>
      </c>
      <c r="K6" s="33">
        <v>2255</v>
      </c>
      <c r="L6" s="207">
        <f t="shared" si="3"/>
        <v>43556</v>
      </c>
      <c r="M6" s="214">
        <v>2714</v>
      </c>
      <c r="N6" s="197">
        <v>7535.57</v>
      </c>
      <c r="O6" s="197">
        <v>1531.17</v>
      </c>
      <c r="P6" s="194">
        <v>1699.8</v>
      </c>
      <c r="Q6" s="30">
        <f t="shared" si="4"/>
        <v>1014.2</v>
      </c>
      <c r="R6" s="31">
        <f t="shared" si="5"/>
        <v>9066.74</v>
      </c>
      <c r="T6" s="233" t="s">
        <v>101</v>
      </c>
      <c r="U6" s="141" t="s">
        <v>99</v>
      </c>
      <c r="V6" s="161">
        <f>SUMIFS(C3:C125,$B3:$B125,"&gt;="&amp;$V$3,$B3:$B125,"&lt;="&amp;$V$4)</f>
        <v>23946.200000000004</v>
      </c>
      <c r="W6" s="37" t="s">
        <v>2</v>
      </c>
    </row>
    <row r="7" spans="1:37" x14ac:dyDescent="0.2">
      <c r="A7" s="149">
        <f t="shared" si="1"/>
        <v>43586</v>
      </c>
      <c r="B7" s="204">
        <f t="shared" si="6"/>
        <v>43586</v>
      </c>
      <c r="C7" s="194">
        <v>583</v>
      </c>
      <c r="D7" s="197">
        <v>3232.95</v>
      </c>
      <c r="E7" s="194">
        <v>155</v>
      </c>
      <c r="F7" s="197">
        <v>846.28</v>
      </c>
      <c r="G7" s="30">
        <f t="shared" si="2"/>
        <v>738</v>
      </c>
      <c r="H7" s="32">
        <f t="shared" si="0"/>
        <v>4079.2299999999996</v>
      </c>
      <c r="I7" s="194">
        <v>0</v>
      </c>
      <c r="J7" s="197">
        <v>0</v>
      </c>
      <c r="K7" s="33">
        <v>738</v>
      </c>
      <c r="L7" s="207">
        <f t="shared" si="3"/>
        <v>43586</v>
      </c>
      <c r="M7" s="214">
        <v>3881</v>
      </c>
      <c r="N7" s="197">
        <v>10788.83</v>
      </c>
      <c r="O7" s="197">
        <v>1094.29</v>
      </c>
      <c r="P7" s="194">
        <v>1214.8</v>
      </c>
      <c r="Q7" s="30">
        <f t="shared" si="4"/>
        <v>2666.2</v>
      </c>
      <c r="R7" s="31">
        <f t="shared" si="5"/>
        <v>11883.119999999999</v>
      </c>
      <c r="T7" s="233"/>
      <c r="U7" s="142" t="s">
        <v>98</v>
      </c>
      <c r="V7" s="163">
        <f>SUMIFS(D3:D125,$B3:$B125,"&gt;="&amp;$V$3,$B3:$B125,"&lt;="&amp;$V$4)</f>
        <v>198761.26</v>
      </c>
      <c r="W7" s="37" t="s">
        <v>3</v>
      </c>
    </row>
    <row r="8" spans="1:37" x14ac:dyDescent="0.2">
      <c r="A8" s="149">
        <f t="shared" si="1"/>
        <v>43617</v>
      </c>
      <c r="B8" s="204">
        <f t="shared" si="6"/>
        <v>43617</v>
      </c>
      <c r="C8" s="194">
        <v>560</v>
      </c>
      <c r="D8" s="197">
        <v>2969.9</v>
      </c>
      <c r="E8" s="194">
        <v>131</v>
      </c>
      <c r="F8" s="197">
        <v>721.99</v>
      </c>
      <c r="G8" s="30">
        <f t="shared" si="2"/>
        <v>691</v>
      </c>
      <c r="H8" s="32">
        <f t="shared" si="0"/>
        <v>3691.8900000000003</v>
      </c>
      <c r="I8" s="194">
        <v>1853</v>
      </c>
      <c r="J8" s="197">
        <v>12643.34</v>
      </c>
      <c r="K8" s="33">
        <v>2544</v>
      </c>
      <c r="L8" s="207">
        <f t="shared" si="3"/>
        <v>43617</v>
      </c>
      <c r="M8" s="214">
        <v>3563</v>
      </c>
      <c r="N8" s="197">
        <v>9461.3700000000008</v>
      </c>
      <c r="O8" s="197">
        <v>2399.4</v>
      </c>
      <c r="P8" s="194">
        <v>2663.6</v>
      </c>
      <c r="Q8" s="30">
        <f t="shared" si="4"/>
        <v>899.40000000000009</v>
      </c>
      <c r="R8" s="31">
        <f t="shared" si="5"/>
        <v>11860.77</v>
      </c>
      <c r="T8" s="233"/>
      <c r="U8" s="141" t="s">
        <v>97</v>
      </c>
      <c r="V8" s="161">
        <f>SUMIFS(E3:E125,$B3:$B125,"&gt;="&amp;$V$3,$B3:$B125,"&lt;="&amp;$V$4)</f>
        <v>5797.5999999999995</v>
      </c>
      <c r="W8" s="37" t="s">
        <v>2</v>
      </c>
    </row>
    <row r="9" spans="1:37" x14ac:dyDescent="0.2">
      <c r="A9" s="149">
        <f t="shared" si="1"/>
        <v>43647</v>
      </c>
      <c r="B9" s="204">
        <f t="shared" si="6"/>
        <v>43647</v>
      </c>
      <c r="C9" s="194">
        <v>367</v>
      </c>
      <c r="D9" s="197">
        <v>2545.09</v>
      </c>
      <c r="E9" s="194">
        <v>99</v>
      </c>
      <c r="F9" s="197">
        <v>684.26</v>
      </c>
      <c r="G9" s="30">
        <f t="shared" si="2"/>
        <v>466</v>
      </c>
      <c r="H9" s="32">
        <f t="shared" si="0"/>
        <v>3229.3500000000004</v>
      </c>
      <c r="I9" s="194">
        <v>4263</v>
      </c>
      <c r="J9" s="197">
        <v>29571.61</v>
      </c>
      <c r="K9" s="33">
        <v>4729</v>
      </c>
      <c r="L9" s="207">
        <f t="shared" si="3"/>
        <v>43647</v>
      </c>
      <c r="M9" s="214">
        <v>3949</v>
      </c>
      <c r="N9" s="197">
        <v>10432.370000000001</v>
      </c>
      <c r="O9" s="197">
        <v>4050.5</v>
      </c>
      <c r="P9" s="194">
        <v>4496.6000000000004</v>
      </c>
      <c r="Q9" s="30">
        <f t="shared" si="4"/>
        <v>-547.60000000000036</v>
      </c>
      <c r="R9" s="31">
        <f t="shared" si="5"/>
        <v>14482.87</v>
      </c>
      <c r="T9" s="233"/>
      <c r="U9" s="142" t="s">
        <v>96</v>
      </c>
      <c r="V9" s="163">
        <f>SUMIFS(F3:F125,$B3:$B125,"&gt;="&amp;$V$3,$B3:$B125,"&lt;="&amp;$V$4)</f>
        <v>47858.539999999994</v>
      </c>
      <c r="W9" s="37" t="s">
        <v>3</v>
      </c>
    </row>
    <row r="10" spans="1:37" x14ac:dyDescent="0.2">
      <c r="A10" s="149">
        <f t="shared" si="1"/>
        <v>43678</v>
      </c>
      <c r="B10" s="204">
        <f t="shared" si="6"/>
        <v>43678</v>
      </c>
      <c r="C10" s="194">
        <v>356</v>
      </c>
      <c r="D10" s="197">
        <v>2472.86</v>
      </c>
      <c r="E10" s="194">
        <v>108</v>
      </c>
      <c r="F10" s="197">
        <v>750.15</v>
      </c>
      <c r="G10" s="30">
        <f t="shared" si="2"/>
        <v>464</v>
      </c>
      <c r="H10" s="32">
        <f t="shared" si="0"/>
        <v>3223.01</v>
      </c>
      <c r="I10" s="194">
        <v>1651</v>
      </c>
      <c r="J10" s="197">
        <v>11749.99</v>
      </c>
      <c r="K10" s="33">
        <v>2115</v>
      </c>
      <c r="L10" s="207">
        <f t="shared" si="3"/>
        <v>43678</v>
      </c>
      <c r="M10" s="214">
        <v>4810</v>
      </c>
      <c r="N10" s="197">
        <v>11898.08</v>
      </c>
      <c r="O10" s="197">
        <v>1736.67</v>
      </c>
      <c r="P10" s="194">
        <v>1927.9</v>
      </c>
      <c r="Q10" s="30">
        <f t="shared" si="4"/>
        <v>2882.1</v>
      </c>
      <c r="R10" s="31">
        <f t="shared" si="5"/>
        <v>13634.75</v>
      </c>
      <c r="T10" s="233"/>
      <c r="U10" s="141" t="s">
        <v>95</v>
      </c>
      <c r="V10" s="161">
        <f>SUMIFS(G3:G125,$B3:$B125,"&gt;="&amp;$V$3,$B3:$B125,"&lt;="&amp;$V$4)</f>
        <v>29743.800000000007</v>
      </c>
      <c r="W10" s="37" t="s">
        <v>2</v>
      </c>
    </row>
    <row r="11" spans="1:37" x14ac:dyDescent="0.2">
      <c r="A11" s="149">
        <f t="shared" si="1"/>
        <v>43709</v>
      </c>
      <c r="B11" s="204">
        <f t="shared" si="6"/>
        <v>43709</v>
      </c>
      <c r="C11" s="194">
        <v>333</v>
      </c>
      <c r="D11" s="197">
        <v>2312.33</v>
      </c>
      <c r="E11" s="194">
        <v>106</v>
      </c>
      <c r="F11" s="197">
        <v>732.35</v>
      </c>
      <c r="G11" s="30">
        <f t="shared" si="2"/>
        <v>439</v>
      </c>
      <c r="H11" s="32">
        <f t="shared" si="0"/>
        <v>3044.68</v>
      </c>
      <c r="I11" s="194">
        <v>36</v>
      </c>
      <c r="J11" s="197">
        <v>235.62</v>
      </c>
      <c r="K11" s="33">
        <v>475</v>
      </c>
      <c r="L11" s="207">
        <f t="shared" si="3"/>
        <v>43709</v>
      </c>
      <c r="M11" s="214">
        <v>2500</v>
      </c>
      <c r="N11" s="197">
        <v>7147.5</v>
      </c>
      <c r="O11" s="197">
        <v>1174.58</v>
      </c>
      <c r="P11" s="194">
        <v>1303.9000000000001</v>
      </c>
      <c r="Q11" s="30">
        <f t="shared" si="4"/>
        <v>1196.0999999999999</v>
      </c>
      <c r="R11" s="31">
        <f t="shared" si="5"/>
        <v>8322.08</v>
      </c>
      <c r="T11" s="233"/>
      <c r="U11" s="142" t="s">
        <v>94</v>
      </c>
      <c r="V11" s="163">
        <f>SUMIFS(H3:H125,$B3:$B125,"&gt;="&amp;$V$3,$B3:$B125,"&lt;="&amp;$V$4)</f>
        <v>246619.80000000002</v>
      </c>
      <c r="W11" s="37" t="s">
        <v>3</v>
      </c>
    </row>
    <row r="12" spans="1:37" x14ac:dyDescent="0.2">
      <c r="A12" s="149">
        <f t="shared" si="1"/>
        <v>43739</v>
      </c>
      <c r="B12" s="204">
        <f t="shared" si="6"/>
        <v>43739</v>
      </c>
      <c r="C12" s="194">
        <v>726</v>
      </c>
      <c r="D12" s="197">
        <v>6097.25</v>
      </c>
      <c r="E12" s="194">
        <v>196</v>
      </c>
      <c r="F12" s="197">
        <v>1640.92</v>
      </c>
      <c r="G12" s="30">
        <f t="shared" si="2"/>
        <v>922</v>
      </c>
      <c r="H12" s="32">
        <f t="shared" si="0"/>
        <v>7738.17</v>
      </c>
      <c r="I12" s="194">
        <v>963</v>
      </c>
      <c r="J12" s="197">
        <v>7317.95</v>
      </c>
      <c r="K12" s="33">
        <v>1885</v>
      </c>
      <c r="L12" s="207">
        <f t="shared" si="3"/>
        <v>43739</v>
      </c>
      <c r="M12" s="214">
        <v>4125</v>
      </c>
      <c r="N12" s="197">
        <v>10128.549999999999</v>
      </c>
      <c r="O12" s="197">
        <v>2131.89</v>
      </c>
      <c r="P12" s="194">
        <v>2366.6999999999998</v>
      </c>
      <c r="Q12" s="30">
        <f t="shared" si="4"/>
        <v>1758.3000000000002</v>
      </c>
      <c r="R12" s="31">
        <f t="shared" si="5"/>
        <v>12260.439999999999</v>
      </c>
      <c r="T12" s="233"/>
      <c r="U12" s="141" t="s">
        <v>93</v>
      </c>
      <c r="V12" s="161">
        <f>SUMIFS(I3:I125,$B3:$B125,"&gt;="&amp;$V$3,$B3:$B125,"&lt;="&amp;$V$4)</f>
        <v>3697.5</v>
      </c>
      <c r="W12" s="37" t="s">
        <v>2</v>
      </c>
    </row>
    <row r="13" spans="1:37" x14ac:dyDescent="0.2">
      <c r="A13" s="149">
        <f t="shared" si="1"/>
        <v>43770</v>
      </c>
      <c r="B13" s="204">
        <f t="shared" si="6"/>
        <v>43770</v>
      </c>
      <c r="C13" s="194">
        <v>3020</v>
      </c>
      <c r="D13" s="197">
        <v>25346.720000000001</v>
      </c>
      <c r="E13" s="194">
        <v>659</v>
      </c>
      <c r="F13" s="197">
        <v>5477.16</v>
      </c>
      <c r="G13" s="30">
        <f t="shared" si="2"/>
        <v>3679</v>
      </c>
      <c r="H13" s="32">
        <f t="shared" si="0"/>
        <v>30823.88</v>
      </c>
      <c r="I13" s="194">
        <v>0</v>
      </c>
      <c r="J13" s="197">
        <v>0</v>
      </c>
      <c r="K13" s="33">
        <v>3679</v>
      </c>
      <c r="L13" s="207">
        <f t="shared" si="3"/>
        <v>43770</v>
      </c>
      <c r="M13" s="214">
        <v>4175</v>
      </c>
      <c r="N13" s="197">
        <v>11245.33</v>
      </c>
      <c r="O13" s="197">
        <v>4298.1499999999996</v>
      </c>
      <c r="P13" s="194">
        <v>4771.5</v>
      </c>
      <c r="Q13" s="30">
        <f t="shared" si="4"/>
        <v>-596.5</v>
      </c>
      <c r="R13" s="31">
        <f t="shared" si="5"/>
        <v>15543.48</v>
      </c>
      <c r="T13" s="233"/>
      <c r="U13" s="142" t="s">
        <v>92</v>
      </c>
      <c r="V13" s="163">
        <f>SUMIFS(J3:J125,$B3:$B125,"&gt;="&amp;$V$3,$B3:$B125,"&lt;="&amp;$V$4)</f>
        <v>30689.25</v>
      </c>
      <c r="W13" s="37" t="s">
        <v>3</v>
      </c>
    </row>
    <row r="14" spans="1:37" x14ac:dyDescent="0.2">
      <c r="A14" s="149">
        <f t="shared" si="1"/>
        <v>43800</v>
      </c>
      <c r="B14" s="204">
        <f t="shared" si="6"/>
        <v>43800</v>
      </c>
      <c r="C14" s="194">
        <v>3828</v>
      </c>
      <c r="D14" s="197">
        <v>32092.58</v>
      </c>
      <c r="E14" s="194">
        <v>830</v>
      </c>
      <c r="F14" s="197">
        <v>6923.93</v>
      </c>
      <c r="G14" s="30">
        <f t="shared" si="2"/>
        <v>4658</v>
      </c>
      <c r="H14" s="32">
        <f t="shared" si="0"/>
        <v>39016.51</v>
      </c>
      <c r="I14" s="194">
        <v>0</v>
      </c>
      <c r="J14" s="197">
        <v>0</v>
      </c>
      <c r="K14" s="33">
        <f t="shared" ref="K14:K56" si="7">SUM(C14+E14+I14)</f>
        <v>4658</v>
      </c>
      <c r="L14" s="207">
        <f t="shared" si="3"/>
        <v>43800</v>
      </c>
      <c r="M14" s="214">
        <v>5614</v>
      </c>
      <c r="N14" s="197">
        <v>14746.58</v>
      </c>
      <c r="O14" s="197">
        <v>4706.13</v>
      </c>
      <c r="P14" s="194">
        <v>5224.3999999999996</v>
      </c>
      <c r="Q14" s="30">
        <f t="shared" si="4"/>
        <v>389.60000000000036</v>
      </c>
      <c r="R14" s="31">
        <f t="shared" si="5"/>
        <v>19452.71</v>
      </c>
      <c r="T14" s="233"/>
      <c r="U14" s="143" t="s">
        <v>85</v>
      </c>
      <c r="V14" s="161">
        <f>SUMIFS(K3:K125,$B3:$B125,"&gt;="&amp;$V$3,$B3:$B125,"&lt;="&amp;$V$4)</f>
        <v>33441.300000000003</v>
      </c>
      <c r="W14" s="37" t="s">
        <v>2</v>
      </c>
    </row>
    <row r="15" spans="1:37" x14ac:dyDescent="0.2">
      <c r="A15" s="149">
        <f t="shared" si="1"/>
        <v>43831</v>
      </c>
      <c r="B15" s="204">
        <f t="shared" si="6"/>
        <v>43831</v>
      </c>
      <c r="C15" s="194">
        <v>4401</v>
      </c>
      <c r="D15" s="197">
        <v>34665.97</v>
      </c>
      <c r="E15" s="194">
        <v>950</v>
      </c>
      <c r="F15" s="197">
        <v>7428.08</v>
      </c>
      <c r="G15" s="30">
        <f t="shared" si="2"/>
        <v>5351</v>
      </c>
      <c r="H15" s="32">
        <f t="shared" si="0"/>
        <v>42094.05</v>
      </c>
      <c r="I15" s="194">
        <v>0</v>
      </c>
      <c r="J15" s="197">
        <v>0</v>
      </c>
      <c r="K15" s="33">
        <f t="shared" si="7"/>
        <v>5351</v>
      </c>
      <c r="L15" s="207">
        <v>43850</v>
      </c>
      <c r="M15" s="214">
        <v>2852</v>
      </c>
      <c r="N15" s="197">
        <v>7600.88</v>
      </c>
      <c r="O15" s="197">
        <v>5223.1400000000003</v>
      </c>
      <c r="P15" s="194">
        <v>5799</v>
      </c>
      <c r="Q15" s="30">
        <f t="shared" si="4"/>
        <v>-2947</v>
      </c>
      <c r="R15" s="31">
        <f t="shared" si="5"/>
        <v>12824.02</v>
      </c>
    </row>
    <row r="16" spans="1:37" ht="12.75" customHeight="1" x14ac:dyDescent="0.2">
      <c r="A16" s="149">
        <f t="shared" si="1"/>
        <v>43862</v>
      </c>
      <c r="B16" s="204">
        <f t="shared" si="6"/>
        <v>43862</v>
      </c>
      <c r="C16" s="194">
        <v>4521</v>
      </c>
      <c r="D16" s="197">
        <v>35612.19</v>
      </c>
      <c r="E16" s="194">
        <v>1010</v>
      </c>
      <c r="F16" s="197">
        <v>7893.54</v>
      </c>
      <c r="G16" s="30">
        <f t="shared" si="2"/>
        <v>5531</v>
      </c>
      <c r="H16" s="32">
        <f t="shared" si="0"/>
        <v>43505.73</v>
      </c>
      <c r="I16" s="194">
        <v>0</v>
      </c>
      <c r="J16" s="197">
        <v>0</v>
      </c>
      <c r="K16" s="33">
        <f t="shared" si="7"/>
        <v>5531</v>
      </c>
      <c r="L16" s="207">
        <v>43881</v>
      </c>
      <c r="M16" s="214">
        <v>2775</v>
      </c>
      <c r="N16" s="197">
        <v>7389.48</v>
      </c>
      <c r="O16" s="197">
        <v>5181.75</v>
      </c>
      <c r="P16" s="194">
        <f>SUM(O16/0.9007)</f>
        <v>5753.0254246697014</v>
      </c>
      <c r="Q16" s="30">
        <f t="shared" si="4"/>
        <v>-2978.0254246697014</v>
      </c>
      <c r="R16" s="31">
        <f t="shared" si="5"/>
        <v>12571.23</v>
      </c>
      <c r="T16" s="234" t="s">
        <v>91</v>
      </c>
      <c r="U16" s="144" t="s">
        <v>90</v>
      </c>
      <c r="V16" s="161">
        <f>SUMIFS(M3:M125,$B3:$B125,"&gt;="&amp;$V$3,$B3:$B125,"&lt;="&amp;$V$4)</f>
        <v>39881</v>
      </c>
      <c r="W16" s="37" t="s">
        <v>1</v>
      </c>
    </row>
    <row r="17" spans="1:23" x14ac:dyDescent="0.2">
      <c r="A17" s="149">
        <f t="shared" si="1"/>
        <v>43891</v>
      </c>
      <c r="B17" s="204">
        <f t="shared" si="6"/>
        <v>43891</v>
      </c>
      <c r="C17" s="194">
        <v>2976</v>
      </c>
      <c r="D17" s="197">
        <v>19128.53</v>
      </c>
      <c r="E17" s="194">
        <v>635</v>
      </c>
      <c r="F17" s="197">
        <v>4045.92</v>
      </c>
      <c r="G17" s="30">
        <f t="shared" si="2"/>
        <v>3611</v>
      </c>
      <c r="H17" s="32">
        <f t="shared" si="0"/>
        <v>23174.449999999997</v>
      </c>
      <c r="I17" s="194">
        <v>0</v>
      </c>
      <c r="J17" s="197">
        <v>0</v>
      </c>
      <c r="K17" s="33">
        <f t="shared" si="7"/>
        <v>3611</v>
      </c>
      <c r="L17" s="207">
        <v>43910</v>
      </c>
      <c r="M17" s="214">
        <v>2900</v>
      </c>
      <c r="N17" s="197">
        <v>7725.6</v>
      </c>
      <c r="O17" s="197">
        <v>2990.3</v>
      </c>
      <c r="P17" s="194">
        <f t="shared" ref="P17:P82" si="8">SUM(O17/0.9007)</f>
        <v>3319.9733540579555</v>
      </c>
      <c r="Q17" s="30">
        <f t="shared" si="4"/>
        <v>-419.97335405795548</v>
      </c>
      <c r="R17" s="31">
        <f t="shared" si="5"/>
        <v>10715.900000000001</v>
      </c>
      <c r="T17" s="235"/>
      <c r="U17" s="142" t="s">
        <v>89</v>
      </c>
      <c r="V17" s="163">
        <f>SUMIFS(N3:N125,$B3:$B125,"&gt;="&amp;$V$3,$B3:$B125,"&lt;="&amp;$V$4)</f>
        <v>142832.54999999999</v>
      </c>
      <c r="W17" s="37" t="s">
        <v>3</v>
      </c>
    </row>
    <row r="18" spans="1:23" x14ac:dyDescent="0.2">
      <c r="A18" s="149">
        <f t="shared" si="1"/>
        <v>43922</v>
      </c>
      <c r="B18" s="204">
        <f t="shared" si="6"/>
        <v>43922</v>
      </c>
      <c r="C18" s="194">
        <v>1556</v>
      </c>
      <c r="D18" s="197">
        <v>10017.93</v>
      </c>
      <c r="E18" s="194">
        <v>306</v>
      </c>
      <c r="F18" s="197">
        <v>1951.61</v>
      </c>
      <c r="G18" s="30">
        <f t="shared" si="2"/>
        <v>1862</v>
      </c>
      <c r="H18" s="32">
        <f t="shared" si="0"/>
        <v>11969.54</v>
      </c>
      <c r="I18" s="194">
        <v>0</v>
      </c>
      <c r="J18" s="197">
        <v>0</v>
      </c>
      <c r="K18" s="33">
        <f t="shared" si="7"/>
        <v>1862</v>
      </c>
      <c r="L18" s="207">
        <v>43941</v>
      </c>
      <c r="M18" s="214">
        <v>2700</v>
      </c>
      <c r="N18" s="197">
        <v>7187.8</v>
      </c>
      <c r="O18" s="197">
        <v>1970.72</v>
      </c>
      <c r="P18" s="194">
        <f t="shared" si="8"/>
        <v>2187.9871211280115</v>
      </c>
      <c r="Q18" s="30">
        <f t="shared" si="4"/>
        <v>512.01287887198851</v>
      </c>
      <c r="R18" s="31">
        <f t="shared" si="5"/>
        <v>9158.52</v>
      </c>
      <c r="T18" s="235"/>
      <c r="U18" s="142" t="s">
        <v>88</v>
      </c>
      <c r="V18" s="163">
        <f>SUMIFS(O3:O125,$B3:$B125,"&gt;="&amp;$V$3,$B3:$B125,"&lt;="&amp;$V$4)</f>
        <v>31701.890000000003</v>
      </c>
      <c r="W18" s="37" t="s">
        <v>3</v>
      </c>
    </row>
    <row r="19" spans="1:23" x14ac:dyDescent="0.2">
      <c r="A19" s="149">
        <f t="shared" si="1"/>
        <v>43952</v>
      </c>
      <c r="B19" s="204">
        <f t="shared" si="6"/>
        <v>43952</v>
      </c>
      <c r="C19" s="194">
        <v>1084</v>
      </c>
      <c r="D19" s="197">
        <v>6967.19</v>
      </c>
      <c r="E19" s="194">
        <v>243</v>
      </c>
      <c r="F19" s="197">
        <v>1553.28</v>
      </c>
      <c r="G19" s="30">
        <f t="shared" si="2"/>
        <v>1327</v>
      </c>
      <c r="H19" s="32">
        <f t="shared" si="0"/>
        <v>8520.4699999999993</v>
      </c>
      <c r="I19" s="194">
        <v>879</v>
      </c>
      <c r="J19" s="197">
        <v>6682.61</v>
      </c>
      <c r="K19" s="33">
        <f t="shared" si="7"/>
        <v>2206</v>
      </c>
      <c r="L19" s="207">
        <v>43971</v>
      </c>
      <c r="M19" s="214">
        <v>2800</v>
      </c>
      <c r="N19" s="197">
        <v>7456.7</v>
      </c>
      <c r="O19" s="197">
        <v>1742.86</v>
      </c>
      <c r="P19" s="194">
        <f t="shared" si="8"/>
        <v>1935.0061063617186</v>
      </c>
      <c r="Q19" s="30">
        <f t="shared" si="4"/>
        <v>864.99389363828141</v>
      </c>
      <c r="R19" s="31">
        <f t="shared" si="5"/>
        <v>9199.56</v>
      </c>
      <c r="T19" s="235"/>
      <c r="U19" s="141" t="s">
        <v>16</v>
      </c>
      <c r="V19" s="161">
        <f>SUMIFS(P3:P125,$B3:$B125,"&gt;="&amp;$V$3,$B3:$B125,"&lt;="&amp;$V$4)</f>
        <v>35196.94681914067</v>
      </c>
      <c r="W19" s="37" t="s">
        <v>1</v>
      </c>
    </row>
    <row r="20" spans="1:23" x14ac:dyDescent="0.2">
      <c r="A20" s="149">
        <f t="shared" si="1"/>
        <v>43983</v>
      </c>
      <c r="B20" s="204">
        <f t="shared" si="6"/>
        <v>43983</v>
      </c>
      <c r="C20" s="194">
        <v>451</v>
      </c>
      <c r="D20" s="197">
        <v>2898.3</v>
      </c>
      <c r="E20" s="194">
        <v>164</v>
      </c>
      <c r="F20" s="197">
        <v>1054.1300000000001</v>
      </c>
      <c r="G20" s="30">
        <f t="shared" si="2"/>
        <v>615</v>
      </c>
      <c r="H20" s="32">
        <f t="shared" si="0"/>
        <v>3952.4300000000003</v>
      </c>
      <c r="I20" s="194">
        <v>2114</v>
      </c>
      <c r="J20" s="197">
        <v>16061.13</v>
      </c>
      <c r="K20" s="33">
        <f t="shared" si="7"/>
        <v>2729</v>
      </c>
      <c r="L20" s="207">
        <v>44002</v>
      </c>
      <c r="M20" s="214">
        <v>3740</v>
      </c>
      <c r="N20" s="197">
        <v>9101.7000000000007</v>
      </c>
      <c r="O20" s="197">
        <v>2738.15</v>
      </c>
      <c r="P20" s="194">
        <f t="shared" si="8"/>
        <v>3040.0244254468748</v>
      </c>
      <c r="Q20" s="30">
        <f t="shared" si="4"/>
        <v>699.97557455312517</v>
      </c>
      <c r="R20" s="31">
        <f t="shared" si="5"/>
        <v>11839.85</v>
      </c>
      <c r="T20" s="235"/>
      <c r="U20" s="141" t="s">
        <v>87</v>
      </c>
      <c r="V20" s="161">
        <f>SUMIFS(Q3:Q125,$B3:$B125,"&gt;="&amp;$V$3,$B3:$B125,"&lt;="&amp;$V$4)</f>
        <v>4684.0531808593296</v>
      </c>
      <c r="W20" s="37" t="s">
        <v>1</v>
      </c>
    </row>
    <row r="21" spans="1:23" x14ac:dyDescent="0.2">
      <c r="A21" s="149">
        <f t="shared" si="1"/>
        <v>44013</v>
      </c>
      <c r="B21" s="204">
        <f t="shared" si="6"/>
        <v>44013</v>
      </c>
      <c r="C21" s="194">
        <v>360</v>
      </c>
      <c r="D21" s="197">
        <v>2207.5100000000002</v>
      </c>
      <c r="E21" s="194">
        <v>147</v>
      </c>
      <c r="F21" s="197">
        <v>899.12</v>
      </c>
      <c r="G21" s="30">
        <f t="shared" si="2"/>
        <v>507</v>
      </c>
      <c r="H21" s="32">
        <f t="shared" si="0"/>
        <v>3106.63</v>
      </c>
      <c r="I21" s="194">
        <v>0</v>
      </c>
      <c r="J21" s="197">
        <v>0</v>
      </c>
      <c r="K21" s="33">
        <f t="shared" si="7"/>
        <v>507</v>
      </c>
      <c r="L21" s="207">
        <v>44032</v>
      </c>
      <c r="M21" s="214">
        <v>2825</v>
      </c>
      <c r="N21" s="197">
        <v>7523.93</v>
      </c>
      <c r="O21" s="197">
        <v>1152.82</v>
      </c>
      <c r="P21" s="194">
        <f t="shared" si="8"/>
        <v>1279.9156211835239</v>
      </c>
      <c r="Q21" s="30">
        <f t="shared" si="4"/>
        <v>1545.0843788164761</v>
      </c>
      <c r="R21" s="31">
        <f t="shared" si="5"/>
        <v>8676.75</v>
      </c>
      <c r="T21" s="236"/>
      <c r="U21" s="145" t="s">
        <v>86</v>
      </c>
      <c r="V21" s="163">
        <f>SUMIFS(R3:R125,$B3:$B125,"&gt;="&amp;$V$3,$B3:$B125,"&lt;="&amp;$V$4)</f>
        <v>174534.43999999997</v>
      </c>
      <c r="W21" s="37" t="s">
        <v>3</v>
      </c>
    </row>
    <row r="22" spans="1:23" x14ac:dyDescent="0.2">
      <c r="A22" s="149">
        <f t="shared" si="1"/>
        <v>44044</v>
      </c>
      <c r="B22" s="204">
        <f t="shared" si="6"/>
        <v>44044</v>
      </c>
      <c r="C22" s="194">
        <v>343</v>
      </c>
      <c r="D22" s="197">
        <v>2103.44</v>
      </c>
      <c r="E22" s="194">
        <v>122</v>
      </c>
      <c r="F22" s="197">
        <v>750.08</v>
      </c>
      <c r="G22" s="30">
        <f t="shared" si="2"/>
        <v>465</v>
      </c>
      <c r="H22" s="32">
        <f t="shared" si="0"/>
        <v>2853.52</v>
      </c>
      <c r="I22" s="194">
        <v>0</v>
      </c>
      <c r="J22" s="197">
        <v>0</v>
      </c>
      <c r="K22" s="33">
        <f t="shared" si="7"/>
        <v>465</v>
      </c>
      <c r="L22" s="207">
        <v>44063</v>
      </c>
      <c r="M22" s="214">
        <v>4097</v>
      </c>
      <c r="N22" s="197">
        <v>10641.88</v>
      </c>
      <c r="O22" s="197">
        <v>1565.43</v>
      </c>
      <c r="P22" s="194">
        <f t="shared" si="8"/>
        <v>1738.014877317642</v>
      </c>
      <c r="Q22" s="30">
        <f t="shared" si="4"/>
        <v>2358.985122682358</v>
      </c>
      <c r="R22" s="31">
        <f t="shared" si="5"/>
        <v>12207.31</v>
      </c>
    </row>
    <row r="23" spans="1:23" x14ac:dyDescent="0.2">
      <c r="A23" s="149">
        <f t="shared" si="1"/>
        <v>44075</v>
      </c>
      <c r="B23" s="204">
        <f t="shared" si="6"/>
        <v>44075</v>
      </c>
      <c r="C23" s="194">
        <v>431</v>
      </c>
      <c r="D23" s="197">
        <v>2644.31</v>
      </c>
      <c r="E23" s="194">
        <v>149</v>
      </c>
      <c r="F23" s="197">
        <v>908.2</v>
      </c>
      <c r="G23" s="30">
        <f t="shared" si="2"/>
        <v>580</v>
      </c>
      <c r="H23" s="32">
        <f t="shared" si="0"/>
        <v>3552.51</v>
      </c>
      <c r="I23" s="194">
        <v>0</v>
      </c>
      <c r="J23" s="197">
        <v>0</v>
      </c>
      <c r="K23" s="33">
        <f t="shared" si="7"/>
        <v>580</v>
      </c>
      <c r="L23" s="207">
        <v>44094</v>
      </c>
      <c r="M23" s="214">
        <v>2600</v>
      </c>
      <c r="N23" s="197">
        <v>6918.9</v>
      </c>
      <c r="O23" s="197">
        <v>1834.74</v>
      </c>
      <c r="P23" s="194">
        <f t="shared" si="8"/>
        <v>2037.0156544909516</v>
      </c>
      <c r="Q23" s="30">
        <f t="shared" si="4"/>
        <v>562.98434550904835</v>
      </c>
      <c r="R23" s="31">
        <f t="shared" si="5"/>
        <v>8753.64</v>
      </c>
    </row>
    <row r="24" spans="1:23" x14ac:dyDescent="0.2">
      <c r="A24" s="149">
        <f t="shared" si="1"/>
        <v>44105</v>
      </c>
      <c r="B24" s="204">
        <f t="shared" si="6"/>
        <v>44105</v>
      </c>
      <c r="C24" s="194">
        <v>703</v>
      </c>
      <c r="D24" s="197">
        <v>4314.6400000000003</v>
      </c>
      <c r="E24" s="194">
        <v>181</v>
      </c>
      <c r="F24" s="197">
        <v>1107.17</v>
      </c>
      <c r="G24" s="30">
        <f t="shared" si="2"/>
        <v>884</v>
      </c>
      <c r="H24" s="32">
        <f t="shared" si="0"/>
        <v>5421.81</v>
      </c>
      <c r="I24" s="194">
        <v>0</v>
      </c>
      <c r="J24" s="197">
        <v>0</v>
      </c>
      <c r="K24" s="33">
        <f t="shared" si="7"/>
        <v>884</v>
      </c>
      <c r="L24" s="204">
        <v>44105</v>
      </c>
      <c r="M24" s="214">
        <v>2650</v>
      </c>
      <c r="N24" s="197">
        <v>7053.35</v>
      </c>
      <c r="O24" s="197">
        <v>1843.32</v>
      </c>
      <c r="P24" s="194">
        <f t="shared" si="8"/>
        <v>2046.5415787720663</v>
      </c>
      <c r="Q24" s="30">
        <f t="shared" si="4"/>
        <v>603.45842122793374</v>
      </c>
      <c r="R24" s="31">
        <f t="shared" si="5"/>
        <v>8896.67</v>
      </c>
    </row>
    <row r="25" spans="1:23" x14ac:dyDescent="0.2">
      <c r="A25" s="149">
        <f t="shared" si="1"/>
        <v>44136</v>
      </c>
      <c r="B25" s="204">
        <f t="shared" si="6"/>
        <v>44136</v>
      </c>
      <c r="C25" s="194">
        <v>1766</v>
      </c>
      <c r="D25" s="197">
        <v>9737.7199999999993</v>
      </c>
      <c r="E25" s="194">
        <v>349</v>
      </c>
      <c r="F25" s="197">
        <v>1919.28</v>
      </c>
      <c r="G25" s="30">
        <f t="shared" si="2"/>
        <v>2115</v>
      </c>
      <c r="H25" s="32">
        <f t="shared" si="0"/>
        <v>11657</v>
      </c>
      <c r="I25" s="194">
        <v>0</v>
      </c>
      <c r="J25" s="197">
        <v>0</v>
      </c>
      <c r="K25" s="33">
        <f t="shared" si="7"/>
        <v>2115</v>
      </c>
      <c r="L25" s="204">
        <v>44136</v>
      </c>
      <c r="M25" s="214">
        <v>2425</v>
      </c>
      <c r="N25" s="197">
        <v>6237.33</v>
      </c>
      <c r="O25" s="197">
        <v>2981.56</v>
      </c>
      <c r="P25" s="194">
        <f t="shared" si="8"/>
        <v>3310.2697901632064</v>
      </c>
      <c r="Q25" s="30">
        <f t="shared" si="4"/>
        <v>-885.26979016320638</v>
      </c>
      <c r="R25" s="31">
        <f t="shared" si="5"/>
        <v>9218.89</v>
      </c>
    </row>
    <row r="26" spans="1:23" x14ac:dyDescent="0.2">
      <c r="A26" s="149">
        <f t="shared" si="1"/>
        <v>44166</v>
      </c>
      <c r="B26" s="204">
        <f t="shared" si="6"/>
        <v>44166</v>
      </c>
      <c r="C26" s="194">
        <v>3328</v>
      </c>
      <c r="D26" s="197">
        <v>18397.05</v>
      </c>
      <c r="E26" s="194">
        <v>737</v>
      </c>
      <c r="F26" s="197">
        <v>4017.28</v>
      </c>
      <c r="G26" s="30">
        <f t="shared" si="2"/>
        <v>4065</v>
      </c>
      <c r="H26" s="32">
        <f t="shared" si="0"/>
        <v>22414.329999999998</v>
      </c>
      <c r="I26" s="194">
        <v>0</v>
      </c>
      <c r="J26" s="197">
        <v>0</v>
      </c>
      <c r="K26" s="33">
        <f t="shared" si="7"/>
        <v>4065</v>
      </c>
      <c r="L26" s="204">
        <v>44166</v>
      </c>
      <c r="M26" s="214">
        <v>4625</v>
      </c>
      <c r="N26" s="197">
        <v>12265.33</v>
      </c>
      <c r="O26" s="197">
        <v>5685.76</v>
      </c>
      <c r="P26" s="194">
        <f t="shared" si="8"/>
        <v>6312.6013100921509</v>
      </c>
      <c r="Q26" s="30">
        <f t="shared" si="4"/>
        <v>-1687.6013100921509</v>
      </c>
      <c r="R26" s="31">
        <f t="shared" si="5"/>
        <v>17951.09</v>
      </c>
    </row>
    <row r="27" spans="1:23" x14ac:dyDescent="0.2">
      <c r="A27" s="149">
        <f t="shared" si="1"/>
        <v>44197</v>
      </c>
      <c r="B27" s="204">
        <f t="shared" si="6"/>
        <v>44197</v>
      </c>
      <c r="C27" s="194">
        <v>6140</v>
      </c>
      <c r="D27" s="197">
        <v>37693.68</v>
      </c>
      <c r="E27" s="194">
        <v>1461</v>
      </c>
      <c r="F27" s="197">
        <v>8849.1</v>
      </c>
      <c r="G27" s="30">
        <f t="shared" si="2"/>
        <v>7601</v>
      </c>
      <c r="H27" s="32">
        <f t="shared" si="0"/>
        <v>46542.78</v>
      </c>
      <c r="I27" s="194">
        <v>0</v>
      </c>
      <c r="J27" s="197">
        <v>0</v>
      </c>
      <c r="K27" s="33">
        <f t="shared" si="7"/>
        <v>7601</v>
      </c>
      <c r="L27" s="204">
        <f t="shared" ref="L27:L56" si="9">EDATE(L26,1)</f>
        <v>44197</v>
      </c>
      <c r="M27" s="214">
        <v>4975</v>
      </c>
      <c r="N27" s="197">
        <v>13512.88</v>
      </c>
      <c r="O27" s="197">
        <v>6507.9</v>
      </c>
      <c r="P27" s="194">
        <f t="shared" si="8"/>
        <v>7225.3802597979347</v>
      </c>
      <c r="Q27" s="30">
        <f t="shared" si="4"/>
        <v>-2250.3802597979347</v>
      </c>
      <c r="R27" s="31">
        <f t="shared" si="5"/>
        <v>20020.78</v>
      </c>
    </row>
    <row r="28" spans="1:23" x14ac:dyDescent="0.2">
      <c r="A28" s="149">
        <f t="shared" si="1"/>
        <v>44228</v>
      </c>
      <c r="B28" s="204">
        <f t="shared" si="6"/>
        <v>44228</v>
      </c>
      <c r="C28" s="194">
        <v>5984</v>
      </c>
      <c r="D28" s="197">
        <v>36734.44</v>
      </c>
      <c r="E28" s="194">
        <v>1460</v>
      </c>
      <c r="F28" s="197">
        <v>8844.34</v>
      </c>
      <c r="G28" s="30">
        <f t="shared" si="2"/>
        <v>7444</v>
      </c>
      <c r="H28" s="32">
        <f t="shared" si="0"/>
        <v>45578.78</v>
      </c>
      <c r="I28" s="194">
        <v>0</v>
      </c>
      <c r="J28" s="197">
        <v>0</v>
      </c>
      <c r="K28" s="33">
        <f t="shared" si="7"/>
        <v>7444</v>
      </c>
      <c r="L28" s="204">
        <f t="shared" si="9"/>
        <v>44228</v>
      </c>
      <c r="M28" s="214">
        <v>5335</v>
      </c>
      <c r="N28" s="197">
        <v>24476.11</v>
      </c>
      <c r="O28" s="197">
        <v>6721.33</v>
      </c>
      <c r="P28" s="194">
        <f t="shared" si="8"/>
        <v>7462.3404019096261</v>
      </c>
      <c r="Q28" s="30">
        <f t="shared" si="4"/>
        <v>-2127.3404019096261</v>
      </c>
      <c r="R28" s="31">
        <f t="shared" si="5"/>
        <v>31197.440000000002</v>
      </c>
      <c r="W28" s="165"/>
    </row>
    <row r="29" spans="1:23" x14ac:dyDescent="0.2">
      <c r="A29" s="149">
        <f t="shared" si="1"/>
        <v>44256</v>
      </c>
      <c r="B29" s="204">
        <f t="shared" si="6"/>
        <v>44256</v>
      </c>
      <c r="C29" s="194">
        <v>2473</v>
      </c>
      <c r="D29" s="197">
        <v>15183.56</v>
      </c>
      <c r="E29" s="194">
        <v>550</v>
      </c>
      <c r="F29" s="197">
        <v>3351.51</v>
      </c>
      <c r="G29" s="30">
        <f t="shared" si="2"/>
        <v>3023</v>
      </c>
      <c r="H29" s="32">
        <f t="shared" si="0"/>
        <v>18535.07</v>
      </c>
      <c r="I29" s="194">
        <v>0</v>
      </c>
      <c r="J29" s="197">
        <v>0</v>
      </c>
      <c r="K29" s="33">
        <f t="shared" si="7"/>
        <v>3023</v>
      </c>
      <c r="L29" s="204">
        <f t="shared" si="9"/>
        <v>44256</v>
      </c>
      <c r="M29" s="214">
        <v>2387</v>
      </c>
      <c r="N29" s="197">
        <v>6135.14</v>
      </c>
      <c r="O29" s="197">
        <v>3151.71</v>
      </c>
      <c r="P29" s="194">
        <f t="shared" si="8"/>
        <v>3499.1784167869437</v>
      </c>
      <c r="Q29" s="30">
        <f t="shared" si="4"/>
        <v>-1112.1784167869437</v>
      </c>
      <c r="R29" s="31">
        <f t="shared" si="5"/>
        <v>9286.85</v>
      </c>
      <c r="U29" s="202"/>
    </row>
    <row r="30" spans="1:23" x14ac:dyDescent="0.2">
      <c r="A30" s="149">
        <f t="shared" si="1"/>
        <v>44287</v>
      </c>
      <c r="B30" s="204">
        <f t="shared" si="6"/>
        <v>44287</v>
      </c>
      <c r="C30" s="194">
        <v>1504</v>
      </c>
      <c r="D30" s="197">
        <v>9230.2999999999993</v>
      </c>
      <c r="E30" s="194">
        <v>373</v>
      </c>
      <c r="F30" s="197">
        <v>2281.34</v>
      </c>
      <c r="G30" s="30">
        <f t="shared" si="2"/>
        <v>1877</v>
      </c>
      <c r="H30" s="32">
        <f t="shared" si="0"/>
        <v>11511.64</v>
      </c>
      <c r="I30" s="194">
        <v>3489</v>
      </c>
      <c r="J30" s="197">
        <v>21418.7</v>
      </c>
      <c r="K30" s="33">
        <f t="shared" si="7"/>
        <v>5366</v>
      </c>
      <c r="L30" s="204">
        <f t="shared" si="9"/>
        <v>44287</v>
      </c>
      <c r="M30" s="214">
        <v>3396</v>
      </c>
      <c r="N30" s="197">
        <v>8915.58</v>
      </c>
      <c r="O30" s="197">
        <v>5225.63</v>
      </c>
      <c r="P30" s="194">
        <f t="shared" si="8"/>
        <v>5801.7430887087821</v>
      </c>
      <c r="Q30" s="30">
        <f t="shared" si="4"/>
        <v>-2405.7430887087821</v>
      </c>
      <c r="R30" s="31">
        <f t="shared" si="5"/>
        <v>14141.21</v>
      </c>
    </row>
    <row r="31" spans="1:23" x14ac:dyDescent="0.2">
      <c r="A31" s="149">
        <f t="shared" si="1"/>
        <v>44317</v>
      </c>
      <c r="B31" s="204">
        <f t="shared" si="6"/>
        <v>44317</v>
      </c>
      <c r="C31" s="194">
        <v>1034</v>
      </c>
      <c r="D31" s="197">
        <v>6349.02</v>
      </c>
      <c r="E31" s="194">
        <v>277</v>
      </c>
      <c r="F31" s="197">
        <v>1691.68</v>
      </c>
      <c r="G31" s="30">
        <f t="shared" si="2"/>
        <v>1311</v>
      </c>
      <c r="H31" s="32">
        <f t="shared" si="0"/>
        <v>8040.7000000000007</v>
      </c>
      <c r="I31" s="194">
        <v>3655</v>
      </c>
      <c r="J31" s="197">
        <v>22435.9</v>
      </c>
      <c r="K31" s="33">
        <f t="shared" si="7"/>
        <v>4966</v>
      </c>
      <c r="L31" s="204">
        <f t="shared" si="9"/>
        <v>44317</v>
      </c>
      <c r="M31" s="214">
        <v>4759</v>
      </c>
      <c r="N31" s="197">
        <v>13774.7</v>
      </c>
      <c r="O31" s="197">
        <v>3715.48</v>
      </c>
      <c r="P31" s="194">
        <f t="shared" si="8"/>
        <v>4125.1026979016324</v>
      </c>
      <c r="Q31" s="30">
        <f t="shared" si="4"/>
        <v>633.89730209836762</v>
      </c>
      <c r="R31" s="31">
        <f t="shared" si="5"/>
        <v>17490.18</v>
      </c>
    </row>
    <row r="32" spans="1:23" x14ac:dyDescent="0.2">
      <c r="A32" s="149">
        <f t="shared" si="1"/>
        <v>44348</v>
      </c>
      <c r="B32" s="204">
        <f t="shared" si="6"/>
        <v>44348</v>
      </c>
      <c r="C32" s="194">
        <v>349</v>
      </c>
      <c r="D32" s="197">
        <v>2140.83</v>
      </c>
      <c r="E32" s="194">
        <v>130</v>
      </c>
      <c r="F32" s="197">
        <v>796.4</v>
      </c>
      <c r="G32" s="30">
        <f t="shared" si="2"/>
        <v>479</v>
      </c>
      <c r="H32" s="32">
        <f t="shared" si="0"/>
        <v>2937.23</v>
      </c>
      <c r="I32" s="194">
        <v>0</v>
      </c>
      <c r="J32" s="197">
        <v>0</v>
      </c>
      <c r="K32" s="33">
        <f t="shared" si="7"/>
        <v>479</v>
      </c>
      <c r="L32" s="204">
        <f t="shared" si="9"/>
        <v>44348</v>
      </c>
      <c r="M32" s="214">
        <v>3420</v>
      </c>
      <c r="N32" s="197">
        <v>9603.92</v>
      </c>
      <c r="O32" s="197">
        <v>592.54999999999995</v>
      </c>
      <c r="P32" s="194">
        <f t="shared" si="8"/>
        <v>657.87720661707556</v>
      </c>
      <c r="Q32" s="30">
        <f t="shared" si="4"/>
        <v>2762.1227933829246</v>
      </c>
      <c r="R32" s="31">
        <f t="shared" si="5"/>
        <v>10196.469999999999</v>
      </c>
    </row>
    <row r="33" spans="1:18" x14ac:dyDescent="0.2">
      <c r="A33" s="149">
        <f t="shared" si="1"/>
        <v>44378</v>
      </c>
      <c r="B33" s="204">
        <f t="shared" si="6"/>
        <v>44378</v>
      </c>
      <c r="C33" s="194">
        <v>460</v>
      </c>
      <c r="D33" s="197">
        <v>4116.74</v>
      </c>
      <c r="E33" s="194">
        <v>200</v>
      </c>
      <c r="F33" s="197">
        <v>1787.97</v>
      </c>
      <c r="G33" s="30">
        <f t="shared" si="2"/>
        <v>660</v>
      </c>
      <c r="H33" s="32">
        <f t="shared" si="0"/>
        <v>5904.71</v>
      </c>
      <c r="I33" s="194">
        <v>2536</v>
      </c>
      <c r="J33" s="197">
        <v>22696.26</v>
      </c>
      <c r="K33" s="33">
        <f t="shared" si="7"/>
        <v>3196</v>
      </c>
      <c r="L33" s="204">
        <f t="shared" si="9"/>
        <v>44378</v>
      </c>
      <c r="M33" s="214">
        <v>3750</v>
      </c>
      <c r="N33" s="197">
        <v>11598.61</v>
      </c>
      <c r="O33" s="197">
        <v>2877.1</v>
      </c>
      <c r="P33" s="194">
        <f t="shared" si="8"/>
        <v>3194.2933274120128</v>
      </c>
      <c r="Q33" s="30">
        <f t="shared" si="4"/>
        <v>555.70667258798721</v>
      </c>
      <c r="R33" s="31">
        <f t="shared" si="5"/>
        <v>14475.710000000001</v>
      </c>
    </row>
    <row r="34" spans="1:18" x14ac:dyDescent="0.2">
      <c r="A34" s="149">
        <f t="shared" si="1"/>
        <v>44409</v>
      </c>
      <c r="B34" s="204">
        <f t="shared" si="6"/>
        <v>44409</v>
      </c>
      <c r="C34" s="194">
        <v>343</v>
      </c>
      <c r="D34" s="197">
        <v>3070.35</v>
      </c>
      <c r="E34" s="194">
        <v>135</v>
      </c>
      <c r="F34" s="197">
        <v>1203.5999999999999</v>
      </c>
      <c r="G34" s="30">
        <f t="shared" si="2"/>
        <v>478</v>
      </c>
      <c r="H34" s="32">
        <f t="shared" si="0"/>
        <v>4273.95</v>
      </c>
      <c r="I34" s="194">
        <v>0</v>
      </c>
      <c r="J34" s="197">
        <v>0</v>
      </c>
      <c r="K34" s="33">
        <f t="shared" si="7"/>
        <v>478</v>
      </c>
      <c r="L34" s="204">
        <f t="shared" si="9"/>
        <v>44409</v>
      </c>
      <c r="M34" s="214">
        <v>3320</v>
      </c>
      <c r="N34" s="197">
        <v>10332.94</v>
      </c>
      <c r="O34" s="197">
        <v>72.069999999999993</v>
      </c>
      <c r="P34" s="194">
        <f t="shared" si="8"/>
        <v>80.015543466192952</v>
      </c>
      <c r="Q34" s="30">
        <f t="shared" si="4"/>
        <v>3239.9844565338071</v>
      </c>
      <c r="R34" s="31">
        <f t="shared" si="5"/>
        <v>10405.01</v>
      </c>
    </row>
    <row r="35" spans="1:18" x14ac:dyDescent="0.2">
      <c r="A35" s="149">
        <f t="shared" si="1"/>
        <v>44440</v>
      </c>
      <c r="B35" s="204">
        <f t="shared" si="6"/>
        <v>44440</v>
      </c>
      <c r="C35" s="194">
        <v>430</v>
      </c>
      <c r="D35" s="197">
        <v>3848.77</v>
      </c>
      <c r="E35" s="194">
        <v>119</v>
      </c>
      <c r="F35" s="197">
        <v>1063.19</v>
      </c>
      <c r="G35" s="30">
        <f t="shared" si="2"/>
        <v>549</v>
      </c>
      <c r="H35" s="32">
        <f t="shared" si="0"/>
        <v>4911.96</v>
      </c>
      <c r="I35" s="194">
        <v>911</v>
      </c>
      <c r="J35" s="197">
        <v>6148.37</v>
      </c>
      <c r="K35" s="33">
        <f t="shared" si="7"/>
        <v>1460</v>
      </c>
      <c r="L35" s="204">
        <f t="shared" si="9"/>
        <v>44440</v>
      </c>
      <c r="M35" s="214">
        <v>2100</v>
      </c>
      <c r="N35" s="197">
        <v>5363.4</v>
      </c>
      <c r="O35" s="197">
        <v>1292.25</v>
      </c>
      <c r="P35" s="194">
        <f t="shared" si="8"/>
        <v>1434.7174419895637</v>
      </c>
      <c r="Q35" s="30">
        <f t="shared" si="4"/>
        <v>665.28255801043633</v>
      </c>
      <c r="R35" s="31">
        <f t="shared" si="5"/>
        <v>6655.65</v>
      </c>
    </row>
    <row r="36" spans="1:18" x14ac:dyDescent="0.2">
      <c r="A36" s="149">
        <f t="shared" si="1"/>
        <v>44470</v>
      </c>
      <c r="B36" s="204">
        <f t="shared" si="6"/>
        <v>44470</v>
      </c>
      <c r="C36" s="194">
        <v>492</v>
      </c>
      <c r="D36" s="197">
        <v>4348.84</v>
      </c>
      <c r="E36" s="194">
        <v>141</v>
      </c>
      <c r="F36" s="197">
        <v>1243.79</v>
      </c>
      <c r="G36" s="30">
        <f t="shared" si="2"/>
        <v>633</v>
      </c>
      <c r="H36" s="32">
        <f t="shared" si="0"/>
        <v>5592.63</v>
      </c>
      <c r="I36" s="194">
        <v>967</v>
      </c>
      <c r="J36" s="197">
        <v>6524.6</v>
      </c>
      <c r="K36" s="33">
        <f t="shared" si="7"/>
        <v>1600</v>
      </c>
      <c r="L36" s="204">
        <f t="shared" si="9"/>
        <v>44470</v>
      </c>
      <c r="M36" s="214">
        <v>4531</v>
      </c>
      <c r="N36" s="197">
        <v>18612.400000000001</v>
      </c>
      <c r="O36" s="197">
        <v>1003.24</v>
      </c>
      <c r="P36" s="194">
        <f t="shared" si="8"/>
        <v>1113.8447873875875</v>
      </c>
      <c r="Q36" s="30">
        <f t="shared" si="4"/>
        <v>3417.1552126124125</v>
      </c>
      <c r="R36" s="31">
        <f t="shared" si="5"/>
        <v>19615.640000000003</v>
      </c>
    </row>
    <row r="37" spans="1:18" x14ac:dyDescent="0.2">
      <c r="A37" s="149">
        <f t="shared" si="1"/>
        <v>44501</v>
      </c>
      <c r="B37" s="204">
        <f t="shared" si="6"/>
        <v>44501</v>
      </c>
      <c r="C37" s="194">
        <v>2689</v>
      </c>
      <c r="D37" s="197">
        <v>23758.25</v>
      </c>
      <c r="E37" s="194">
        <v>574</v>
      </c>
      <c r="F37" s="197">
        <v>5049.91</v>
      </c>
      <c r="G37" s="30">
        <f t="shared" si="2"/>
        <v>3263</v>
      </c>
      <c r="H37" s="32">
        <f t="shared" si="0"/>
        <v>28808.16</v>
      </c>
      <c r="I37" s="194">
        <v>0</v>
      </c>
      <c r="J37" s="197">
        <v>0</v>
      </c>
      <c r="K37" s="33">
        <f t="shared" si="7"/>
        <v>3263</v>
      </c>
      <c r="L37" s="204">
        <f t="shared" si="9"/>
        <v>44501</v>
      </c>
      <c r="M37" s="214">
        <v>3500</v>
      </c>
      <c r="N37" s="197">
        <v>13712</v>
      </c>
      <c r="O37" s="197">
        <v>3937.45</v>
      </c>
      <c r="P37" s="194">
        <f t="shared" si="8"/>
        <v>4371.5443543910296</v>
      </c>
      <c r="Q37" s="30">
        <f t="shared" si="4"/>
        <v>-871.54435439102963</v>
      </c>
      <c r="R37" s="31">
        <f t="shared" si="5"/>
        <v>17649.45</v>
      </c>
    </row>
    <row r="38" spans="1:18" x14ac:dyDescent="0.2">
      <c r="A38" s="149">
        <f t="shared" si="1"/>
        <v>44531</v>
      </c>
      <c r="B38" s="204">
        <f t="shared" si="6"/>
        <v>44531</v>
      </c>
      <c r="C38" s="194">
        <v>3100</v>
      </c>
      <c r="D38" s="197">
        <v>27394.17</v>
      </c>
      <c r="E38" s="194">
        <v>686</v>
      </c>
      <c r="F38" s="197">
        <v>6033.31</v>
      </c>
      <c r="G38" s="30">
        <f t="shared" si="2"/>
        <v>3786</v>
      </c>
      <c r="H38" s="32">
        <f t="shared" si="0"/>
        <v>33427.479999999996</v>
      </c>
      <c r="I38" s="194">
        <v>0</v>
      </c>
      <c r="J38" s="197">
        <v>0</v>
      </c>
      <c r="K38" s="33">
        <f t="shared" si="7"/>
        <v>3786</v>
      </c>
      <c r="L38" s="204">
        <f t="shared" si="9"/>
        <v>44531</v>
      </c>
      <c r="M38" s="214">
        <v>4600</v>
      </c>
      <c r="N38" s="197">
        <v>15492.8</v>
      </c>
      <c r="O38" s="197">
        <v>3633.91</v>
      </c>
      <c r="P38" s="194">
        <f t="shared" si="8"/>
        <v>4034.5398023759299</v>
      </c>
      <c r="Q38" s="30">
        <f t="shared" si="4"/>
        <v>565.46019762407013</v>
      </c>
      <c r="R38" s="31">
        <f t="shared" si="5"/>
        <v>19126.71</v>
      </c>
    </row>
    <row r="39" spans="1:18" x14ac:dyDescent="0.2">
      <c r="A39" s="149">
        <f t="shared" si="1"/>
        <v>44562</v>
      </c>
      <c r="B39" s="204">
        <f t="shared" si="6"/>
        <v>44562</v>
      </c>
      <c r="C39" s="194">
        <v>5673</v>
      </c>
      <c r="D39" s="197">
        <v>51371.76</v>
      </c>
      <c r="E39" s="194">
        <v>1227</v>
      </c>
      <c r="F39" s="197">
        <v>11037.83</v>
      </c>
      <c r="G39" s="30">
        <f t="shared" si="2"/>
        <v>6900</v>
      </c>
      <c r="H39" s="32">
        <f t="shared" si="0"/>
        <v>62409.590000000004</v>
      </c>
      <c r="I39" s="194">
        <v>0</v>
      </c>
      <c r="J39" s="197">
        <v>0</v>
      </c>
      <c r="K39" s="33">
        <f t="shared" si="7"/>
        <v>6900</v>
      </c>
      <c r="L39" s="204">
        <f t="shared" si="9"/>
        <v>44562</v>
      </c>
      <c r="M39" s="214">
        <v>3508</v>
      </c>
      <c r="N39" s="197">
        <v>11213.46</v>
      </c>
      <c r="O39" s="197">
        <v>7721.77</v>
      </c>
      <c r="P39" s="194">
        <f t="shared" si="8"/>
        <v>8573.0764960586221</v>
      </c>
      <c r="Q39" s="30">
        <f t="shared" si="4"/>
        <v>-5065.0764960586221</v>
      </c>
      <c r="R39" s="31">
        <f t="shared" si="5"/>
        <v>18935.23</v>
      </c>
    </row>
    <row r="40" spans="1:18" x14ac:dyDescent="0.2">
      <c r="A40" s="149">
        <f t="shared" si="1"/>
        <v>44593</v>
      </c>
      <c r="B40" s="204">
        <f t="shared" si="6"/>
        <v>44593</v>
      </c>
      <c r="C40" s="194">
        <v>5784</v>
      </c>
      <c r="D40" s="197">
        <v>52379.43</v>
      </c>
      <c r="E40" s="194">
        <v>1352</v>
      </c>
      <c r="F40" s="197">
        <v>12154.46</v>
      </c>
      <c r="G40" s="30">
        <f t="shared" si="2"/>
        <v>7136</v>
      </c>
      <c r="H40" s="32">
        <f t="shared" si="0"/>
        <v>64533.89</v>
      </c>
      <c r="I40" s="194">
        <v>0</v>
      </c>
      <c r="J40" s="197">
        <v>0</v>
      </c>
      <c r="K40" s="33">
        <f t="shared" si="7"/>
        <v>7136</v>
      </c>
      <c r="L40" s="204">
        <f t="shared" si="9"/>
        <v>44593</v>
      </c>
      <c r="M40" s="214">
        <v>2469</v>
      </c>
      <c r="N40" s="197">
        <v>7489.9</v>
      </c>
      <c r="O40" s="197">
        <v>5366.7</v>
      </c>
      <c r="P40" s="194">
        <f t="shared" si="8"/>
        <v>5958.3657155545689</v>
      </c>
      <c r="Q40" s="30">
        <f t="shared" si="4"/>
        <v>-3489.3657155545689</v>
      </c>
      <c r="R40" s="31">
        <f t="shared" si="5"/>
        <v>12856.599999999999</v>
      </c>
    </row>
    <row r="41" spans="1:18" x14ac:dyDescent="0.2">
      <c r="A41" s="149">
        <f t="shared" si="1"/>
        <v>44621</v>
      </c>
      <c r="B41" s="204">
        <f t="shared" si="6"/>
        <v>44621</v>
      </c>
      <c r="C41" s="194">
        <v>3039</v>
      </c>
      <c r="D41" s="197">
        <v>27547.55</v>
      </c>
      <c r="E41" s="194">
        <v>696</v>
      </c>
      <c r="F41" s="197">
        <v>6265.87</v>
      </c>
      <c r="G41" s="30">
        <f t="shared" si="2"/>
        <v>3735</v>
      </c>
      <c r="H41" s="32">
        <f t="shared" si="0"/>
        <v>33813.42</v>
      </c>
      <c r="I41" s="194">
        <v>0</v>
      </c>
      <c r="J41" s="197">
        <v>0</v>
      </c>
      <c r="K41" s="33">
        <f t="shared" si="7"/>
        <v>3735</v>
      </c>
      <c r="L41" s="204">
        <f t="shared" si="9"/>
        <v>44621</v>
      </c>
      <c r="M41" s="214">
        <v>2100</v>
      </c>
      <c r="N41" s="197">
        <v>5610</v>
      </c>
      <c r="O41" s="197">
        <v>3282.69</v>
      </c>
      <c r="P41" s="194">
        <f t="shared" si="8"/>
        <v>3644.5986454979461</v>
      </c>
      <c r="Q41" s="30">
        <f t="shared" si="4"/>
        <v>-1544.5986454979461</v>
      </c>
      <c r="R41" s="31">
        <f t="shared" si="5"/>
        <v>8892.69</v>
      </c>
    </row>
    <row r="42" spans="1:18" x14ac:dyDescent="0.2">
      <c r="A42" s="149">
        <f t="shared" si="1"/>
        <v>44652</v>
      </c>
      <c r="B42" s="204">
        <f t="shared" si="6"/>
        <v>44652</v>
      </c>
      <c r="C42" s="194">
        <v>1765</v>
      </c>
      <c r="D42" s="197">
        <v>23301.94</v>
      </c>
      <c r="E42" s="194">
        <v>381</v>
      </c>
      <c r="F42" s="197">
        <v>5013.0200000000004</v>
      </c>
      <c r="G42" s="30">
        <f t="shared" si="2"/>
        <v>2146</v>
      </c>
      <c r="H42" s="32">
        <f t="shared" si="0"/>
        <v>28314.959999999999</v>
      </c>
      <c r="I42" s="194">
        <v>4</v>
      </c>
      <c r="J42" s="197">
        <v>43</v>
      </c>
      <c r="K42" s="33">
        <f t="shared" si="7"/>
        <v>2150</v>
      </c>
      <c r="L42" s="204">
        <f t="shared" si="9"/>
        <v>44652</v>
      </c>
      <c r="M42" s="214">
        <v>2045</v>
      </c>
      <c r="N42" s="197">
        <v>5428.32</v>
      </c>
      <c r="O42" s="197">
        <v>1891.26</v>
      </c>
      <c r="P42" s="194">
        <f t="shared" si="8"/>
        <v>2099.7668480071056</v>
      </c>
      <c r="Q42" s="30">
        <f t="shared" si="4"/>
        <v>-54.766848007105636</v>
      </c>
      <c r="R42" s="31">
        <f t="shared" si="5"/>
        <v>7319.58</v>
      </c>
    </row>
    <row r="43" spans="1:18" x14ac:dyDescent="0.2">
      <c r="A43" s="149">
        <f t="shared" si="1"/>
        <v>44682</v>
      </c>
      <c r="B43" s="204">
        <f t="shared" si="6"/>
        <v>44682</v>
      </c>
      <c r="C43" s="194">
        <v>550</v>
      </c>
      <c r="D43" s="197">
        <v>7256.4</v>
      </c>
      <c r="E43" s="194">
        <v>179</v>
      </c>
      <c r="F43" s="197">
        <v>2351.17</v>
      </c>
      <c r="G43" s="30">
        <f t="shared" si="2"/>
        <v>729</v>
      </c>
      <c r="H43" s="32">
        <f t="shared" si="0"/>
        <v>9607.57</v>
      </c>
      <c r="I43" s="194">
        <v>956</v>
      </c>
      <c r="J43" s="197">
        <v>10276.709999999999</v>
      </c>
      <c r="K43" s="33">
        <f t="shared" si="7"/>
        <v>1685</v>
      </c>
      <c r="L43" s="204">
        <f t="shared" si="9"/>
        <v>44682</v>
      </c>
      <c r="M43" s="214">
        <v>2075</v>
      </c>
      <c r="N43" s="197">
        <v>5532.5</v>
      </c>
      <c r="O43" s="197">
        <v>1246.44</v>
      </c>
      <c r="P43" s="194">
        <f t="shared" si="8"/>
        <v>1383.8570001110249</v>
      </c>
      <c r="Q43" s="30">
        <f t="shared" si="4"/>
        <v>691.14299988897506</v>
      </c>
      <c r="R43" s="31">
        <f t="shared" si="5"/>
        <v>6778.9400000000005</v>
      </c>
    </row>
    <row r="44" spans="1:18" x14ac:dyDescent="0.2">
      <c r="A44" s="149">
        <f t="shared" si="1"/>
        <v>44713</v>
      </c>
      <c r="B44" s="204">
        <f t="shared" si="6"/>
        <v>44713</v>
      </c>
      <c r="C44" s="194">
        <v>431</v>
      </c>
      <c r="D44" s="197">
        <v>5687.36</v>
      </c>
      <c r="E44" s="194">
        <v>154</v>
      </c>
      <c r="F44" s="197">
        <v>2028.44</v>
      </c>
      <c r="G44" s="30">
        <f t="shared" si="2"/>
        <v>585</v>
      </c>
      <c r="H44" s="32">
        <f t="shared" si="0"/>
        <v>7715.7999999999993</v>
      </c>
      <c r="I44" s="194">
        <v>2950</v>
      </c>
      <c r="J44" s="197">
        <v>31708.39</v>
      </c>
      <c r="K44" s="33">
        <f t="shared" si="7"/>
        <v>3535</v>
      </c>
      <c r="L44" s="204">
        <f t="shared" si="9"/>
        <v>44713</v>
      </c>
      <c r="M44" s="214">
        <v>3426</v>
      </c>
      <c r="N44" s="197">
        <v>17353.75</v>
      </c>
      <c r="O44" s="197">
        <v>2756.73</v>
      </c>
      <c r="P44" s="194">
        <f t="shared" si="8"/>
        <v>3060.6528255801045</v>
      </c>
      <c r="Q44" s="30">
        <f t="shared" si="4"/>
        <v>365.34717441989551</v>
      </c>
      <c r="R44" s="31">
        <f t="shared" si="5"/>
        <v>20110.48</v>
      </c>
    </row>
    <row r="45" spans="1:18" x14ac:dyDescent="0.2">
      <c r="A45" s="149">
        <f t="shared" si="1"/>
        <v>44743</v>
      </c>
      <c r="B45" s="204">
        <f t="shared" si="6"/>
        <v>44743</v>
      </c>
      <c r="C45" s="194">
        <v>304</v>
      </c>
      <c r="D45" s="197">
        <v>2604.16</v>
      </c>
      <c r="E45" s="194">
        <v>100</v>
      </c>
      <c r="F45" s="197">
        <v>855.66</v>
      </c>
      <c r="G45" s="30">
        <f t="shared" si="2"/>
        <v>404</v>
      </c>
      <c r="H45" s="32">
        <f t="shared" si="0"/>
        <v>3459.8199999999997</v>
      </c>
      <c r="I45" s="194">
        <v>1717</v>
      </c>
      <c r="J45" s="197">
        <v>16088.41</v>
      </c>
      <c r="K45" s="33">
        <f t="shared" si="7"/>
        <v>2121</v>
      </c>
      <c r="L45" s="204">
        <f t="shared" si="9"/>
        <v>44743</v>
      </c>
      <c r="M45" s="214">
        <v>2431</v>
      </c>
      <c r="N45" s="197">
        <v>8234.3799999999992</v>
      </c>
      <c r="O45" s="197">
        <v>1867.85</v>
      </c>
      <c r="P45" s="194">
        <f t="shared" si="8"/>
        <v>2073.7759520373043</v>
      </c>
      <c r="Q45" s="30">
        <f t="shared" si="4"/>
        <v>357.22404796269575</v>
      </c>
      <c r="R45" s="31">
        <f t="shared" si="5"/>
        <v>10102.23</v>
      </c>
    </row>
    <row r="46" spans="1:18" x14ac:dyDescent="0.2">
      <c r="A46" s="149">
        <f t="shared" si="1"/>
        <v>44774</v>
      </c>
      <c r="B46" s="204">
        <f t="shared" si="6"/>
        <v>44774</v>
      </c>
      <c r="C46" s="194">
        <v>409</v>
      </c>
      <c r="D46" s="197">
        <v>3503.57</v>
      </c>
      <c r="E46" s="194">
        <v>107</v>
      </c>
      <c r="F46" s="197">
        <v>914.44</v>
      </c>
      <c r="G46" s="30">
        <f t="shared" si="2"/>
        <v>516</v>
      </c>
      <c r="H46" s="32">
        <f t="shared" si="0"/>
        <v>4418.01</v>
      </c>
      <c r="I46" s="194">
        <v>1310</v>
      </c>
      <c r="J46" s="197">
        <v>12540.37</v>
      </c>
      <c r="K46" s="33">
        <f t="shared" si="7"/>
        <v>1826</v>
      </c>
      <c r="L46" s="204">
        <f t="shared" si="9"/>
        <v>44774</v>
      </c>
      <c r="M46" s="214">
        <v>2050</v>
      </c>
      <c r="N46" s="197">
        <v>5455</v>
      </c>
      <c r="O46" s="197">
        <v>1195.99</v>
      </c>
      <c r="P46" s="194">
        <f t="shared" si="8"/>
        <v>1327.8450094371046</v>
      </c>
      <c r="Q46" s="30">
        <f t="shared" si="4"/>
        <v>722.15499056289536</v>
      </c>
      <c r="R46" s="31">
        <f t="shared" si="5"/>
        <v>6650.99</v>
      </c>
    </row>
    <row r="47" spans="1:18" x14ac:dyDescent="0.2">
      <c r="A47" s="149">
        <f t="shared" si="1"/>
        <v>44805</v>
      </c>
      <c r="B47" s="204">
        <f t="shared" si="6"/>
        <v>44805</v>
      </c>
      <c r="C47" s="194">
        <v>323</v>
      </c>
      <c r="D47" s="197">
        <v>2772.46</v>
      </c>
      <c r="E47" s="194">
        <v>82</v>
      </c>
      <c r="F47" s="197">
        <v>705.68</v>
      </c>
      <c r="G47" s="30">
        <f t="shared" si="2"/>
        <v>405</v>
      </c>
      <c r="H47" s="32">
        <f t="shared" si="0"/>
        <v>3478.14</v>
      </c>
      <c r="I47" s="194">
        <v>550</v>
      </c>
      <c r="J47" s="197">
        <v>5150.3500000000004</v>
      </c>
      <c r="K47" s="33">
        <f t="shared" si="7"/>
        <v>955</v>
      </c>
      <c r="L47" s="204">
        <f t="shared" si="9"/>
        <v>44805</v>
      </c>
      <c r="M47" s="214">
        <v>3270</v>
      </c>
      <c r="N47" s="197">
        <v>15300.15</v>
      </c>
      <c r="O47" s="197">
        <v>2082.19</v>
      </c>
      <c r="P47" s="194">
        <f t="shared" si="8"/>
        <v>2311.7464194515378</v>
      </c>
      <c r="Q47" s="30">
        <f t="shared" si="4"/>
        <v>958.2535805484622</v>
      </c>
      <c r="R47" s="31">
        <f t="shared" si="5"/>
        <v>17382.34</v>
      </c>
    </row>
    <row r="48" spans="1:18" x14ac:dyDescent="0.2">
      <c r="A48" s="149">
        <f t="shared" si="1"/>
        <v>44835</v>
      </c>
      <c r="B48" s="204">
        <f t="shared" si="6"/>
        <v>44835</v>
      </c>
      <c r="C48" s="194">
        <v>1106</v>
      </c>
      <c r="D48" s="197">
        <v>10513.83</v>
      </c>
      <c r="E48" s="194">
        <v>218</v>
      </c>
      <c r="F48" s="197">
        <v>2072.48</v>
      </c>
      <c r="G48" s="30">
        <f t="shared" si="2"/>
        <v>1324</v>
      </c>
      <c r="H48" s="32">
        <f t="shared" si="0"/>
        <v>12586.31</v>
      </c>
      <c r="I48" s="194">
        <v>4221</v>
      </c>
      <c r="J48" s="197">
        <v>39566.339999999997</v>
      </c>
      <c r="K48" s="33">
        <f t="shared" si="7"/>
        <v>5545</v>
      </c>
      <c r="L48" s="204">
        <f t="shared" si="9"/>
        <v>44835</v>
      </c>
      <c r="M48" s="214">
        <v>4828</v>
      </c>
      <c r="N48" s="197">
        <v>23845.75</v>
      </c>
      <c r="O48" s="197">
        <v>4676.6000000000004</v>
      </c>
      <c r="P48" s="194">
        <f t="shared" si="8"/>
        <v>5192.1838570001119</v>
      </c>
      <c r="Q48" s="30">
        <f t="shared" si="4"/>
        <v>-364.18385700011186</v>
      </c>
      <c r="R48" s="31">
        <f t="shared" si="5"/>
        <v>28522.35</v>
      </c>
    </row>
    <row r="49" spans="1:18" x14ac:dyDescent="0.2">
      <c r="A49" s="149">
        <f t="shared" si="1"/>
        <v>44866</v>
      </c>
      <c r="B49" s="204">
        <f t="shared" si="6"/>
        <v>44866</v>
      </c>
      <c r="C49" s="194">
        <v>2658</v>
      </c>
      <c r="D49" s="197">
        <v>25336.23</v>
      </c>
      <c r="E49" s="194">
        <v>547</v>
      </c>
      <c r="F49" s="197">
        <v>5184.13</v>
      </c>
      <c r="G49" s="30">
        <f t="shared" si="2"/>
        <v>3205</v>
      </c>
      <c r="H49" s="32">
        <f t="shared" si="0"/>
        <v>30520.36</v>
      </c>
      <c r="I49" s="194">
        <v>904</v>
      </c>
      <c r="J49" s="197">
        <v>8474.89</v>
      </c>
      <c r="K49" s="33">
        <f t="shared" si="7"/>
        <v>4109</v>
      </c>
      <c r="L49" s="204">
        <f t="shared" si="9"/>
        <v>44866</v>
      </c>
      <c r="M49" s="214">
        <v>6570</v>
      </c>
      <c r="N49" s="197">
        <v>32164.47</v>
      </c>
      <c r="O49" s="197">
        <v>4326.1099999999997</v>
      </c>
      <c r="P49" s="194">
        <f t="shared" si="8"/>
        <v>4803.0531808593314</v>
      </c>
      <c r="Q49" s="30">
        <f t="shared" si="4"/>
        <v>1766.9468191406686</v>
      </c>
      <c r="R49" s="31">
        <f t="shared" si="5"/>
        <v>36490.58</v>
      </c>
    </row>
    <row r="50" spans="1:18" x14ac:dyDescent="0.2">
      <c r="A50" s="149">
        <f t="shared" si="1"/>
        <v>44896</v>
      </c>
      <c r="B50" s="204">
        <f t="shared" si="6"/>
        <v>44896</v>
      </c>
      <c r="C50" s="194">
        <v>3729</v>
      </c>
      <c r="D50" s="197">
        <v>35555.51</v>
      </c>
      <c r="E50" s="194">
        <v>772</v>
      </c>
      <c r="F50" s="197">
        <v>7310.08</v>
      </c>
      <c r="G50" s="30">
        <f t="shared" si="2"/>
        <v>4501</v>
      </c>
      <c r="H50" s="32">
        <f t="shared" si="0"/>
        <v>42865.590000000004</v>
      </c>
      <c r="I50" s="194">
        <v>0</v>
      </c>
      <c r="J50" s="197">
        <v>0</v>
      </c>
      <c r="K50" s="33">
        <f t="shared" si="7"/>
        <v>4501</v>
      </c>
      <c r="L50" s="204">
        <f t="shared" si="9"/>
        <v>44896</v>
      </c>
      <c r="M50" s="214">
        <v>4800</v>
      </c>
      <c r="N50" s="197">
        <v>24288.75</v>
      </c>
      <c r="O50" s="197">
        <v>5698.17</v>
      </c>
      <c r="P50" s="194">
        <f t="shared" si="8"/>
        <v>6326.3794826246258</v>
      </c>
      <c r="Q50" s="30">
        <f t="shared" si="4"/>
        <v>-1526.3794826246258</v>
      </c>
      <c r="R50" s="31">
        <f t="shared" si="5"/>
        <v>29986.92</v>
      </c>
    </row>
    <row r="51" spans="1:18" x14ac:dyDescent="0.2">
      <c r="A51" s="149">
        <f t="shared" si="1"/>
        <v>44927</v>
      </c>
      <c r="B51" s="204">
        <f t="shared" si="6"/>
        <v>44927</v>
      </c>
      <c r="C51" s="194">
        <v>4294</v>
      </c>
      <c r="D51" s="197">
        <v>37626.629999999997</v>
      </c>
      <c r="E51" s="194">
        <v>892</v>
      </c>
      <c r="F51" s="197">
        <v>7764.61</v>
      </c>
      <c r="G51" s="30">
        <f t="shared" si="2"/>
        <v>5186</v>
      </c>
      <c r="H51" s="32">
        <f t="shared" si="0"/>
        <v>45391.24</v>
      </c>
      <c r="I51" s="194">
        <v>0</v>
      </c>
      <c r="J51" s="197">
        <v>0</v>
      </c>
      <c r="K51" s="33">
        <f t="shared" si="7"/>
        <v>5186</v>
      </c>
      <c r="L51" s="204">
        <f t="shared" si="9"/>
        <v>44927</v>
      </c>
      <c r="M51" s="214">
        <v>5419</v>
      </c>
      <c r="N51" s="197">
        <v>19092.400000000001</v>
      </c>
      <c r="O51" s="197">
        <v>5024.3100000000004</v>
      </c>
      <c r="P51" s="194">
        <f t="shared" si="8"/>
        <v>5578.2280448540032</v>
      </c>
      <c r="Q51" s="30">
        <f t="shared" si="4"/>
        <v>-159.2280448540032</v>
      </c>
      <c r="R51" s="31">
        <f t="shared" si="5"/>
        <v>24116.710000000003</v>
      </c>
    </row>
    <row r="52" spans="1:18" x14ac:dyDescent="0.2">
      <c r="A52" s="149">
        <f t="shared" si="1"/>
        <v>44958</v>
      </c>
      <c r="B52" s="204">
        <f t="shared" si="6"/>
        <v>44958</v>
      </c>
      <c r="C52" s="194">
        <v>3796</v>
      </c>
      <c r="D52" s="197">
        <v>33263.61</v>
      </c>
      <c r="E52" s="194">
        <v>835</v>
      </c>
      <c r="F52" s="197">
        <v>7270.88</v>
      </c>
      <c r="G52" s="30">
        <f t="shared" si="2"/>
        <v>4631</v>
      </c>
      <c r="H52" s="32">
        <f t="shared" si="0"/>
        <v>40534.49</v>
      </c>
      <c r="I52" s="194">
        <v>0</v>
      </c>
      <c r="J52" s="197">
        <v>0</v>
      </c>
      <c r="K52" s="33">
        <f t="shared" si="7"/>
        <v>4631</v>
      </c>
      <c r="L52" s="204">
        <f t="shared" si="9"/>
        <v>44958</v>
      </c>
      <c r="M52" s="214">
        <v>6135</v>
      </c>
      <c r="N52" s="197">
        <v>19723.830000000002</v>
      </c>
      <c r="O52" s="197">
        <v>3836.01</v>
      </c>
      <c r="P52" s="194">
        <f t="shared" si="8"/>
        <v>4258.9208393471745</v>
      </c>
      <c r="Q52" s="30">
        <f t="shared" si="4"/>
        <v>1876.0791606528255</v>
      </c>
      <c r="R52" s="31">
        <f t="shared" si="5"/>
        <v>23559.840000000004</v>
      </c>
    </row>
    <row r="53" spans="1:18" x14ac:dyDescent="0.2">
      <c r="A53" s="149">
        <f t="shared" si="1"/>
        <v>44986</v>
      </c>
      <c r="B53" s="204">
        <f t="shared" si="6"/>
        <v>44986</v>
      </c>
      <c r="C53" s="194">
        <v>3864</v>
      </c>
      <c r="D53" s="197">
        <v>33851.71</v>
      </c>
      <c r="E53" s="194">
        <v>819</v>
      </c>
      <c r="F53" s="197">
        <v>7136.42</v>
      </c>
      <c r="G53" s="30">
        <f t="shared" si="2"/>
        <v>4683</v>
      </c>
      <c r="H53" s="32">
        <f t="shared" si="0"/>
        <v>40988.129999999997</v>
      </c>
      <c r="I53" s="194">
        <v>0</v>
      </c>
      <c r="J53" s="197">
        <v>0</v>
      </c>
      <c r="K53" s="33">
        <f t="shared" si="7"/>
        <v>4683</v>
      </c>
      <c r="L53" s="204">
        <f t="shared" si="9"/>
        <v>44986</v>
      </c>
      <c r="M53" s="214">
        <v>2160</v>
      </c>
      <c r="N53" s="197">
        <v>6858</v>
      </c>
      <c r="O53" s="197">
        <v>3791.04</v>
      </c>
      <c r="P53" s="194">
        <f t="shared" si="8"/>
        <v>4208.993005440213</v>
      </c>
      <c r="Q53" s="30">
        <f t="shared" si="4"/>
        <v>-2048.993005440213</v>
      </c>
      <c r="R53" s="31">
        <f t="shared" si="5"/>
        <v>10649.04</v>
      </c>
    </row>
    <row r="54" spans="1:18" x14ac:dyDescent="0.2">
      <c r="A54" s="149">
        <f t="shared" si="1"/>
        <v>45017</v>
      </c>
      <c r="B54" s="204">
        <f t="shared" si="6"/>
        <v>45017</v>
      </c>
      <c r="C54" s="194">
        <v>1824</v>
      </c>
      <c r="D54" s="197">
        <v>11793.12</v>
      </c>
      <c r="E54" s="194">
        <v>398</v>
      </c>
      <c r="F54" s="197">
        <v>2554.5100000000002</v>
      </c>
      <c r="G54" s="30">
        <f t="shared" si="2"/>
        <v>2222</v>
      </c>
      <c r="H54" s="32">
        <f t="shared" si="0"/>
        <v>14347.630000000001</v>
      </c>
      <c r="I54" s="194">
        <v>33</v>
      </c>
      <c r="J54" s="197">
        <v>215.36</v>
      </c>
      <c r="K54" s="33">
        <f t="shared" si="7"/>
        <v>2255</v>
      </c>
      <c r="L54" s="204">
        <f t="shared" si="9"/>
        <v>45017</v>
      </c>
      <c r="M54" s="214">
        <v>4770</v>
      </c>
      <c r="N54" s="197">
        <v>14126.4</v>
      </c>
      <c r="O54" s="197">
        <v>2703.64</v>
      </c>
      <c r="P54" s="194">
        <f t="shared" si="8"/>
        <v>3001.7097812812258</v>
      </c>
      <c r="Q54" s="30">
        <f t="shared" si="4"/>
        <v>1768.2902187187742</v>
      </c>
      <c r="R54" s="31">
        <f t="shared" si="5"/>
        <v>16830.04</v>
      </c>
    </row>
    <row r="55" spans="1:18" x14ac:dyDescent="0.2">
      <c r="A55" s="149">
        <f t="shared" si="1"/>
        <v>45047</v>
      </c>
      <c r="B55" s="204">
        <f t="shared" si="6"/>
        <v>45047</v>
      </c>
      <c r="C55" s="194">
        <v>673</v>
      </c>
      <c r="D55" s="197">
        <v>4355.3999999999996</v>
      </c>
      <c r="E55" s="194">
        <v>175</v>
      </c>
      <c r="F55" s="197">
        <v>1125.33</v>
      </c>
      <c r="G55" s="30">
        <f t="shared" si="2"/>
        <v>848</v>
      </c>
      <c r="H55" s="32">
        <f t="shared" si="0"/>
        <v>5480.73</v>
      </c>
      <c r="I55" s="194">
        <v>2870</v>
      </c>
      <c r="J55" s="197">
        <v>18561.8</v>
      </c>
      <c r="K55" s="33">
        <f t="shared" si="7"/>
        <v>3718</v>
      </c>
      <c r="L55" s="204">
        <f t="shared" si="9"/>
        <v>45047</v>
      </c>
      <c r="M55" s="214">
        <v>4929</v>
      </c>
      <c r="N55" s="197">
        <v>14606.04</v>
      </c>
      <c r="O55" s="197">
        <v>3384.67</v>
      </c>
      <c r="P55" s="194">
        <f t="shared" si="8"/>
        <v>3757.8216942378153</v>
      </c>
      <c r="Q55" s="30">
        <f t="shared" si="4"/>
        <v>1171.1783057621847</v>
      </c>
      <c r="R55" s="31">
        <f t="shared" si="5"/>
        <v>17990.71</v>
      </c>
    </row>
    <row r="56" spans="1:18" x14ac:dyDescent="0.2">
      <c r="A56" s="149">
        <f t="shared" si="1"/>
        <v>45078</v>
      </c>
      <c r="B56" s="204">
        <f t="shared" si="6"/>
        <v>45078</v>
      </c>
      <c r="C56" s="194">
        <v>464</v>
      </c>
      <c r="D56" s="197">
        <v>3081.61</v>
      </c>
      <c r="E56" s="194">
        <v>148</v>
      </c>
      <c r="F56" s="197">
        <v>972.87</v>
      </c>
      <c r="G56" s="30">
        <f t="shared" si="2"/>
        <v>612</v>
      </c>
      <c r="H56" s="32">
        <f>SUM(D56+F56)</f>
        <v>4054.48</v>
      </c>
      <c r="I56" s="194">
        <v>555</v>
      </c>
      <c r="J56" s="197">
        <v>3586.76</v>
      </c>
      <c r="K56" s="33">
        <f t="shared" si="7"/>
        <v>1167</v>
      </c>
      <c r="L56" s="204">
        <f t="shared" si="9"/>
        <v>45078</v>
      </c>
      <c r="M56" s="214">
        <v>4770</v>
      </c>
      <c r="N56" s="197">
        <v>14159.25</v>
      </c>
      <c r="O56" s="197">
        <v>510.78</v>
      </c>
      <c r="P56" s="194">
        <f t="shared" si="8"/>
        <v>567.09226157433113</v>
      </c>
      <c r="Q56" s="30">
        <f t="shared" si="4"/>
        <v>4202.9077384256689</v>
      </c>
      <c r="R56" s="31">
        <f t="shared" si="5"/>
        <v>14670.03</v>
      </c>
    </row>
    <row r="57" spans="1:18" x14ac:dyDescent="0.2">
      <c r="A57" s="149">
        <f t="shared" si="1"/>
        <v>45108</v>
      </c>
      <c r="B57" s="204">
        <f t="shared" si="6"/>
        <v>45108</v>
      </c>
      <c r="C57" s="194">
        <v>350</v>
      </c>
      <c r="D57" s="197">
        <v>2324.7199999999998</v>
      </c>
      <c r="E57" s="194">
        <v>105</v>
      </c>
      <c r="F57" s="197">
        <v>693.22</v>
      </c>
      <c r="G57" s="30">
        <f t="shared" si="2"/>
        <v>455</v>
      </c>
      <c r="H57" s="32">
        <f t="shared" si="0"/>
        <v>3017.9399999999996</v>
      </c>
      <c r="I57" s="194">
        <v>973</v>
      </c>
      <c r="J57" s="197">
        <v>6293.98</v>
      </c>
      <c r="K57" s="33">
        <f t="shared" ref="K57:K120" si="10">SUM(C57+E57+I57)</f>
        <v>1428</v>
      </c>
      <c r="L57" s="204">
        <f t="shared" ref="L57:L120" si="11">EDATE(L56,1)</f>
        <v>45108</v>
      </c>
      <c r="M57" s="214">
        <v>4929</v>
      </c>
      <c r="N57" s="197">
        <v>14614.51</v>
      </c>
      <c r="O57" s="197">
        <v>1600</v>
      </c>
      <c r="P57" s="194">
        <f t="shared" si="8"/>
        <v>1776.3961363384035</v>
      </c>
      <c r="Q57" s="30">
        <f t="shared" si="4"/>
        <v>3152.6038636615967</v>
      </c>
      <c r="R57" s="31">
        <f t="shared" si="5"/>
        <v>16214.51</v>
      </c>
    </row>
    <row r="58" spans="1:18" x14ac:dyDescent="0.2">
      <c r="A58" s="149">
        <f t="shared" si="1"/>
        <v>45139</v>
      </c>
      <c r="B58" s="204">
        <f t="shared" si="6"/>
        <v>45139</v>
      </c>
      <c r="C58" s="194">
        <v>372</v>
      </c>
      <c r="D58" s="197">
        <v>2630.29</v>
      </c>
      <c r="E58" s="194">
        <v>119</v>
      </c>
      <c r="F58" s="197">
        <v>834.93</v>
      </c>
      <c r="G58" s="30">
        <f t="shared" si="2"/>
        <v>491</v>
      </c>
      <c r="H58" s="32">
        <f t="shared" si="0"/>
        <v>3465.22</v>
      </c>
      <c r="I58" s="194">
        <v>1879</v>
      </c>
      <c r="J58" s="197">
        <v>13286.92</v>
      </c>
      <c r="K58" s="33">
        <f t="shared" si="10"/>
        <v>2370</v>
      </c>
      <c r="L58" s="204">
        <f t="shared" si="11"/>
        <v>45139</v>
      </c>
      <c r="M58" s="214">
        <v>4929</v>
      </c>
      <c r="N58" s="197">
        <v>14573.19</v>
      </c>
      <c r="O58" s="197">
        <v>2506.29</v>
      </c>
      <c r="P58" s="194">
        <f t="shared" si="8"/>
        <v>2782.602420339736</v>
      </c>
      <c r="Q58" s="30">
        <f t="shared" si="4"/>
        <v>2146.397579660264</v>
      </c>
      <c r="R58" s="31">
        <f t="shared" si="5"/>
        <v>17079.48</v>
      </c>
    </row>
    <row r="59" spans="1:18" x14ac:dyDescent="0.2">
      <c r="A59" s="149">
        <f t="shared" si="1"/>
        <v>45170</v>
      </c>
      <c r="B59" s="204">
        <f t="shared" si="6"/>
        <v>45170</v>
      </c>
      <c r="C59" s="194">
        <v>290</v>
      </c>
      <c r="D59" s="197">
        <v>2049.5300000000002</v>
      </c>
      <c r="E59" s="194">
        <v>101</v>
      </c>
      <c r="F59" s="197">
        <v>709.52</v>
      </c>
      <c r="G59" s="30">
        <f t="shared" si="2"/>
        <v>391</v>
      </c>
      <c r="H59" s="32">
        <f t="shared" si="0"/>
        <v>2759.05</v>
      </c>
      <c r="I59" s="194">
        <v>890</v>
      </c>
      <c r="J59" s="197">
        <v>6296.56</v>
      </c>
      <c r="K59" s="33">
        <f t="shared" si="10"/>
        <v>1281</v>
      </c>
      <c r="L59" s="204">
        <f t="shared" si="11"/>
        <v>45170</v>
      </c>
      <c r="M59" s="214">
        <v>4770</v>
      </c>
      <c r="N59" s="197">
        <v>14093.55</v>
      </c>
      <c r="O59" s="197">
        <v>1006.29</v>
      </c>
      <c r="P59" s="194">
        <f t="shared" si="8"/>
        <v>1117.2310425224825</v>
      </c>
      <c r="Q59" s="30">
        <f t="shared" si="4"/>
        <v>3652.7689574775177</v>
      </c>
      <c r="R59" s="31">
        <f t="shared" si="5"/>
        <v>15099.84</v>
      </c>
    </row>
    <row r="60" spans="1:18" x14ac:dyDescent="0.2">
      <c r="A60" s="149">
        <f t="shared" si="1"/>
        <v>45200</v>
      </c>
      <c r="B60" s="204">
        <f t="shared" si="6"/>
        <v>45200</v>
      </c>
      <c r="C60" s="194">
        <v>598.9</v>
      </c>
      <c r="D60" s="197">
        <v>5150.8</v>
      </c>
      <c r="E60" s="194">
        <v>159.5</v>
      </c>
      <c r="F60" s="197">
        <v>1367.56</v>
      </c>
      <c r="G60" s="30">
        <f t="shared" si="2"/>
        <v>758.4</v>
      </c>
      <c r="H60" s="32">
        <f t="shared" si="0"/>
        <v>6518.3600000000006</v>
      </c>
      <c r="I60" s="194">
        <v>0.3</v>
      </c>
      <c r="J60" s="197">
        <v>2.58</v>
      </c>
      <c r="K60" s="33">
        <f t="shared" si="10"/>
        <v>758.69999999999993</v>
      </c>
      <c r="L60" s="204">
        <f t="shared" si="11"/>
        <v>45200</v>
      </c>
      <c r="M60" s="214">
        <v>4929</v>
      </c>
      <c r="N60" s="197">
        <v>14557.28</v>
      </c>
      <c r="O60" s="197">
        <v>1322.39</v>
      </c>
      <c r="P60" s="194">
        <f t="shared" si="8"/>
        <v>1468.1803042078386</v>
      </c>
      <c r="Q60" s="30">
        <f t="shared" si="4"/>
        <v>3460.8196957921614</v>
      </c>
      <c r="R60" s="31">
        <f t="shared" si="5"/>
        <v>15879.67</v>
      </c>
    </row>
    <row r="61" spans="1:18" x14ac:dyDescent="0.2">
      <c r="A61" s="149">
        <f t="shared" si="1"/>
        <v>45231</v>
      </c>
      <c r="B61" s="204">
        <f t="shared" si="6"/>
        <v>45231</v>
      </c>
      <c r="C61" s="194">
        <v>1517.6</v>
      </c>
      <c r="D61" s="197">
        <v>13051.53</v>
      </c>
      <c r="E61" s="194">
        <v>317.5</v>
      </c>
      <c r="F61" s="197">
        <v>2715.65</v>
      </c>
      <c r="G61" s="30">
        <f t="shared" si="2"/>
        <v>1835.1</v>
      </c>
      <c r="H61" s="32">
        <f t="shared" si="0"/>
        <v>15767.18</v>
      </c>
      <c r="I61" s="194">
        <v>94.7</v>
      </c>
      <c r="J61" s="197">
        <v>814.42</v>
      </c>
      <c r="K61" s="33">
        <f t="shared" si="10"/>
        <v>1929.8</v>
      </c>
      <c r="L61" s="204">
        <f t="shared" si="11"/>
        <v>45231</v>
      </c>
      <c r="M61" s="214">
        <v>1350</v>
      </c>
      <c r="N61" s="197">
        <v>4286.25</v>
      </c>
      <c r="O61" s="197">
        <v>3549.19</v>
      </c>
      <c r="P61" s="194">
        <f t="shared" si="8"/>
        <v>3940.4796269568114</v>
      </c>
      <c r="Q61" s="30">
        <f t="shared" si="4"/>
        <v>-2590.4796269568114</v>
      </c>
      <c r="R61" s="31">
        <f t="shared" si="5"/>
        <v>7835.4400000000005</v>
      </c>
    </row>
    <row r="62" spans="1:18" x14ac:dyDescent="0.2">
      <c r="A62" s="149">
        <f t="shared" si="1"/>
        <v>45261</v>
      </c>
      <c r="B62" s="204">
        <f t="shared" si="6"/>
        <v>45261</v>
      </c>
      <c r="C62" s="194">
        <v>3151.6</v>
      </c>
      <c r="D62" s="197">
        <v>27140.14</v>
      </c>
      <c r="E62" s="194">
        <v>646</v>
      </c>
      <c r="F62" s="197">
        <v>5520.59</v>
      </c>
      <c r="G62" s="30">
        <f t="shared" si="2"/>
        <v>3797.6</v>
      </c>
      <c r="H62" s="32">
        <f t="shared" si="0"/>
        <v>32660.73</v>
      </c>
      <c r="I62" s="194">
        <v>426</v>
      </c>
      <c r="J62" s="197">
        <v>3663.6</v>
      </c>
      <c r="K62" s="33">
        <f t="shared" si="10"/>
        <v>4223.6000000000004</v>
      </c>
      <c r="L62" s="204">
        <f t="shared" si="11"/>
        <v>45261</v>
      </c>
      <c r="M62" s="214">
        <v>1350</v>
      </c>
      <c r="N62" s="197">
        <v>4286.25</v>
      </c>
      <c r="O62" s="197">
        <v>4623.79</v>
      </c>
      <c r="P62" s="194">
        <f t="shared" si="8"/>
        <v>5133.5516820250923</v>
      </c>
      <c r="Q62" s="30">
        <f t="shared" si="4"/>
        <v>-3783.5516820250923</v>
      </c>
      <c r="R62" s="31">
        <f t="shared" si="5"/>
        <v>8910.0400000000009</v>
      </c>
    </row>
    <row r="63" spans="1:18" x14ac:dyDescent="0.2">
      <c r="A63" s="149">
        <f t="shared" si="1"/>
        <v>45292</v>
      </c>
      <c r="B63" s="204">
        <f t="shared" si="6"/>
        <v>45292</v>
      </c>
      <c r="C63" s="194">
        <v>6870.8</v>
      </c>
      <c r="D63" s="197">
        <v>59089.31</v>
      </c>
      <c r="E63" s="194">
        <v>1570.6</v>
      </c>
      <c r="F63" s="197">
        <v>13413.92</v>
      </c>
      <c r="G63" s="30">
        <f t="shared" si="2"/>
        <v>8441.4</v>
      </c>
      <c r="H63" s="32">
        <f t="shared" si="0"/>
        <v>72503.23</v>
      </c>
      <c r="I63" s="194">
        <v>0</v>
      </c>
      <c r="J63" s="197">
        <v>0</v>
      </c>
      <c r="K63" s="33">
        <f t="shared" si="10"/>
        <v>8441.4</v>
      </c>
      <c r="L63" s="204">
        <f t="shared" si="11"/>
        <v>45292</v>
      </c>
      <c r="M63" s="214">
        <v>2137</v>
      </c>
      <c r="N63" s="197">
        <v>6784.9</v>
      </c>
      <c r="O63" s="197">
        <v>7195.37</v>
      </c>
      <c r="P63" s="194">
        <f t="shared" si="8"/>
        <v>7988.6421672032866</v>
      </c>
      <c r="Q63" s="30">
        <f t="shared" si="4"/>
        <v>-5851.6421672032866</v>
      </c>
      <c r="R63" s="31">
        <f t="shared" si="5"/>
        <v>13980.27</v>
      </c>
    </row>
    <row r="64" spans="1:18" x14ac:dyDescent="0.2">
      <c r="A64" s="149">
        <f t="shared" si="1"/>
        <v>45323</v>
      </c>
      <c r="B64" s="204">
        <f t="shared" si="6"/>
        <v>45323</v>
      </c>
      <c r="C64" s="194">
        <v>2844</v>
      </c>
      <c r="D64" s="197">
        <v>24458.83</v>
      </c>
      <c r="E64" s="194">
        <v>594.4</v>
      </c>
      <c r="F64" s="197">
        <v>5089.6099999999997</v>
      </c>
      <c r="G64" s="30">
        <f t="shared" si="2"/>
        <v>3438.4</v>
      </c>
      <c r="H64" s="32">
        <f t="shared" si="0"/>
        <v>29548.440000000002</v>
      </c>
      <c r="I64" s="194">
        <v>0</v>
      </c>
      <c r="J64" s="197">
        <v>0</v>
      </c>
      <c r="K64" s="33">
        <f t="shared" si="10"/>
        <v>3438.4</v>
      </c>
      <c r="L64" s="204">
        <f t="shared" si="11"/>
        <v>45323</v>
      </c>
      <c r="M64" s="214">
        <v>2047</v>
      </c>
      <c r="N64" s="197">
        <v>6499.15</v>
      </c>
      <c r="O64" s="197">
        <v>4100.42</v>
      </c>
      <c r="P64" s="194">
        <f t="shared" si="8"/>
        <v>4552.4814033529483</v>
      </c>
      <c r="Q64" s="30">
        <f t="shared" si="4"/>
        <v>-2505.4814033529483</v>
      </c>
      <c r="R64" s="31">
        <f t="shared" si="5"/>
        <v>10599.57</v>
      </c>
    </row>
    <row r="65" spans="1:18" x14ac:dyDescent="0.2">
      <c r="A65" s="149">
        <f t="shared" si="1"/>
        <v>45352</v>
      </c>
      <c r="B65" s="204">
        <f t="shared" si="6"/>
        <v>45352</v>
      </c>
      <c r="C65" s="194">
        <v>3380.4</v>
      </c>
      <c r="D65" s="197">
        <v>29071.53</v>
      </c>
      <c r="E65" s="194">
        <v>731.3</v>
      </c>
      <c r="F65" s="197">
        <v>6260.29</v>
      </c>
      <c r="G65" s="30">
        <f t="shared" si="2"/>
        <v>4111.7</v>
      </c>
      <c r="H65" s="32">
        <f t="shared" si="0"/>
        <v>35331.82</v>
      </c>
      <c r="I65" s="194">
        <v>0</v>
      </c>
      <c r="J65" s="197">
        <v>0</v>
      </c>
      <c r="K65" s="33">
        <f t="shared" si="10"/>
        <v>4111.7</v>
      </c>
      <c r="L65" s="204">
        <f t="shared" si="11"/>
        <v>45352</v>
      </c>
      <c r="M65" s="214">
        <v>2160</v>
      </c>
      <c r="N65" s="197">
        <v>6858</v>
      </c>
      <c r="O65" s="197">
        <v>3015.89</v>
      </c>
      <c r="P65" s="194">
        <f t="shared" si="8"/>
        <v>3348.3845897635174</v>
      </c>
      <c r="Q65" s="30">
        <f t="shared" si="4"/>
        <v>-1188.3845897635174</v>
      </c>
      <c r="R65" s="31">
        <f t="shared" si="5"/>
        <v>9873.89</v>
      </c>
    </row>
    <row r="66" spans="1:18" x14ac:dyDescent="0.2">
      <c r="A66" s="149">
        <f t="shared" si="1"/>
        <v>45383</v>
      </c>
      <c r="B66" s="204">
        <f t="shared" si="6"/>
        <v>45383</v>
      </c>
      <c r="C66" s="194">
        <v>1480.7</v>
      </c>
      <c r="D66" s="197">
        <v>12734.28</v>
      </c>
      <c r="E66" s="194">
        <v>318.7</v>
      </c>
      <c r="F66" s="197">
        <v>2733.44</v>
      </c>
      <c r="G66" s="30">
        <f t="shared" si="2"/>
        <v>1799.4</v>
      </c>
      <c r="H66" s="32">
        <f t="shared" si="0"/>
        <v>15467.720000000001</v>
      </c>
      <c r="I66" s="194">
        <v>0.6</v>
      </c>
      <c r="J66" s="197">
        <v>5.16</v>
      </c>
      <c r="K66" s="33">
        <f t="shared" si="10"/>
        <v>1800</v>
      </c>
      <c r="L66" s="204">
        <f t="shared" si="11"/>
        <v>45383</v>
      </c>
      <c r="M66" s="214">
        <v>1980</v>
      </c>
      <c r="N66" s="197">
        <v>6286.5</v>
      </c>
      <c r="O66" s="197">
        <v>1789.03</v>
      </c>
      <c r="P66" s="194">
        <f t="shared" si="8"/>
        <v>1986.2662373709338</v>
      </c>
      <c r="Q66" s="30">
        <f t="shared" si="4"/>
        <v>-6.2662373709338226</v>
      </c>
      <c r="R66" s="31">
        <f t="shared" si="5"/>
        <v>8075.53</v>
      </c>
    </row>
    <row r="67" spans="1:18" x14ac:dyDescent="0.2">
      <c r="A67" s="149">
        <f t="shared" si="1"/>
        <v>45413</v>
      </c>
      <c r="B67" s="204">
        <f t="shared" si="6"/>
        <v>45413</v>
      </c>
      <c r="C67" s="194">
        <v>607.9</v>
      </c>
      <c r="D67" s="197">
        <v>5228.1099999999997</v>
      </c>
      <c r="E67" s="194">
        <v>207.8</v>
      </c>
      <c r="F67" s="197">
        <v>1783.21</v>
      </c>
      <c r="G67" s="30">
        <f t="shared" si="2"/>
        <v>815.7</v>
      </c>
      <c r="H67" s="32">
        <f t="shared" ref="H67:H130" si="12">SUM(D67+F67)</f>
        <v>7011.32</v>
      </c>
      <c r="I67" s="194">
        <v>776.4</v>
      </c>
      <c r="J67" s="197">
        <v>6677.04</v>
      </c>
      <c r="K67" s="33">
        <f t="shared" si="10"/>
        <v>1592.1</v>
      </c>
      <c r="L67" s="204">
        <f t="shared" si="11"/>
        <v>45413</v>
      </c>
      <c r="M67" s="214">
        <v>2070</v>
      </c>
      <c r="N67" s="197">
        <v>6572.25</v>
      </c>
      <c r="O67" s="197">
        <v>2751.88</v>
      </c>
      <c r="P67" s="194">
        <f t="shared" si="8"/>
        <v>3055.268124791829</v>
      </c>
      <c r="Q67" s="30">
        <f t="shared" si="4"/>
        <v>-985.268124791829</v>
      </c>
      <c r="R67" s="31">
        <f t="shared" si="5"/>
        <v>9324.130000000001</v>
      </c>
    </row>
    <row r="68" spans="1:18" x14ac:dyDescent="0.2">
      <c r="A68" s="149">
        <f t="shared" ref="A68:A132" si="13">EOMONTH((B68),-1)+1</f>
        <v>45444</v>
      </c>
      <c r="B68" s="204">
        <f t="shared" si="6"/>
        <v>45444</v>
      </c>
      <c r="C68" s="194">
        <v>397.8</v>
      </c>
      <c r="D68" s="197">
        <v>3421.25</v>
      </c>
      <c r="E68" s="194">
        <v>104.3</v>
      </c>
      <c r="F68" s="197">
        <v>894.19</v>
      </c>
      <c r="G68" s="30">
        <f t="shared" ref="G68:G131" si="14">C68+E68</f>
        <v>502.1</v>
      </c>
      <c r="H68" s="32">
        <f t="shared" si="12"/>
        <v>4315.4400000000005</v>
      </c>
      <c r="I68" s="194">
        <v>1428.3</v>
      </c>
      <c r="J68" s="197">
        <v>12283.38</v>
      </c>
      <c r="K68" s="33">
        <f t="shared" si="10"/>
        <v>1930.4</v>
      </c>
      <c r="L68" s="204">
        <f t="shared" si="11"/>
        <v>45444</v>
      </c>
      <c r="M68" s="214">
        <v>2070</v>
      </c>
      <c r="N68" s="197">
        <v>6572.25</v>
      </c>
      <c r="O68" s="197">
        <v>528.79</v>
      </c>
      <c r="P68" s="194">
        <f t="shared" si="8"/>
        <v>587.08782058399026</v>
      </c>
      <c r="Q68" s="30">
        <f t="shared" ref="Q68:Q131" si="15">M68-P68</f>
        <v>1482.9121794160096</v>
      </c>
      <c r="R68" s="31">
        <f t="shared" ref="R68:R131" si="16">SUM(N68:O68)</f>
        <v>7101.04</v>
      </c>
    </row>
    <row r="69" spans="1:18" x14ac:dyDescent="0.2">
      <c r="A69" s="149">
        <f t="shared" si="13"/>
        <v>45474</v>
      </c>
      <c r="B69" s="204">
        <f t="shared" ref="B69:B86" si="17">EDATE(B68,1)</f>
        <v>45474</v>
      </c>
      <c r="C69" s="194">
        <v>380.8</v>
      </c>
      <c r="D69" s="197">
        <v>3160.72</v>
      </c>
      <c r="E69" s="194">
        <v>101.2</v>
      </c>
      <c r="F69" s="197">
        <v>837.98</v>
      </c>
      <c r="G69" s="30">
        <f t="shared" si="14"/>
        <v>482</v>
      </c>
      <c r="H69" s="32">
        <f t="shared" si="12"/>
        <v>3998.7</v>
      </c>
      <c r="I69" s="194">
        <v>0.2</v>
      </c>
      <c r="J69" s="197">
        <v>1.66</v>
      </c>
      <c r="K69" s="33">
        <f t="shared" si="10"/>
        <v>482.2</v>
      </c>
      <c r="L69" s="204">
        <f t="shared" si="11"/>
        <v>45474</v>
      </c>
      <c r="M69" s="214">
        <v>2093</v>
      </c>
      <c r="N69" s="197">
        <v>6645.35</v>
      </c>
      <c r="O69" s="197">
        <v>378.3</v>
      </c>
      <c r="P69" s="194">
        <f t="shared" si="8"/>
        <v>420.0066614855113</v>
      </c>
      <c r="Q69" s="30">
        <f t="shared" si="15"/>
        <v>1672.9933385144886</v>
      </c>
      <c r="R69" s="31">
        <f t="shared" si="16"/>
        <v>7023.6500000000005</v>
      </c>
    </row>
    <row r="70" spans="1:18" x14ac:dyDescent="0.2">
      <c r="A70" s="149">
        <f t="shared" si="13"/>
        <v>45505</v>
      </c>
      <c r="B70" s="204">
        <f t="shared" si="17"/>
        <v>45505</v>
      </c>
      <c r="C70" s="194">
        <v>308.39999999999998</v>
      </c>
      <c r="D70" s="197">
        <v>2561.96</v>
      </c>
      <c r="E70" s="194">
        <v>78.900000000000006</v>
      </c>
      <c r="F70" s="197">
        <v>653.42999999999995</v>
      </c>
      <c r="G70" s="30">
        <f t="shared" si="14"/>
        <v>387.29999999999995</v>
      </c>
      <c r="H70" s="32">
        <f t="shared" si="12"/>
        <v>3215.39</v>
      </c>
      <c r="I70" s="194">
        <v>1149.5</v>
      </c>
      <c r="J70" s="197">
        <v>9540.85</v>
      </c>
      <c r="K70" s="33">
        <f t="shared" si="10"/>
        <v>1536.8</v>
      </c>
      <c r="L70" s="204">
        <f t="shared" si="11"/>
        <v>45505</v>
      </c>
      <c r="M70" s="214">
        <v>1980</v>
      </c>
      <c r="N70" s="197">
        <v>6286.5</v>
      </c>
      <c r="O70" s="197">
        <v>3241.08</v>
      </c>
      <c r="P70" s="194">
        <f t="shared" si="8"/>
        <v>3598.4012434772958</v>
      </c>
      <c r="Q70" s="30">
        <f t="shared" si="15"/>
        <v>-1618.4012434772958</v>
      </c>
      <c r="R70" s="31">
        <f t="shared" si="16"/>
        <v>9527.58</v>
      </c>
    </row>
    <row r="71" spans="1:18" x14ac:dyDescent="0.2">
      <c r="A71" s="149">
        <f t="shared" si="13"/>
        <v>45536</v>
      </c>
      <c r="B71" s="204">
        <f t="shared" si="17"/>
        <v>45536</v>
      </c>
      <c r="C71" s="194">
        <v>395.7</v>
      </c>
      <c r="D71" s="197">
        <v>3265.37</v>
      </c>
      <c r="E71" s="194">
        <v>98.2</v>
      </c>
      <c r="F71" s="197">
        <v>813.17</v>
      </c>
      <c r="G71" s="30">
        <f t="shared" si="14"/>
        <v>493.9</v>
      </c>
      <c r="H71" s="32">
        <f t="shared" si="12"/>
        <v>4078.54</v>
      </c>
      <c r="I71" s="194">
        <v>1653.2</v>
      </c>
      <c r="J71" s="197">
        <v>13721.56</v>
      </c>
      <c r="K71" s="33">
        <f t="shared" si="10"/>
        <v>2147.1</v>
      </c>
      <c r="L71" s="204">
        <f t="shared" si="11"/>
        <v>45536</v>
      </c>
      <c r="M71" s="214">
        <v>1890</v>
      </c>
      <c r="N71" s="197">
        <v>6000.75</v>
      </c>
      <c r="O71" s="197">
        <v>513.49</v>
      </c>
      <c r="P71" s="194">
        <f t="shared" si="8"/>
        <v>570.10103253025432</v>
      </c>
      <c r="Q71" s="30">
        <f t="shared" si="15"/>
        <v>1319.8989674697457</v>
      </c>
      <c r="R71" s="31">
        <f t="shared" si="16"/>
        <v>6514.24</v>
      </c>
    </row>
    <row r="72" spans="1:18" x14ac:dyDescent="0.2">
      <c r="A72" s="149">
        <f t="shared" si="13"/>
        <v>45566</v>
      </c>
      <c r="B72" s="204">
        <f t="shared" si="17"/>
        <v>45566</v>
      </c>
      <c r="C72" s="194">
        <v>633.9</v>
      </c>
      <c r="D72" s="197">
        <v>5234.2299999999996</v>
      </c>
      <c r="E72" s="194">
        <v>104.5</v>
      </c>
      <c r="F72" s="197">
        <v>866</v>
      </c>
      <c r="G72" s="30">
        <f t="shared" si="14"/>
        <v>738.4</v>
      </c>
      <c r="H72" s="32">
        <f t="shared" si="12"/>
        <v>6100.23</v>
      </c>
      <c r="I72" s="194">
        <v>0</v>
      </c>
      <c r="J72" s="197">
        <v>0</v>
      </c>
      <c r="K72" s="33">
        <f t="shared" si="10"/>
        <v>738.4</v>
      </c>
      <c r="L72" s="204">
        <f t="shared" si="11"/>
        <v>45566</v>
      </c>
      <c r="M72" s="214">
        <v>1936</v>
      </c>
      <c r="N72" s="197">
        <v>6146.95</v>
      </c>
      <c r="O72" s="197">
        <v>1058.44</v>
      </c>
      <c r="P72" s="194">
        <f t="shared" si="8"/>
        <v>1175.1304540912624</v>
      </c>
      <c r="Q72" s="30">
        <f t="shared" si="15"/>
        <v>760.86954590873756</v>
      </c>
      <c r="R72" s="31">
        <f t="shared" si="16"/>
        <v>7205.3899999999994</v>
      </c>
    </row>
    <row r="73" spans="1:18" x14ac:dyDescent="0.2">
      <c r="A73" s="149">
        <f t="shared" si="13"/>
        <v>45597</v>
      </c>
      <c r="B73" s="204">
        <f t="shared" si="17"/>
        <v>45597</v>
      </c>
      <c r="C73" s="194">
        <v>991.1</v>
      </c>
      <c r="D73" s="197">
        <v>8188.61</v>
      </c>
      <c r="E73" s="194">
        <v>158.9</v>
      </c>
      <c r="F73" s="197">
        <v>1317.88</v>
      </c>
      <c r="G73" s="30">
        <f t="shared" si="14"/>
        <v>1150</v>
      </c>
      <c r="H73" s="32">
        <f t="shared" si="12"/>
        <v>9506.49</v>
      </c>
      <c r="I73" s="194">
        <v>0</v>
      </c>
      <c r="J73" s="197">
        <v>0</v>
      </c>
      <c r="K73" s="33">
        <f t="shared" si="10"/>
        <v>1150</v>
      </c>
      <c r="L73" s="204">
        <f t="shared" si="11"/>
        <v>45597</v>
      </c>
      <c r="M73" s="214">
        <v>1350</v>
      </c>
      <c r="N73" s="197">
        <v>4286.25</v>
      </c>
      <c r="O73" s="197">
        <v>2551.9299999999998</v>
      </c>
      <c r="P73" s="194">
        <f t="shared" si="8"/>
        <v>2833.2741201287886</v>
      </c>
      <c r="Q73" s="30">
        <f t="shared" si="15"/>
        <v>-1483.2741201287886</v>
      </c>
      <c r="R73" s="31">
        <f t="shared" si="16"/>
        <v>6838.18</v>
      </c>
    </row>
    <row r="74" spans="1:18" x14ac:dyDescent="0.2">
      <c r="A74" s="149">
        <f t="shared" si="13"/>
        <v>45627</v>
      </c>
      <c r="B74" s="204">
        <f t="shared" si="17"/>
        <v>45627</v>
      </c>
      <c r="C74" s="194">
        <v>3882.1</v>
      </c>
      <c r="D74" s="197">
        <v>32270.82</v>
      </c>
      <c r="E74" s="194">
        <v>877.9</v>
      </c>
      <c r="F74" s="197">
        <v>7240.58</v>
      </c>
      <c r="G74" s="30">
        <f t="shared" si="14"/>
        <v>4760</v>
      </c>
      <c r="H74" s="32">
        <f t="shared" si="12"/>
        <v>39511.4</v>
      </c>
      <c r="I74" s="194">
        <v>0</v>
      </c>
      <c r="J74" s="197">
        <v>0</v>
      </c>
      <c r="K74" s="33">
        <f t="shared" si="10"/>
        <v>4760</v>
      </c>
      <c r="L74" s="204">
        <f t="shared" si="11"/>
        <v>45627</v>
      </c>
      <c r="M74" s="214">
        <v>1350</v>
      </c>
      <c r="N74" s="197">
        <v>4286.25</v>
      </c>
      <c r="O74" s="197">
        <v>5271.51</v>
      </c>
      <c r="P74" s="194">
        <f t="shared" si="8"/>
        <v>5852.6812479182863</v>
      </c>
      <c r="Q74" s="30">
        <f t="shared" si="15"/>
        <v>-4502.6812479182863</v>
      </c>
      <c r="R74" s="31">
        <f t="shared" si="16"/>
        <v>9557.76</v>
      </c>
    </row>
    <row r="75" spans="1:18" x14ac:dyDescent="0.2">
      <c r="A75" s="149">
        <f t="shared" si="13"/>
        <v>45658</v>
      </c>
      <c r="B75" s="204">
        <f t="shared" si="17"/>
        <v>45658</v>
      </c>
      <c r="C75" s="194">
        <v>5033.8</v>
      </c>
      <c r="D75" s="197">
        <v>41781.199999999997</v>
      </c>
      <c r="E75" s="194">
        <v>1132.5</v>
      </c>
      <c r="F75" s="197">
        <v>9327.0300000000007</v>
      </c>
      <c r="G75" s="30">
        <f t="shared" si="14"/>
        <v>6166.3</v>
      </c>
      <c r="H75" s="32">
        <f t="shared" si="12"/>
        <v>51108.229999999996</v>
      </c>
      <c r="I75" s="194">
        <v>0</v>
      </c>
      <c r="J75" s="197">
        <v>0</v>
      </c>
      <c r="K75" s="33">
        <f t="shared" si="10"/>
        <v>6166.3</v>
      </c>
      <c r="L75" s="204">
        <f t="shared" si="11"/>
        <v>45658</v>
      </c>
      <c r="M75" s="214">
        <v>4675</v>
      </c>
      <c r="N75" s="197">
        <v>19207.669999999998</v>
      </c>
      <c r="O75" s="197">
        <v>8052.27</v>
      </c>
      <c r="P75" s="194">
        <f t="shared" si="8"/>
        <v>8940.0133229710227</v>
      </c>
      <c r="Q75" s="30">
        <f t="shared" si="15"/>
        <v>-4265.0133229710227</v>
      </c>
      <c r="R75" s="31">
        <f t="shared" si="16"/>
        <v>27259.94</v>
      </c>
    </row>
    <row r="76" spans="1:18" x14ac:dyDescent="0.2">
      <c r="A76" s="149">
        <f t="shared" si="13"/>
        <v>45689</v>
      </c>
      <c r="B76" s="204">
        <f t="shared" si="17"/>
        <v>45689</v>
      </c>
      <c r="C76" s="194">
        <v>5725.5</v>
      </c>
      <c r="D76" s="197">
        <v>47521.73</v>
      </c>
      <c r="E76" s="194">
        <v>1278.2</v>
      </c>
      <c r="F76" s="197">
        <v>10532.56</v>
      </c>
      <c r="G76" s="30">
        <f t="shared" si="14"/>
        <v>7003.7</v>
      </c>
      <c r="H76" s="32">
        <f t="shared" si="12"/>
        <v>58054.29</v>
      </c>
      <c r="I76" s="194">
        <v>0</v>
      </c>
      <c r="J76" s="197">
        <v>0</v>
      </c>
      <c r="K76" s="33">
        <f t="shared" si="10"/>
        <v>7003.7</v>
      </c>
      <c r="L76" s="204">
        <f t="shared" si="11"/>
        <v>45689</v>
      </c>
      <c r="M76" s="214">
        <v>6057</v>
      </c>
      <c r="N76" s="197">
        <v>22352.06</v>
      </c>
      <c r="O76" s="197">
        <v>5471.5</v>
      </c>
      <c r="P76" s="194">
        <f t="shared" si="8"/>
        <v>6074.7196624847347</v>
      </c>
      <c r="Q76" s="30">
        <f t="shared" si="15"/>
        <v>-17.719662484734727</v>
      </c>
      <c r="R76" s="31">
        <f t="shared" si="16"/>
        <v>27823.56</v>
      </c>
    </row>
    <row r="77" spans="1:18" x14ac:dyDescent="0.2">
      <c r="A77" s="149">
        <f t="shared" si="13"/>
        <v>45717</v>
      </c>
      <c r="B77" s="204">
        <f t="shared" si="17"/>
        <v>45717</v>
      </c>
      <c r="C77" s="194">
        <v>3726.2</v>
      </c>
      <c r="D77" s="197">
        <v>30956.26</v>
      </c>
      <c r="E77" s="194">
        <v>867.2</v>
      </c>
      <c r="F77" s="197">
        <v>7157.35</v>
      </c>
      <c r="G77" s="30">
        <f t="shared" si="14"/>
        <v>4593.3999999999996</v>
      </c>
      <c r="H77" s="32">
        <f t="shared" si="12"/>
        <v>38113.61</v>
      </c>
      <c r="I77" s="194">
        <v>0</v>
      </c>
      <c r="J77" s="197">
        <v>0</v>
      </c>
      <c r="K77" s="33">
        <f t="shared" si="10"/>
        <v>4593.3999999999996</v>
      </c>
      <c r="L77" s="204">
        <f t="shared" si="11"/>
        <v>45717</v>
      </c>
      <c r="M77" s="214">
        <v>6789</v>
      </c>
      <c r="N77" s="197">
        <v>26453.5</v>
      </c>
      <c r="O77" s="197">
        <v>3118.54</v>
      </c>
      <c r="P77" s="194">
        <f t="shared" si="8"/>
        <v>3462.3515043854782</v>
      </c>
      <c r="Q77" s="30">
        <f t="shared" si="15"/>
        <v>3326.6484956145218</v>
      </c>
      <c r="R77" s="31">
        <f t="shared" si="16"/>
        <v>29572.04</v>
      </c>
    </row>
    <row r="78" spans="1:18" x14ac:dyDescent="0.2">
      <c r="A78" s="149">
        <f t="shared" si="13"/>
        <v>45748</v>
      </c>
      <c r="B78" s="204">
        <f t="shared" si="17"/>
        <v>45748</v>
      </c>
      <c r="C78" s="194">
        <v>2056.5</v>
      </c>
      <c r="D78" s="197">
        <v>17061.98</v>
      </c>
      <c r="E78" s="194">
        <v>509.8</v>
      </c>
      <c r="F78" s="197">
        <v>4222.43</v>
      </c>
      <c r="G78" s="30">
        <f t="shared" si="14"/>
        <v>2566.3000000000002</v>
      </c>
      <c r="H78" s="32">
        <f t="shared" si="12"/>
        <v>21284.41</v>
      </c>
      <c r="I78" s="194">
        <v>0</v>
      </c>
      <c r="J78" s="197">
        <v>0</v>
      </c>
      <c r="K78" s="33">
        <f t="shared" si="10"/>
        <v>2566.3000000000002</v>
      </c>
      <c r="L78" s="204">
        <f t="shared" si="11"/>
        <v>45748</v>
      </c>
      <c r="M78" s="214">
        <v>4770</v>
      </c>
      <c r="N78" s="197">
        <v>16476.75</v>
      </c>
      <c r="O78" s="197">
        <v>1482.72</v>
      </c>
      <c r="P78" s="194">
        <f t="shared" si="8"/>
        <v>1646.1862995447987</v>
      </c>
      <c r="Q78" s="30">
        <f t="shared" si="15"/>
        <v>3123.8137004552013</v>
      </c>
      <c r="R78" s="31">
        <f t="shared" si="16"/>
        <v>17959.47</v>
      </c>
    </row>
    <row r="79" spans="1:18" x14ac:dyDescent="0.2">
      <c r="A79" s="149">
        <f t="shared" si="13"/>
        <v>45778</v>
      </c>
      <c r="B79" s="204">
        <f t="shared" si="17"/>
        <v>45778</v>
      </c>
      <c r="C79" s="194">
        <v>525.4</v>
      </c>
      <c r="D79" s="197">
        <v>4360.99</v>
      </c>
      <c r="E79" s="194">
        <v>292.8</v>
      </c>
      <c r="F79" s="197">
        <v>2428.17</v>
      </c>
      <c r="G79" s="30">
        <f t="shared" si="14"/>
        <v>818.2</v>
      </c>
      <c r="H79" s="32">
        <f t="shared" si="12"/>
        <v>6789.16</v>
      </c>
      <c r="I79" s="194">
        <v>0</v>
      </c>
      <c r="J79" s="197">
        <v>0</v>
      </c>
      <c r="K79" s="33">
        <f t="shared" si="10"/>
        <v>818.2</v>
      </c>
      <c r="L79" s="204">
        <f t="shared" si="11"/>
        <v>45778</v>
      </c>
      <c r="M79" s="214">
        <v>4922</v>
      </c>
      <c r="N79" s="197">
        <v>16136.29</v>
      </c>
      <c r="O79" s="197">
        <v>783.72</v>
      </c>
      <c r="P79" s="194">
        <f t="shared" si="8"/>
        <v>870.12323748195854</v>
      </c>
      <c r="Q79" s="30">
        <f t="shared" si="15"/>
        <v>4051.8767625180417</v>
      </c>
      <c r="R79" s="31">
        <f t="shared" si="16"/>
        <v>16920.010000000002</v>
      </c>
    </row>
    <row r="80" spans="1:18" x14ac:dyDescent="0.2">
      <c r="A80" s="149">
        <f t="shared" si="13"/>
        <v>45809</v>
      </c>
      <c r="B80" s="204">
        <f t="shared" si="17"/>
        <v>45809</v>
      </c>
      <c r="C80" s="194">
        <v>483.3</v>
      </c>
      <c r="D80" s="197">
        <v>4011.64</v>
      </c>
      <c r="E80" s="194">
        <v>303.89999999999998</v>
      </c>
      <c r="F80" s="197">
        <v>2518.23</v>
      </c>
      <c r="G80" s="30">
        <f t="shared" si="14"/>
        <v>787.2</v>
      </c>
      <c r="H80" s="32">
        <f t="shared" si="12"/>
        <v>6529.87</v>
      </c>
      <c r="I80" s="194">
        <v>0</v>
      </c>
      <c r="J80" s="197">
        <v>0</v>
      </c>
      <c r="K80" s="33">
        <f t="shared" si="10"/>
        <v>787.2</v>
      </c>
      <c r="L80" s="204">
        <f t="shared" si="11"/>
        <v>45809</v>
      </c>
      <c r="M80" s="214">
        <v>2070</v>
      </c>
      <c r="N80" s="197">
        <v>7103.18</v>
      </c>
      <c r="O80" s="197">
        <v>208.97</v>
      </c>
      <c r="P80" s="194">
        <f t="shared" si="8"/>
        <v>232.00843788164761</v>
      </c>
      <c r="Q80" s="30">
        <f t="shared" si="15"/>
        <v>1837.9915621183525</v>
      </c>
      <c r="R80" s="31">
        <f t="shared" si="16"/>
        <v>7312.1500000000005</v>
      </c>
    </row>
    <row r="81" spans="1:18" x14ac:dyDescent="0.2">
      <c r="A81" s="149">
        <f t="shared" si="13"/>
        <v>45839</v>
      </c>
      <c r="B81" s="204">
        <f t="shared" si="17"/>
        <v>45839</v>
      </c>
      <c r="C81" s="194">
        <v>258</v>
      </c>
      <c r="D81" s="197">
        <v>2141.48</v>
      </c>
      <c r="E81" s="194">
        <v>83.4</v>
      </c>
      <c r="F81" s="197">
        <v>690.06</v>
      </c>
      <c r="G81" s="30">
        <f t="shared" si="14"/>
        <v>341.4</v>
      </c>
      <c r="H81" s="32">
        <f t="shared" si="12"/>
        <v>2831.54</v>
      </c>
      <c r="I81" s="194">
        <v>726.5</v>
      </c>
      <c r="J81" s="197">
        <v>6029.95</v>
      </c>
      <c r="K81" s="33">
        <f t="shared" si="10"/>
        <v>1067.9000000000001</v>
      </c>
      <c r="L81" s="204">
        <f t="shared" si="11"/>
        <v>45839</v>
      </c>
      <c r="M81" s="214">
        <v>2092</v>
      </c>
      <c r="N81" s="197">
        <v>6958.88</v>
      </c>
      <c r="O81" s="197">
        <v>1539.48</v>
      </c>
      <c r="P81" s="194">
        <f t="shared" si="8"/>
        <v>1709.2039524814036</v>
      </c>
      <c r="Q81" s="30">
        <f t="shared" si="15"/>
        <v>382.79604751859642</v>
      </c>
      <c r="R81" s="31">
        <f t="shared" si="16"/>
        <v>8498.36</v>
      </c>
    </row>
    <row r="82" spans="1:18" x14ac:dyDescent="0.2">
      <c r="A82" s="149">
        <f t="shared" si="13"/>
        <v>45870</v>
      </c>
      <c r="B82" s="204">
        <f t="shared" si="17"/>
        <v>45870</v>
      </c>
      <c r="C82" s="194">
        <v>281.89999999999998</v>
      </c>
      <c r="D82" s="197">
        <v>2339.77</v>
      </c>
      <c r="E82" s="194">
        <v>87.3</v>
      </c>
      <c r="F82" s="197">
        <v>722.16</v>
      </c>
      <c r="G82" s="30">
        <f t="shared" si="14"/>
        <v>369.2</v>
      </c>
      <c r="H82" s="32">
        <f t="shared" si="12"/>
        <v>3061.93</v>
      </c>
      <c r="I82" s="194">
        <v>2117.6999999999998</v>
      </c>
      <c r="J82" s="197">
        <v>17576.91</v>
      </c>
      <c r="K82" s="33">
        <f t="shared" si="10"/>
        <v>2486.8999999999996</v>
      </c>
      <c r="L82" s="204">
        <f t="shared" si="11"/>
        <v>45870</v>
      </c>
      <c r="M82" s="214">
        <v>1980</v>
      </c>
      <c r="N82" s="197">
        <v>6914.18</v>
      </c>
      <c r="O82" s="197">
        <v>2155.6</v>
      </c>
      <c r="P82" s="194">
        <f t="shared" si="8"/>
        <v>2393.2496946819142</v>
      </c>
      <c r="Q82" s="30">
        <f t="shared" si="15"/>
        <v>-413.24969468191421</v>
      </c>
      <c r="R82" s="31">
        <f t="shared" si="16"/>
        <v>9069.7800000000007</v>
      </c>
    </row>
    <row r="83" spans="1:18" x14ac:dyDescent="0.2">
      <c r="A83" s="149">
        <f t="shared" si="13"/>
        <v>45901</v>
      </c>
      <c r="B83" s="204">
        <f t="shared" si="17"/>
        <v>45901</v>
      </c>
      <c r="C83" s="194">
        <v>348.5</v>
      </c>
      <c r="D83" s="197">
        <v>2892.55</v>
      </c>
      <c r="E83" s="194">
        <v>101.2</v>
      </c>
      <c r="F83" s="197">
        <v>836.09</v>
      </c>
      <c r="G83" s="30">
        <f t="shared" si="14"/>
        <v>449.7</v>
      </c>
      <c r="H83" s="32">
        <f t="shared" si="12"/>
        <v>3728.6400000000003</v>
      </c>
      <c r="I83" s="194">
        <v>853.3</v>
      </c>
      <c r="J83" s="197">
        <v>7082.39</v>
      </c>
      <c r="K83" s="33">
        <f t="shared" si="10"/>
        <v>1303</v>
      </c>
      <c r="L83" s="204">
        <f t="shared" si="11"/>
        <v>45901</v>
      </c>
      <c r="M83" s="214">
        <v>1890</v>
      </c>
      <c r="N83" s="197">
        <v>6510.59</v>
      </c>
      <c r="O83" s="197">
        <v>7.21</v>
      </c>
      <c r="P83" s="194">
        <f>SUM(O83/0.9007)</f>
        <v>8.0048850893749304</v>
      </c>
      <c r="Q83" s="30">
        <f t="shared" si="15"/>
        <v>1881.995114910625</v>
      </c>
      <c r="R83" s="31">
        <f t="shared" si="16"/>
        <v>6517.8</v>
      </c>
    </row>
    <row r="84" spans="1:18" x14ac:dyDescent="0.2">
      <c r="A84" s="149">
        <f t="shared" si="13"/>
        <v>45931</v>
      </c>
      <c r="B84" s="204">
        <f t="shared" si="17"/>
        <v>45931</v>
      </c>
      <c r="C84" s="194"/>
      <c r="D84" s="197"/>
      <c r="E84" s="194"/>
      <c r="F84" s="197"/>
      <c r="G84" s="30">
        <f t="shared" si="14"/>
        <v>0</v>
      </c>
      <c r="H84" s="32">
        <f t="shared" si="12"/>
        <v>0</v>
      </c>
      <c r="I84" s="194"/>
      <c r="J84" s="197"/>
      <c r="K84" s="33">
        <f t="shared" si="10"/>
        <v>0</v>
      </c>
      <c r="L84" s="204">
        <f t="shared" si="11"/>
        <v>45931</v>
      </c>
      <c r="M84" s="214"/>
      <c r="N84" s="197"/>
      <c r="O84" s="197"/>
      <c r="P84" s="194"/>
      <c r="Q84" s="30">
        <f t="shared" si="15"/>
        <v>0</v>
      </c>
      <c r="R84" s="31">
        <f t="shared" si="16"/>
        <v>0</v>
      </c>
    </row>
    <row r="85" spans="1:18" x14ac:dyDescent="0.2">
      <c r="A85" s="149">
        <f t="shared" si="13"/>
        <v>45962</v>
      </c>
      <c r="B85" s="204">
        <f t="shared" si="17"/>
        <v>45962</v>
      </c>
      <c r="C85" s="194"/>
      <c r="D85" s="197"/>
      <c r="E85" s="194"/>
      <c r="F85" s="197"/>
      <c r="G85" s="30">
        <f t="shared" si="14"/>
        <v>0</v>
      </c>
      <c r="H85" s="32">
        <f t="shared" si="12"/>
        <v>0</v>
      </c>
      <c r="I85" s="194"/>
      <c r="J85" s="197"/>
      <c r="K85" s="33">
        <f t="shared" si="10"/>
        <v>0</v>
      </c>
      <c r="L85" s="204">
        <f t="shared" si="11"/>
        <v>45962</v>
      </c>
      <c r="M85" s="214"/>
      <c r="N85" s="197"/>
      <c r="O85" s="197"/>
      <c r="P85" s="194"/>
      <c r="Q85" s="30">
        <f t="shared" si="15"/>
        <v>0</v>
      </c>
      <c r="R85" s="31">
        <f t="shared" si="16"/>
        <v>0</v>
      </c>
    </row>
    <row r="86" spans="1:18" x14ac:dyDescent="0.2">
      <c r="A86" s="149">
        <f t="shared" si="13"/>
        <v>45992</v>
      </c>
      <c r="B86" s="204">
        <f t="shared" si="17"/>
        <v>45992</v>
      </c>
      <c r="C86" s="194"/>
      <c r="D86" s="197"/>
      <c r="E86" s="194"/>
      <c r="F86" s="197"/>
      <c r="G86" s="30">
        <f t="shared" si="14"/>
        <v>0</v>
      </c>
      <c r="H86" s="32">
        <f t="shared" si="12"/>
        <v>0</v>
      </c>
      <c r="I86" s="194"/>
      <c r="J86" s="197"/>
      <c r="K86" s="33">
        <f t="shared" si="10"/>
        <v>0</v>
      </c>
      <c r="L86" s="204">
        <f t="shared" si="11"/>
        <v>45992</v>
      </c>
      <c r="M86" s="214"/>
      <c r="N86" s="197"/>
      <c r="O86" s="197"/>
      <c r="P86" s="194"/>
      <c r="Q86" s="30">
        <f t="shared" si="15"/>
        <v>0</v>
      </c>
      <c r="R86" s="31">
        <f t="shared" si="16"/>
        <v>0</v>
      </c>
    </row>
    <row r="87" spans="1:18" x14ac:dyDescent="0.2">
      <c r="A87" s="149">
        <f t="shared" si="13"/>
        <v>46023</v>
      </c>
      <c r="B87" s="204">
        <f t="shared" ref="B87:B132" si="18">EDATE(B86,1)</f>
        <v>46023</v>
      </c>
      <c r="C87" s="195"/>
      <c r="D87" s="198"/>
      <c r="E87" s="195"/>
      <c r="F87" s="198"/>
      <c r="G87" s="30">
        <f t="shared" si="14"/>
        <v>0</v>
      </c>
      <c r="H87" s="32">
        <f t="shared" si="12"/>
        <v>0</v>
      </c>
      <c r="I87" s="195"/>
      <c r="J87" s="198"/>
      <c r="K87" s="33">
        <f t="shared" si="10"/>
        <v>0</v>
      </c>
      <c r="L87" s="204">
        <f t="shared" si="11"/>
        <v>46023</v>
      </c>
      <c r="M87" s="214"/>
      <c r="N87" s="197"/>
      <c r="O87" s="197"/>
      <c r="P87" s="194"/>
      <c r="Q87" s="30">
        <f t="shared" si="15"/>
        <v>0</v>
      </c>
      <c r="R87" s="31">
        <f t="shared" si="16"/>
        <v>0</v>
      </c>
    </row>
    <row r="88" spans="1:18" x14ac:dyDescent="0.2">
      <c r="A88" s="149">
        <f t="shared" si="13"/>
        <v>46054</v>
      </c>
      <c r="B88" s="204">
        <f t="shared" si="18"/>
        <v>46054</v>
      </c>
      <c r="C88" s="195"/>
      <c r="D88" s="198"/>
      <c r="E88" s="195"/>
      <c r="F88" s="198"/>
      <c r="G88" s="30">
        <f t="shared" si="14"/>
        <v>0</v>
      </c>
      <c r="H88" s="32">
        <f t="shared" si="12"/>
        <v>0</v>
      </c>
      <c r="I88" s="195"/>
      <c r="J88" s="198"/>
      <c r="K88" s="33">
        <f t="shared" si="10"/>
        <v>0</v>
      </c>
      <c r="L88" s="204">
        <f t="shared" si="11"/>
        <v>46054</v>
      </c>
      <c r="M88" s="214"/>
      <c r="N88" s="197"/>
      <c r="O88" s="197"/>
      <c r="P88" s="194"/>
      <c r="Q88" s="30">
        <f t="shared" si="15"/>
        <v>0</v>
      </c>
      <c r="R88" s="31">
        <f t="shared" si="16"/>
        <v>0</v>
      </c>
    </row>
    <row r="89" spans="1:18" x14ac:dyDescent="0.2">
      <c r="A89" s="149">
        <f t="shared" si="13"/>
        <v>46082</v>
      </c>
      <c r="B89" s="204">
        <f t="shared" si="18"/>
        <v>46082</v>
      </c>
      <c r="C89" s="195"/>
      <c r="D89" s="198"/>
      <c r="E89" s="195"/>
      <c r="F89" s="198"/>
      <c r="G89" s="30">
        <f t="shared" si="14"/>
        <v>0</v>
      </c>
      <c r="H89" s="32">
        <f t="shared" si="12"/>
        <v>0</v>
      </c>
      <c r="I89" s="195"/>
      <c r="J89" s="198"/>
      <c r="K89" s="33">
        <f t="shared" si="10"/>
        <v>0</v>
      </c>
      <c r="L89" s="204">
        <f t="shared" si="11"/>
        <v>46082</v>
      </c>
      <c r="M89" s="214"/>
      <c r="N89" s="197"/>
      <c r="O89" s="197"/>
      <c r="P89" s="194"/>
      <c r="Q89" s="30">
        <f t="shared" si="15"/>
        <v>0</v>
      </c>
      <c r="R89" s="31">
        <f t="shared" si="16"/>
        <v>0</v>
      </c>
    </row>
    <row r="90" spans="1:18" x14ac:dyDescent="0.2">
      <c r="A90" s="149">
        <f t="shared" si="13"/>
        <v>46113</v>
      </c>
      <c r="B90" s="204">
        <f t="shared" si="18"/>
        <v>46113</v>
      </c>
      <c r="C90" s="195"/>
      <c r="D90" s="198"/>
      <c r="E90" s="195"/>
      <c r="F90" s="198"/>
      <c r="G90" s="30">
        <f t="shared" si="14"/>
        <v>0</v>
      </c>
      <c r="H90" s="32">
        <f t="shared" si="12"/>
        <v>0</v>
      </c>
      <c r="I90" s="195"/>
      <c r="J90" s="198"/>
      <c r="K90" s="33">
        <f t="shared" si="10"/>
        <v>0</v>
      </c>
      <c r="L90" s="204">
        <f t="shared" si="11"/>
        <v>46113</v>
      </c>
      <c r="M90" s="214"/>
      <c r="N90" s="197"/>
      <c r="O90" s="197"/>
      <c r="P90" s="194"/>
      <c r="Q90" s="30">
        <f t="shared" si="15"/>
        <v>0</v>
      </c>
      <c r="R90" s="31">
        <f t="shared" si="16"/>
        <v>0</v>
      </c>
    </row>
    <row r="91" spans="1:18" x14ac:dyDescent="0.2">
      <c r="A91" s="149">
        <f t="shared" si="13"/>
        <v>46143</v>
      </c>
      <c r="B91" s="204">
        <f t="shared" si="18"/>
        <v>46143</v>
      </c>
      <c r="C91" s="195"/>
      <c r="D91" s="198"/>
      <c r="E91" s="195"/>
      <c r="F91" s="198"/>
      <c r="G91" s="30">
        <f t="shared" si="14"/>
        <v>0</v>
      </c>
      <c r="H91" s="32">
        <f t="shared" si="12"/>
        <v>0</v>
      </c>
      <c r="I91" s="195"/>
      <c r="J91" s="198"/>
      <c r="K91" s="33">
        <f t="shared" si="10"/>
        <v>0</v>
      </c>
      <c r="L91" s="204">
        <f t="shared" si="11"/>
        <v>46143</v>
      </c>
      <c r="M91" s="214"/>
      <c r="N91" s="197"/>
      <c r="O91" s="197"/>
      <c r="P91" s="194"/>
      <c r="Q91" s="30">
        <f t="shared" si="15"/>
        <v>0</v>
      </c>
      <c r="R91" s="31">
        <f t="shared" si="16"/>
        <v>0</v>
      </c>
    </row>
    <row r="92" spans="1:18" x14ac:dyDescent="0.2">
      <c r="A92" s="149">
        <f t="shared" si="13"/>
        <v>46174</v>
      </c>
      <c r="B92" s="204">
        <f t="shared" si="18"/>
        <v>46174</v>
      </c>
      <c r="C92" s="195"/>
      <c r="D92" s="198"/>
      <c r="E92" s="195"/>
      <c r="F92" s="198"/>
      <c r="G92" s="30">
        <f t="shared" si="14"/>
        <v>0</v>
      </c>
      <c r="H92" s="32">
        <f t="shared" si="12"/>
        <v>0</v>
      </c>
      <c r="I92" s="195"/>
      <c r="J92" s="198"/>
      <c r="K92" s="33">
        <f t="shared" si="10"/>
        <v>0</v>
      </c>
      <c r="L92" s="204">
        <f t="shared" si="11"/>
        <v>46174</v>
      </c>
      <c r="M92" s="214"/>
      <c r="N92" s="197"/>
      <c r="O92" s="197"/>
      <c r="P92" s="194"/>
      <c r="Q92" s="30">
        <f t="shared" si="15"/>
        <v>0</v>
      </c>
      <c r="R92" s="31">
        <f t="shared" si="16"/>
        <v>0</v>
      </c>
    </row>
    <row r="93" spans="1:18" x14ac:dyDescent="0.2">
      <c r="A93" s="149">
        <f t="shared" si="13"/>
        <v>46204</v>
      </c>
      <c r="B93" s="204">
        <f t="shared" si="18"/>
        <v>46204</v>
      </c>
      <c r="C93" s="195"/>
      <c r="D93" s="198"/>
      <c r="E93" s="195"/>
      <c r="F93" s="198"/>
      <c r="G93" s="30">
        <f t="shared" si="14"/>
        <v>0</v>
      </c>
      <c r="H93" s="32">
        <f t="shared" si="12"/>
        <v>0</v>
      </c>
      <c r="I93" s="195"/>
      <c r="J93" s="198"/>
      <c r="K93" s="33">
        <f t="shared" si="10"/>
        <v>0</v>
      </c>
      <c r="L93" s="204">
        <f t="shared" si="11"/>
        <v>46204</v>
      </c>
      <c r="M93" s="214"/>
      <c r="N93" s="197"/>
      <c r="O93" s="197"/>
      <c r="P93" s="194"/>
      <c r="Q93" s="30">
        <f t="shared" si="15"/>
        <v>0</v>
      </c>
      <c r="R93" s="31">
        <f t="shared" si="16"/>
        <v>0</v>
      </c>
    </row>
    <row r="94" spans="1:18" x14ac:dyDescent="0.2">
      <c r="A94" s="149">
        <f t="shared" si="13"/>
        <v>46235</v>
      </c>
      <c r="B94" s="204">
        <f t="shared" si="18"/>
        <v>46235</v>
      </c>
      <c r="C94" s="195"/>
      <c r="D94" s="198"/>
      <c r="E94" s="195"/>
      <c r="F94" s="198"/>
      <c r="G94" s="30">
        <f t="shared" si="14"/>
        <v>0</v>
      </c>
      <c r="H94" s="32">
        <f t="shared" si="12"/>
        <v>0</v>
      </c>
      <c r="I94" s="195"/>
      <c r="J94" s="198"/>
      <c r="K94" s="33">
        <f t="shared" si="10"/>
        <v>0</v>
      </c>
      <c r="L94" s="204">
        <f t="shared" si="11"/>
        <v>46235</v>
      </c>
      <c r="M94" s="214"/>
      <c r="N94" s="197"/>
      <c r="O94" s="197"/>
      <c r="P94" s="194"/>
      <c r="Q94" s="30">
        <f t="shared" si="15"/>
        <v>0</v>
      </c>
      <c r="R94" s="31">
        <f t="shared" si="16"/>
        <v>0</v>
      </c>
    </row>
    <row r="95" spans="1:18" x14ac:dyDescent="0.2">
      <c r="A95" s="149">
        <f t="shared" si="13"/>
        <v>46266</v>
      </c>
      <c r="B95" s="204">
        <f t="shared" si="18"/>
        <v>46266</v>
      </c>
      <c r="C95" s="195"/>
      <c r="D95" s="198"/>
      <c r="E95" s="195"/>
      <c r="F95" s="198"/>
      <c r="G95" s="30">
        <f t="shared" si="14"/>
        <v>0</v>
      </c>
      <c r="H95" s="32">
        <f t="shared" si="12"/>
        <v>0</v>
      </c>
      <c r="I95" s="195"/>
      <c r="J95" s="198"/>
      <c r="K95" s="33">
        <f t="shared" si="10"/>
        <v>0</v>
      </c>
      <c r="L95" s="204">
        <f t="shared" si="11"/>
        <v>46266</v>
      </c>
      <c r="M95" s="214"/>
      <c r="N95" s="197"/>
      <c r="O95" s="197"/>
      <c r="P95" s="194"/>
      <c r="Q95" s="30">
        <f t="shared" si="15"/>
        <v>0</v>
      </c>
      <c r="R95" s="31">
        <f t="shared" si="16"/>
        <v>0</v>
      </c>
    </row>
    <row r="96" spans="1:18" x14ac:dyDescent="0.2">
      <c r="A96" s="149">
        <f t="shared" si="13"/>
        <v>46296</v>
      </c>
      <c r="B96" s="204">
        <f t="shared" si="18"/>
        <v>46296</v>
      </c>
      <c r="C96" s="195"/>
      <c r="D96" s="198"/>
      <c r="E96" s="195"/>
      <c r="F96" s="198"/>
      <c r="G96" s="30">
        <f t="shared" si="14"/>
        <v>0</v>
      </c>
      <c r="H96" s="32">
        <f t="shared" si="12"/>
        <v>0</v>
      </c>
      <c r="I96" s="195"/>
      <c r="J96" s="198"/>
      <c r="K96" s="33">
        <f t="shared" si="10"/>
        <v>0</v>
      </c>
      <c r="L96" s="204">
        <f t="shared" si="11"/>
        <v>46296</v>
      </c>
      <c r="M96" s="214"/>
      <c r="N96" s="197"/>
      <c r="O96" s="197"/>
      <c r="P96" s="194"/>
      <c r="Q96" s="30">
        <f t="shared" si="15"/>
        <v>0</v>
      </c>
      <c r="R96" s="31">
        <f t="shared" si="16"/>
        <v>0</v>
      </c>
    </row>
    <row r="97" spans="1:18" x14ac:dyDescent="0.2">
      <c r="A97" s="149">
        <f t="shared" si="13"/>
        <v>46327</v>
      </c>
      <c r="B97" s="204">
        <f t="shared" si="18"/>
        <v>46327</v>
      </c>
      <c r="C97" s="195"/>
      <c r="D97" s="198"/>
      <c r="E97" s="195"/>
      <c r="F97" s="198"/>
      <c r="G97" s="30">
        <f t="shared" si="14"/>
        <v>0</v>
      </c>
      <c r="H97" s="32">
        <f t="shared" si="12"/>
        <v>0</v>
      </c>
      <c r="I97" s="195"/>
      <c r="J97" s="198"/>
      <c r="K97" s="33">
        <f t="shared" si="10"/>
        <v>0</v>
      </c>
      <c r="L97" s="204">
        <f t="shared" si="11"/>
        <v>46327</v>
      </c>
      <c r="M97" s="214"/>
      <c r="N97" s="197"/>
      <c r="O97" s="197"/>
      <c r="P97" s="194"/>
      <c r="Q97" s="30">
        <f t="shared" si="15"/>
        <v>0</v>
      </c>
      <c r="R97" s="31">
        <f t="shared" si="16"/>
        <v>0</v>
      </c>
    </row>
    <row r="98" spans="1:18" x14ac:dyDescent="0.2">
      <c r="A98" s="149">
        <f t="shared" si="13"/>
        <v>46357</v>
      </c>
      <c r="B98" s="204">
        <f t="shared" si="18"/>
        <v>46357</v>
      </c>
      <c r="C98" s="195"/>
      <c r="D98" s="198"/>
      <c r="E98" s="195"/>
      <c r="F98" s="198"/>
      <c r="G98" s="30">
        <f t="shared" si="14"/>
        <v>0</v>
      </c>
      <c r="H98" s="32">
        <f t="shared" si="12"/>
        <v>0</v>
      </c>
      <c r="I98" s="195"/>
      <c r="J98" s="198"/>
      <c r="K98" s="33">
        <f t="shared" si="10"/>
        <v>0</v>
      </c>
      <c r="L98" s="204">
        <f t="shared" si="11"/>
        <v>46357</v>
      </c>
      <c r="M98" s="214"/>
      <c r="N98" s="197"/>
      <c r="O98" s="197"/>
      <c r="P98" s="194"/>
      <c r="Q98" s="30">
        <f t="shared" si="15"/>
        <v>0</v>
      </c>
      <c r="R98" s="31">
        <f t="shared" si="16"/>
        <v>0</v>
      </c>
    </row>
    <row r="99" spans="1:18" x14ac:dyDescent="0.2">
      <c r="A99" s="149">
        <f t="shared" si="13"/>
        <v>46388</v>
      </c>
      <c r="B99" s="204">
        <f t="shared" si="18"/>
        <v>46388</v>
      </c>
      <c r="C99" s="195"/>
      <c r="D99" s="198"/>
      <c r="E99" s="195"/>
      <c r="F99" s="198"/>
      <c r="G99" s="30">
        <f t="shared" si="14"/>
        <v>0</v>
      </c>
      <c r="H99" s="32">
        <f t="shared" si="12"/>
        <v>0</v>
      </c>
      <c r="I99" s="195"/>
      <c r="J99" s="198"/>
      <c r="K99" s="33">
        <f t="shared" si="10"/>
        <v>0</v>
      </c>
      <c r="L99" s="204">
        <f t="shared" si="11"/>
        <v>46388</v>
      </c>
      <c r="M99" s="214"/>
      <c r="N99" s="197"/>
      <c r="O99" s="197"/>
      <c r="P99" s="194"/>
      <c r="Q99" s="30">
        <f t="shared" si="15"/>
        <v>0</v>
      </c>
      <c r="R99" s="31">
        <f t="shared" si="16"/>
        <v>0</v>
      </c>
    </row>
    <row r="100" spans="1:18" x14ac:dyDescent="0.2">
      <c r="A100" s="149">
        <f t="shared" si="13"/>
        <v>46419</v>
      </c>
      <c r="B100" s="204">
        <f t="shared" si="18"/>
        <v>46419</v>
      </c>
      <c r="C100" s="195"/>
      <c r="D100" s="198"/>
      <c r="E100" s="195"/>
      <c r="F100" s="198"/>
      <c r="G100" s="30">
        <f t="shared" si="14"/>
        <v>0</v>
      </c>
      <c r="H100" s="32">
        <f t="shared" si="12"/>
        <v>0</v>
      </c>
      <c r="I100" s="195"/>
      <c r="J100" s="198"/>
      <c r="K100" s="33">
        <f t="shared" si="10"/>
        <v>0</v>
      </c>
      <c r="L100" s="204">
        <f t="shared" si="11"/>
        <v>46419</v>
      </c>
      <c r="M100" s="214"/>
      <c r="N100" s="197"/>
      <c r="O100" s="197"/>
      <c r="P100" s="194"/>
      <c r="Q100" s="30">
        <f t="shared" si="15"/>
        <v>0</v>
      </c>
      <c r="R100" s="31">
        <f t="shared" si="16"/>
        <v>0</v>
      </c>
    </row>
    <row r="101" spans="1:18" x14ac:dyDescent="0.2">
      <c r="A101" s="149">
        <f t="shared" si="13"/>
        <v>46447</v>
      </c>
      <c r="B101" s="204">
        <f t="shared" si="18"/>
        <v>46447</v>
      </c>
      <c r="C101" s="195"/>
      <c r="D101" s="198"/>
      <c r="E101" s="195"/>
      <c r="F101" s="198"/>
      <c r="G101" s="30">
        <f t="shared" si="14"/>
        <v>0</v>
      </c>
      <c r="H101" s="32">
        <f t="shared" si="12"/>
        <v>0</v>
      </c>
      <c r="I101" s="195"/>
      <c r="J101" s="198"/>
      <c r="K101" s="33">
        <f t="shared" si="10"/>
        <v>0</v>
      </c>
      <c r="L101" s="204">
        <f t="shared" si="11"/>
        <v>46447</v>
      </c>
      <c r="M101" s="214"/>
      <c r="N101" s="197"/>
      <c r="O101" s="197"/>
      <c r="P101" s="194"/>
      <c r="Q101" s="30">
        <f t="shared" si="15"/>
        <v>0</v>
      </c>
      <c r="R101" s="31">
        <f t="shared" si="16"/>
        <v>0</v>
      </c>
    </row>
    <row r="102" spans="1:18" x14ac:dyDescent="0.2">
      <c r="A102" s="149">
        <f t="shared" si="13"/>
        <v>46478</v>
      </c>
      <c r="B102" s="204">
        <f t="shared" si="18"/>
        <v>46478</v>
      </c>
      <c r="C102" s="195"/>
      <c r="D102" s="198"/>
      <c r="E102" s="195"/>
      <c r="F102" s="198"/>
      <c r="G102" s="30">
        <f t="shared" si="14"/>
        <v>0</v>
      </c>
      <c r="H102" s="32">
        <f t="shared" si="12"/>
        <v>0</v>
      </c>
      <c r="I102" s="195"/>
      <c r="J102" s="198"/>
      <c r="K102" s="33">
        <f t="shared" si="10"/>
        <v>0</v>
      </c>
      <c r="L102" s="204">
        <f t="shared" si="11"/>
        <v>46478</v>
      </c>
      <c r="M102" s="214"/>
      <c r="N102" s="197"/>
      <c r="O102" s="197"/>
      <c r="P102" s="194"/>
      <c r="Q102" s="30">
        <f t="shared" si="15"/>
        <v>0</v>
      </c>
      <c r="R102" s="31">
        <f t="shared" si="16"/>
        <v>0</v>
      </c>
    </row>
    <row r="103" spans="1:18" x14ac:dyDescent="0.2">
      <c r="A103" s="149">
        <f t="shared" si="13"/>
        <v>46508</v>
      </c>
      <c r="B103" s="204">
        <f t="shared" si="18"/>
        <v>46508</v>
      </c>
      <c r="C103" s="195"/>
      <c r="D103" s="198"/>
      <c r="E103" s="195"/>
      <c r="F103" s="198"/>
      <c r="G103" s="30">
        <f t="shared" si="14"/>
        <v>0</v>
      </c>
      <c r="H103" s="32">
        <f t="shared" si="12"/>
        <v>0</v>
      </c>
      <c r="I103" s="195"/>
      <c r="J103" s="198"/>
      <c r="K103" s="33">
        <f t="shared" si="10"/>
        <v>0</v>
      </c>
      <c r="L103" s="204">
        <f t="shared" si="11"/>
        <v>46508</v>
      </c>
      <c r="M103" s="214"/>
      <c r="N103" s="197"/>
      <c r="O103" s="197"/>
      <c r="P103" s="194"/>
      <c r="Q103" s="30">
        <f t="shared" si="15"/>
        <v>0</v>
      </c>
      <c r="R103" s="31">
        <f t="shared" si="16"/>
        <v>0</v>
      </c>
    </row>
    <row r="104" spans="1:18" x14ac:dyDescent="0.2">
      <c r="A104" s="149">
        <f t="shared" si="13"/>
        <v>46539</v>
      </c>
      <c r="B104" s="204">
        <f t="shared" si="18"/>
        <v>46539</v>
      </c>
      <c r="C104" s="195"/>
      <c r="D104" s="198"/>
      <c r="E104" s="195"/>
      <c r="F104" s="198"/>
      <c r="G104" s="30">
        <f t="shared" si="14"/>
        <v>0</v>
      </c>
      <c r="H104" s="32">
        <f t="shared" si="12"/>
        <v>0</v>
      </c>
      <c r="I104" s="195"/>
      <c r="J104" s="198"/>
      <c r="K104" s="33">
        <f t="shared" si="10"/>
        <v>0</v>
      </c>
      <c r="L104" s="204">
        <f t="shared" si="11"/>
        <v>46539</v>
      </c>
      <c r="M104" s="214"/>
      <c r="N104" s="197"/>
      <c r="O104" s="197"/>
      <c r="P104" s="194"/>
      <c r="Q104" s="30">
        <f t="shared" si="15"/>
        <v>0</v>
      </c>
      <c r="R104" s="31">
        <f t="shared" si="16"/>
        <v>0</v>
      </c>
    </row>
    <row r="105" spans="1:18" x14ac:dyDescent="0.2">
      <c r="A105" s="149">
        <f t="shared" si="13"/>
        <v>46569</v>
      </c>
      <c r="B105" s="204">
        <f t="shared" si="18"/>
        <v>46569</v>
      </c>
      <c r="C105" s="195"/>
      <c r="D105" s="198"/>
      <c r="E105" s="195"/>
      <c r="F105" s="198"/>
      <c r="G105" s="30">
        <f t="shared" si="14"/>
        <v>0</v>
      </c>
      <c r="H105" s="32">
        <f t="shared" si="12"/>
        <v>0</v>
      </c>
      <c r="I105" s="195"/>
      <c r="J105" s="198"/>
      <c r="K105" s="33">
        <f t="shared" si="10"/>
        <v>0</v>
      </c>
      <c r="L105" s="204">
        <f t="shared" si="11"/>
        <v>46569</v>
      </c>
      <c r="M105" s="214"/>
      <c r="N105" s="197"/>
      <c r="O105" s="197"/>
      <c r="P105" s="194"/>
      <c r="Q105" s="30">
        <f t="shared" si="15"/>
        <v>0</v>
      </c>
      <c r="R105" s="31">
        <f t="shared" si="16"/>
        <v>0</v>
      </c>
    </row>
    <row r="106" spans="1:18" x14ac:dyDescent="0.2">
      <c r="A106" s="149">
        <f t="shared" si="13"/>
        <v>46600</v>
      </c>
      <c r="B106" s="204">
        <f t="shared" si="18"/>
        <v>46600</v>
      </c>
      <c r="C106" s="195"/>
      <c r="D106" s="198"/>
      <c r="E106" s="195"/>
      <c r="F106" s="198"/>
      <c r="G106" s="30">
        <f t="shared" si="14"/>
        <v>0</v>
      </c>
      <c r="H106" s="32">
        <f t="shared" si="12"/>
        <v>0</v>
      </c>
      <c r="I106" s="195"/>
      <c r="J106" s="198"/>
      <c r="K106" s="33">
        <f t="shared" si="10"/>
        <v>0</v>
      </c>
      <c r="L106" s="204">
        <f t="shared" si="11"/>
        <v>46600</v>
      </c>
      <c r="M106" s="214"/>
      <c r="N106" s="197"/>
      <c r="O106" s="197"/>
      <c r="P106" s="194"/>
      <c r="Q106" s="30">
        <f t="shared" si="15"/>
        <v>0</v>
      </c>
      <c r="R106" s="31">
        <f t="shared" si="16"/>
        <v>0</v>
      </c>
    </row>
    <row r="107" spans="1:18" x14ac:dyDescent="0.2">
      <c r="A107" s="149">
        <f t="shared" si="13"/>
        <v>46631</v>
      </c>
      <c r="B107" s="204">
        <f t="shared" si="18"/>
        <v>46631</v>
      </c>
      <c r="C107" s="195"/>
      <c r="D107" s="198"/>
      <c r="E107" s="195"/>
      <c r="F107" s="198"/>
      <c r="G107" s="30">
        <f t="shared" si="14"/>
        <v>0</v>
      </c>
      <c r="H107" s="32">
        <f t="shared" si="12"/>
        <v>0</v>
      </c>
      <c r="I107" s="195"/>
      <c r="J107" s="198"/>
      <c r="K107" s="33">
        <f t="shared" si="10"/>
        <v>0</v>
      </c>
      <c r="L107" s="204">
        <f t="shared" si="11"/>
        <v>46631</v>
      </c>
      <c r="M107" s="214"/>
      <c r="N107" s="197"/>
      <c r="O107" s="197"/>
      <c r="P107" s="194"/>
      <c r="Q107" s="30">
        <f t="shared" si="15"/>
        <v>0</v>
      </c>
      <c r="R107" s="31">
        <f t="shared" si="16"/>
        <v>0</v>
      </c>
    </row>
    <row r="108" spans="1:18" x14ac:dyDescent="0.2">
      <c r="A108" s="149">
        <f t="shared" si="13"/>
        <v>46661</v>
      </c>
      <c r="B108" s="204">
        <f t="shared" si="18"/>
        <v>46661</v>
      </c>
      <c r="C108" s="195"/>
      <c r="D108" s="198"/>
      <c r="E108" s="195"/>
      <c r="F108" s="198"/>
      <c r="G108" s="30">
        <f t="shared" si="14"/>
        <v>0</v>
      </c>
      <c r="H108" s="32">
        <f t="shared" si="12"/>
        <v>0</v>
      </c>
      <c r="I108" s="195"/>
      <c r="J108" s="198"/>
      <c r="K108" s="33">
        <f t="shared" si="10"/>
        <v>0</v>
      </c>
      <c r="L108" s="204">
        <f t="shared" si="11"/>
        <v>46661</v>
      </c>
      <c r="M108" s="214"/>
      <c r="N108" s="197"/>
      <c r="O108" s="197"/>
      <c r="P108" s="194"/>
      <c r="Q108" s="30">
        <f t="shared" si="15"/>
        <v>0</v>
      </c>
      <c r="R108" s="31">
        <f t="shared" si="16"/>
        <v>0</v>
      </c>
    </row>
    <row r="109" spans="1:18" x14ac:dyDescent="0.2">
      <c r="A109" s="149">
        <f t="shared" si="13"/>
        <v>46692</v>
      </c>
      <c r="B109" s="204">
        <f t="shared" si="18"/>
        <v>46692</v>
      </c>
      <c r="C109" s="195"/>
      <c r="D109" s="198"/>
      <c r="E109" s="195"/>
      <c r="F109" s="198"/>
      <c r="G109" s="30">
        <f t="shared" si="14"/>
        <v>0</v>
      </c>
      <c r="H109" s="32">
        <f t="shared" si="12"/>
        <v>0</v>
      </c>
      <c r="I109" s="195"/>
      <c r="J109" s="198"/>
      <c r="K109" s="33">
        <f t="shared" si="10"/>
        <v>0</v>
      </c>
      <c r="L109" s="204">
        <f t="shared" si="11"/>
        <v>46692</v>
      </c>
      <c r="M109" s="214"/>
      <c r="N109" s="197"/>
      <c r="O109" s="197"/>
      <c r="P109" s="194"/>
      <c r="Q109" s="30">
        <f t="shared" si="15"/>
        <v>0</v>
      </c>
      <c r="R109" s="31">
        <f t="shared" si="16"/>
        <v>0</v>
      </c>
    </row>
    <row r="110" spans="1:18" x14ac:dyDescent="0.2">
      <c r="A110" s="149">
        <f t="shared" si="13"/>
        <v>46722</v>
      </c>
      <c r="B110" s="204">
        <f t="shared" si="18"/>
        <v>46722</v>
      </c>
      <c r="C110" s="195"/>
      <c r="D110" s="198"/>
      <c r="E110" s="195"/>
      <c r="F110" s="198"/>
      <c r="G110" s="30">
        <f t="shared" si="14"/>
        <v>0</v>
      </c>
      <c r="H110" s="32">
        <f t="shared" si="12"/>
        <v>0</v>
      </c>
      <c r="I110" s="195"/>
      <c r="J110" s="198"/>
      <c r="K110" s="33">
        <f t="shared" si="10"/>
        <v>0</v>
      </c>
      <c r="L110" s="204">
        <f t="shared" si="11"/>
        <v>46722</v>
      </c>
      <c r="M110" s="214"/>
      <c r="N110" s="197"/>
      <c r="O110" s="197"/>
      <c r="P110" s="194"/>
      <c r="Q110" s="30">
        <f t="shared" si="15"/>
        <v>0</v>
      </c>
      <c r="R110" s="31">
        <f t="shared" si="16"/>
        <v>0</v>
      </c>
    </row>
    <row r="111" spans="1:18" x14ac:dyDescent="0.2">
      <c r="A111" s="149">
        <f t="shared" si="13"/>
        <v>46753</v>
      </c>
      <c r="B111" s="204">
        <f t="shared" si="18"/>
        <v>46753</v>
      </c>
      <c r="C111" s="195"/>
      <c r="D111" s="198"/>
      <c r="E111" s="195"/>
      <c r="F111" s="198"/>
      <c r="G111" s="30">
        <f t="shared" si="14"/>
        <v>0</v>
      </c>
      <c r="H111" s="32">
        <f t="shared" si="12"/>
        <v>0</v>
      </c>
      <c r="I111" s="195"/>
      <c r="J111" s="198"/>
      <c r="K111" s="33">
        <f t="shared" si="10"/>
        <v>0</v>
      </c>
      <c r="L111" s="204">
        <f t="shared" si="11"/>
        <v>46753</v>
      </c>
      <c r="M111" s="214"/>
      <c r="N111" s="197"/>
      <c r="O111" s="197"/>
      <c r="P111" s="194"/>
      <c r="Q111" s="30">
        <f t="shared" si="15"/>
        <v>0</v>
      </c>
      <c r="R111" s="31">
        <f t="shared" si="16"/>
        <v>0</v>
      </c>
    </row>
    <row r="112" spans="1:18" x14ac:dyDescent="0.2">
      <c r="A112" s="149">
        <f t="shared" si="13"/>
        <v>46784</v>
      </c>
      <c r="B112" s="204">
        <f t="shared" si="18"/>
        <v>46784</v>
      </c>
      <c r="C112" s="195"/>
      <c r="D112" s="198"/>
      <c r="E112" s="195"/>
      <c r="F112" s="198"/>
      <c r="G112" s="30">
        <f t="shared" si="14"/>
        <v>0</v>
      </c>
      <c r="H112" s="32">
        <f t="shared" si="12"/>
        <v>0</v>
      </c>
      <c r="I112" s="195"/>
      <c r="J112" s="198"/>
      <c r="K112" s="33">
        <f t="shared" si="10"/>
        <v>0</v>
      </c>
      <c r="L112" s="204">
        <f t="shared" si="11"/>
        <v>46784</v>
      </c>
      <c r="M112" s="214"/>
      <c r="N112" s="197"/>
      <c r="O112" s="197"/>
      <c r="P112" s="194"/>
      <c r="Q112" s="30">
        <f t="shared" si="15"/>
        <v>0</v>
      </c>
      <c r="R112" s="31">
        <f t="shared" si="16"/>
        <v>0</v>
      </c>
    </row>
    <row r="113" spans="1:18" x14ac:dyDescent="0.2">
      <c r="A113" s="149">
        <f t="shared" si="13"/>
        <v>46813</v>
      </c>
      <c r="B113" s="204">
        <f t="shared" si="18"/>
        <v>46813</v>
      </c>
      <c r="C113" s="195"/>
      <c r="D113" s="198"/>
      <c r="E113" s="195"/>
      <c r="F113" s="198"/>
      <c r="G113" s="30">
        <f t="shared" si="14"/>
        <v>0</v>
      </c>
      <c r="H113" s="32">
        <f t="shared" si="12"/>
        <v>0</v>
      </c>
      <c r="I113" s="195"/>
      <c r="J113" s="198"/>
      <c r="K113" s="33">
        <f t="shared" si="10"/>
        <v>0</v>
      </c>
      <c r="L113" s="204">
        <f t="shared" si="11"/>
        <v>46813</v>
      </c>
      <c r="M113" s="214"/>
      <c r="N113" s="197"/>
      <c r="O113" s="197"/>
      <c r="P113" s="194"/>
      <c r="Q113" s="30">
        <f t="shared" si="15"/>
        <v>0</v>
      </c>
      <c r="R113" s="31">
        <f t="shared" si="16"/>
        <v>0</v>
      </c>
    </row>
    <row r="114" spans="1:18" x14ac:dyDescent="0.2">
      <c r="A114" s="149">
        <f t="shared" si="13"/>
        <v>46844</v>
      </c>
      <c r="B114" s="204">
        <f t="shared" si="18"/>
        <v>46844</v>
      </c>
      <c r="C114" s="195"/>
      <c r="D114" s="198"/>
      <c r="E114" s="195"/>
      <c r="F114" s="198"/>
      <c r="G114" s="30">
        <f t="shared" si="14"/>
        <v>0</v>
      </c>
      <c r="H114" s="32">
        <f t="shared" si="12"/>
        <v>0</v>
      </c>
      <c r="I114" s="195"/>
      <c r="J114" s="198"/>
      <c r="K114" s="33">
        <f t="shared" si="10"/>
        <v>0</v>
      </c>
      <c r="L114" s="204">
        <f t="shared" si="11"/>
        <v>46844</v>
      </c>
      <c r="M114" s="214"/>
      <c r="N114" s="197"/>
      <c r="O114" s="197"/>
      <c r="P114" s="194"/>
      <c r="Q114" s="30">
        <f t="shared" si="15"/>
        <v>0</v>
      </c>
      <c r="R114" s="31">
        <f t="shared" si="16"/>
        <v>0</v>
      </c>
    </row>
    <row r="115" spans="1:18" x14ac:dyDescent="0.2">
      <c r="A115" s="149">
        <f t="shared" si="13"/>
        <v>46874</v>
      </c>
      <c r="B115" s="204">
        <f t="shared" si="18"/>
        <v>46874</v>
      </c>
      <c r="C115" s="195"/>
      <c r="D115" s="198"/>
      <c r="E115" s="195"/>
      <c r="F115" s="198"/>
      <c r="G115" s="30">
        <f t="shared" si="14"/>
        <v>0</v>
      </c>
      <c r="H115" s="32">
        <f t="shared" si="12"/>
        <v>0</v>
      </c>
      <c r="I115" s="195"/>
      <c r="J115" s="198"/>
      <c r="K115" s="33">
        <f t="shared" si="10"/>
        <v>0</v>
      </c>
      <c r="L115" s="204">
        <f t="shared" si="11"/>
        <v>46874</v>
      </c>
      <c r="M115" s="214"/>
      <c r="N115" s="197"/>
      <c r="O115" s="197"/>
      <c r="P115" s="194"/>
      <c r="Q115" s="30">
        <f t="shared" si="15"/>
        <v>0</v>
      </c>
      <c r="R115" s="31">
        <f t="shared" si="16"/>
        <v>0</v>
      </c>
    </row>
    <row r="116" spans="1:18" x14ac:dyDescent="0.2">
      <c r="A116" s="149">
        <f t="shared" si="13"/>
        <v>46905</v>
      </c>
      <c r="B116" s="204">
        <f t="shared" si="18"/>
        <v>46905</v>
      </c>
      <c r="C116" s="195"/>
      <c r="D116" s="198"/>
      <c r="E116" s="195"/>
      <c r="F116" s="198"/>
      <c r="G116" s="30">
        <f t="shared" si="14"/>
        <v>0</v>
      </c>
      <c r="H116" s="32">
        <f t="shared" si="12"/>
        <v>0</v>
      </c>
      <c r="I116" s="195"/>
      <c r="J116" s="198"/>
      <c r="K116" s="33">
        <f t="shared" si="10"/>
        <v>0</v>
      </c>
      <c r="L116" s="204">
        <f t="shared" si="11"/>
        <v>46905</v>
      </c>
      <c r="M116" s="214"/>
      <c r="N116" s="197"/>
      <c r="O116" s="197"/>
      <c r="P116" s="194"/>
      <c r="Q116" s="30">
        <f t="shared" si="15"/>
        <v>0</v>
      </c>
      <c r="R116" s="31">
        <f t="shared" si="16"/>
        <v>0</v>
      </c>
    </row>
    <row r="117" spans="1:18" x14ac:dyDescent="0.2">
      <c r="A117" s="149">
        <f t="shared" si="13"/>
        <v>46935</v>
      </c>
      <c r="B117" s="204">
        <f t="shared" si="18"/>
        <v>46935</v>
      </c>
      <c r="C117" s="195"/>
      <c r="D117" s="198"/>
      <c r="E117" s="195"/>
      <c r="F117" s="198"/>
      <c r="G117" s="30">
        <f t="shared" si="14"/>
        <v>0</v>
      </c>
      <c r="H117" s="32">
        <f t="shared" si="12"/>
        <v>0</v>
      </c>
      <c r="I117" s="195"/>
      <c r="J117" s="198"/>
      <c r="K117" s="33">
        <f t="shared" si="10"/>
        <v>0</v>
      </c>
      <c r="L117" s="204">
        <f t="shared" si="11"/>
        <v>46935</v>
      </c>
      <c r="M117" s="214"/>
      <c r="N117" s="197"/>
      <c r="O117" s="197"/>
      <c r="P117" s="194"/>
      <c r="Q117" s="30">
        <f t="shared" si="15"/>
        <v>0</v>
      </c>
      <c r="R117" s="31">
        <f t="shared" si="16"/>
        <v>0</v>
      </c>
    </row>
    <row r="118" spans="1:18" x14ac:dyDescent="0.2">
      <c r="A118" s="149">
        <f t="shared" si="13"/>
        <v>46966</v>
      </c>
      <c r="B118" s="204">
        <f t="shared" si="18"/>
        <v>46966</v>
      </c>
      <c r="C118" s="195"/>
      <c r="D118" s="198"/>
      <c r="E118" s="195"/>
      <c r="F118" s="198"/>
      <c r="G118" s="30">
        <f t="shared" si="14"/>
        <v>0</v>
      </c>
      <c r="H118" s="32">
        <f t="shared" si="12"/>
        <v>0</v>
      </c>
      <c r="I118" s="195"/>
      <c r="J118" s="198"/>
      <c r="K118" s="33">
        <f t="shared" si="10"/>
        <v>0</v>
      </c>
      <c r="L118" s="204">
        <f t="shared" si="11"/>
        <v>46966</v>
      </c>
      <c r="M118" s="214"/>
      <c r="N118" s="197"/>
      <c r="O118" s="197"/>
      <c r="P118" s="194"/>
      <c r="Q118" s="30">
        <f t="shared" si="15"/>
        <v>0</v>
      </c>
      <c r="R118" s="31">
        <f t="shared" si="16"/>
        <v>0</v>
      </c>
    </row>
    <row r="119" spans="1:18" x14ac:dyDescent="0.2">
      <c r="A119" s="149">
        <f t="shared" si="13"/>
        <v>46997</v>
      </c>
      <c r="B119" s="204">
        <f t="shared" si="18"/>
        <v>46997</v>
      </c>
      <c r="C119" s="195"/>
      <c r="D119" s="198"/>
      <c r="E119" s="195"/>
      <c r="F119" s="198"/>
      <c r="G119" s="30">
        <f t="shared" si="14"/>
        <v>0</v>
      </c>
      <c r="H119" s="32">
        <f t="shared" si="12"/>
        <v>0</v>
      </c>
      <c r="I119" s="195"/>
      <c r="J119" s="198"/>
      <c r="K119" s="33">
        <f t="shared" si="10"/>
        <v>0</v>
      </c>
      <c r="L119" s="204">
        <f t="shared" si="11"/>
        <v>46997</v>
      </c>
      <c r="M119" s="214"/>
      <c r="N119" s="197"/>
      <c r="O119" s="197"/>
      <c r="P119" s="194"/>
      <c r="Q119" s="30">
        <f t="shared" si="15"/>
        <v>0</v>
      </c>
      <c r="R119" s="31">
        <f t="shared" si="16"/>
        <v>0</v>
      </c>
    </row>
    <row r="120" spans="1:18" x14ac:dyDescent="0.2">
      <c r="A120" s="149">
        <f t="shared" si="13"/>
        <v>47027</v>
      </c>
      <c r="B120" s="204">
        <f t="shared" si="18"/>
        <v>47027</v>
      </c>
      <c r="C120" s="195"/>
      <c r="D120" s="198"/>
      <c r="E120" s="195"/>
      <c r="F120" s="198"/>
      <c r="G120" s="30">
        <f t="shared" si="14"/>
        <v>0</v>
      </c>
      <c r="H120" s="32">
        <f t="shared" si="12"/>
        <v>0</v>
      </c>
      <c r="I120" s="195"/>
      <c r="J120" s="198"/>
      <c r="K120" s="33">
        <f t="shared" si="10"/>
        <v>0</v>
      </c>
      <c r="L120" s="204">
        <f t="shared" si="11"/>
        <v>47027</v>
      </c>
      <c r="M120" s="214"/>
      <c r="N120" s="197"/>
      <c r="O120" s="197"/>
      <c r="P120" s="194"/>
      <c r="Q120" s="30">
        <f t="shared" si="15"/>
        <v>0</v>
      </c>
      <c r="R120" s="31">
        <f t="shared" si="16"/>
        <v>0</v>
      </c>
    </row>
    <row r="121" spans="1:18" x14ac:dyDescent="0.2">
      <c r="A121" s="149">
        <f t="shared" si="13"/>
        <v>47058</v>
      </c>
      <c r="B121" s="204">
        <f t="shared" si="18"/>
        <v>47058</v>
      </c>
      <c r="C121" s="195"/>
      <c r="D121" s="198"/>
      <c r="E121" s="195"/>
      <c r="F121" s="198"/>
      <c r="G121" s="30">
        <f t="shared" si="14"/>
        <v>0</v>
      </c>
      <c r="H121" s="32">
        <f t="shared" si="12"/>
        <v>0</v>
      </c>
      <c r="I121" s="195"/>
      <c r="J121" s="198"/>
      <c r="K121" s="33">
        <f t="shared" ref="K121:K146" si="19">SUM(C121+E121+I121)</f>
        <v>0</v>
      </c>
      <c r="L121" s="204">
        <f t="shared" ref="L121:L146" si="20">EDATE(L120,1)</f>
        <v>47058</v>
      </c>
      <c r="M121" s="214"/>
      <c r="N121" s="197"/>
      <c r="O121" s="197"/>
      <c r="P121" s="194"/>
      <c r="Q121" s="30">
        <f t="shared" si="15"/>
        <v>0</v>
      </c>
      <c r="R121" s="31">
        <f t="shared" si="16"/>
        <v>0</v>
      </c>
    </row>
    <row r="122" spans="1:18" x14ac:dyDescent="0.2">
      <c r="A122" s="149">
        <f t="shared" si="13"/>
        <v>47088</v>
      </c>
      <c r="B122" s="204">
        <f t="shared" si="18"/>
        <v>47088</v>
      </c>
      <c r="C122" s="195"/>
      <c r="D122" s="198"/>
      <c r="E122" s="195"/>
      <c r="F122" s="198"/>
      <c r="G122" s="30">
        <f t="shared" si="14"/>
        <v>0</v>
      </c>
      <c r="H122" s="32">
        <f t="shared" si="12"/>
        <v>0</v>
      </c>
      <c r="I122" s="195"/>
      <c r="J122" s="198"/>
      <c r="K122" s="33">
        <f t="shared" si="19"/>
        <v>0</v>
      </c>
      <c r="L122" s="204">
        <f t="shared" si="20"/>
        <v>47088</v>
      </c>
      <c r="M122" s="214"/>
      <c r="N122" s="197"/>
      <c r="O122" s="197"/>
      <c r="P122" s="194"/>
      <c r="Q122" s="30">
        <f t="shared" si="15"/>
        <v>0</v>
      </c>
      <c r="R122" s="31">
        <f t="shared" si="16"/>
        <v>0</v>
      </c>
    </row>
    <row r="123" spans="1:18" x14ac:dyDescent="0.2">
      <c r="A123" s="149">
        <f t="shared" si="13"/>
        <v>47119</v>
      </c>
      <c r="B123" s="204">
        <f t="shared" si="18"/>
        <v>47119</v>
      </c>
      <c r="C123" s="195"/>
      <c r="D123" s="198"/>
      <c r="E123" s="195"/>
      <c r="F123" s="198"/>
      <c r="G123" s="30">
        <f t="shared" si="14"/>
        <v>0</v>
      </c>
      <c r="H123" s="32">
        <f t="shared" si="12"/>
        <v>0</v>
      </c>
      <c r="I123" s="195"/>
      <c r="J123" s="198"/>
      <c r="K123" s="33">
        <f t="shared" si="19"/>
        <v>0</v>
      </c>
      <c r="L123" s="204">
        <f t="shared" si="20"/>
        <v>47119</v>
      </c>
      <c r="M123" s="214"/>
      <c r="N123" s="197"/>
      <c r="O123" s="197"/>
      <c r="P123" s="194"/>
      <c r="Q123" s="30">
        <f t="shared" si="15"/>
        <v>0</v>
      </c>
      <c r="R123" s="31">
        <f t="shared" si="16"/>
        <v>0</v>
      </c>
    </row>
    <row r="124" spans="1:18" x14ac:dyDescent="0.2">
      <c r="A124" s="149">
        <f t="shared" si="13"/>
        <v>47150</v>
      </c>
      <c r="B124" s="204">
        <f t="shared" si="18"/>
        <v>47150</v>
      </c>
      <c r="C124" s="195"/>
      <c r="D124" s="198"/>
      <c r="E124" s="195"/>
      <c r="F124" s="198"/>
      <c r="G124" s="30">
        <f t="shared" si="14"/>
        <v>0</v>
      </c>
      <c r="H124" s="32">
        <f t="shared" si="12"/>
        <v>0</v>
      </c>
      <c r="I124" s="195"/>
      <c r="J124" s="198"/>
      <c r="K124" s="33">
        <f t="shared" si="19"/>
        <v>0</v>
      </c>
      <c r="L124" s="204">
        <f t="shared" si="20"/>
        <v>47150</v>
      </c>
      <c r="M124" s="214"/>
      <c r="N124" s="197"/>
      <c r="O124" s="197"/>
      <c r="P124" s="194"/>
      <c r="Q124" s="30">
        <f t="shared" si="15"/>
        <v>0</v>
      </c>
      <c r="R124" s="31">
        <f t="shared" si="16"/>
        <v>0</v>
      </c>
    </row>
    <row r="125" spans="1:18" x14ac:dyDescent="0.2">
      <c r="A125" s="149">
        <f t="shared" si="13"/>
        <v>47178</v>
      </c>
      <c r="B125" s="204">
        <f t="shared" si="18"/>
        <v>47178</v>
      </c>
      <c r="C125" s="195"/>
      <c r="D125" s="198"/>
      <c r="E125" s="195"/>
      <c r="F125" s="198"/>
      <c r="G125" s="30">
        <f t="shared" si="14"/>
        <v>0</v>
      </c>
      <c r="H125" s="32">
        <f t="shared" si="12"/>
        <v>0</v>
      </c>
      <c r="I125" s="195"/>
      <c r="J125" s="198"/>
      <c r="K125" s="33">
        <f t="shared" si="19"/>
        <v>0</v>
      </c>
      <c r="L125" s="204">
        <f t="shared" si="20"/>
        <v>47178</v>
      </c>
      <c r="M125" s="214"/>
      <c r="N125" s="197"/>
      <c r="O125" s="197"/>
      <c r="P125" s="194"/>
      <c r="Q125" s="30">
        <f t="shared" si="15"/>
        <v>0</v>
      </c>
      <c r="R125" s="31">
        <f t="shared" si="16"/>
        <v>0</v>
      </c>
    </row>
    <row r="126" spans="1:18" x14ac:dyDescent="0.2">
      <c r="A126" s="149">
        <f t="shared" si="13"/>
        <v>47209</v>
      </c>
      <c r="B126" s="204">
        <f t="shared" si="18"/>
        <v>47209</v>
      </c>
      <c r="C126" s="195"/>
      <c r="D126" s="198"/>
      <c r="E126" s="195"/>
      <c r="F126" s="198"/>
      <c r="G126" s="30">
        <f t="shared" si="14"/>
        <v>0</v>
      </c>
      <c r="H126" s="32">
        <f t="shared" si="12"/>
        <v>0</v>
      </c>
      <c r="I126" s="195"/>
      <c r="J126" s="198"/>
      <c r="K126" s="33">
        <f t="shared" si="19"/>
        <v>0</v>
      </c>
      <c r="L126" s="204">
        <f t="shared" si="20"/>
        <v>47209</v>
      </c>
      <c r="M126" s="214"/>
      <c r="N126" s="197"/>
      <c r="O126" s="197"/>
      <c r="P126" s="194"/>
      <c r="Q126" s="30">
        <f t="shared" si="15"/>
        <v>0</v>
      </c>
      <c r="R126" s="31">
        <f t="shared" si="16"/>
        <v>0</v>
      </c>
    </row>
    <row r="127" spans="1:18" x14ac:dyDescent="0.2">
      <c r="A127" s="149">
        <f t="shared" si="13"/>
        <v>47239</v>
      </c>
      <c r="B127" s="204">
        <f t="shared" si="18"/>
        <v>47239</v>
      </c>
      <c r="C127" s="195"/>
      <c r="D127" s="198"/>
      <c r="E127" s="195"/>
      <c r="F127" s="198"/>
      <c r="G127" s="30">
        <f t="shared" si="14"/>
        <v>0</v>
      </c>
      <c r="H127" s="32">
        <f t="shared" si="12"/>
        <v>0</v>
      </c>
      <c r="I127" s="195"/>
      <c r="J127" s="198"/>
      <c r="K127" s="33">
        <f t="shared" si="19"/>
        <v>0</v>
      </c>
      <c r="L127" s="204">
        <f t="shared" si="20"/>
        <v>47239</v>
      </c>
      <c r="M127" s="214"/>
      <c r="N127" s="197"/>
      <c r="O127" s="197"/>
      <c r="P127" s="194"/>
      <c r="Q127" s="30">
        <f t="shared" si="15"/>
        <v>0</v>
      </c>
      <c r="R127" s="31">
        <f t="shared" si="16"/>
        <v>0</v>
      </c>
    </row>
    <row r="128" spans="1:18" x14ac:dyDescent="0.2">
      <c r="A128" s="149">
        <f t="shared" si="13"/>
        <v>47270</v>
      </c>
      <c r="B128" s="204">
        <f t="shared" si="18"/>
        <v>47270</v>
      </c>
      <c r="C128" s="195"/>
      <c r="D128" s="198"/>
      <c r="E128" s="195"/>
      <c r="F128" s="198"/>
      <c r="G128" s="30">
        <f t="shared" si="14"/>
        <v>0</v>
      </c>
      <c r="H128" s="32">
        <f t="shared" si="12"/>
        <v>0</v>
      </c>
      <c r="I128" s="195"/>
      <c r="J128" s="198"/>
      <c r="K128" s="33">
        <f t="shared" si="19"/>
        <v>0</v>
      </c>
      <c r="L128" s="204">
        <f t="shared" si="20"/>
        <v>47270</v>
      </c>
      <c r="M128" s="214"/>
      <c r="N128" s="197"/>
      <c r="O128" s="197"/>
      <c r="P128" s="194"/>
      <c r="Q128" s="30">
        <f t="shared" si="15"/>
        <v>0</v>
      </c>
      <c r="R128" s="31">
        <f t="shared" si="16"/>
        <v>0</v>
      </c>
    </row>
    <row r="129" spans="1:18" x14ac:dyDescent="0.2">
      <c r="A129" s="149">
        <f t="shared" si="13"/>
        <v>47300</v>
      </c>
      <c r="B129" s="204">
        <f t="shared" si="18"/>
        <v>47300</v>
      </c>
      <c r="C129" s="195"/>
      <c r="D129" s="198"/>
      <c r="E129" s="195"/>
      <c r="F129" s="198"/>
      <c r="G129" s="30">
        <f t="shared" si="14"/>
        <v>0</v>
      </c>
      <c r="H129" s="32">
        <f t="shared" si="12"/>
        <v>0</v>
      </c>
      <c r="I129" s="195"/>
      <c r="J129" s="198"/>
      <c r="K129" s="33">
        <f t="shared" si="19"/>
        <v>0</v>
      </c>
      <c r="L129" s="204">
        <f t="shared" si="20"/>
        <v>47300</v>
      </c>
      <c r="M129" s="214"/>
      <c r="N129" s="197"/>
      <c r="O129" s="197"/>
      <c r="P129" s="194"/>
      <c r="Q129" s="30">
        <f t="shared" si="15"/>
        <v>0</v>
      </c>
      <c r="R129" s="31">
        <f t="shared" si="16"/>
        <v>0</v>
      </c>
    </row>
    <row r="130" spans="1:18" x14ac:dyDescent="0.2">
      <c r="A130" s="149">
        <f t="shared" si="13"/>
        <v>47331</v>
      </c>
      <c r="B130" s="204">
        <f t="shared" si="18"/>
        <v>47331</v>
      </c>
      <c r="C130" s="195"/>
      <c r="D130" s="198"/>
      <c r="E130" s="195"/>
      <c r="F130" s="198"/>
      <c r="G130" s="30">
        <f t="shared" si="14"/>
        <v>0</v>
      </c>
      <c r="H130" s="32">
        <f t="shared" si="12"/>
        <v>0</v>
      </c>
      <c r="I130" s="195"/>
      <c r="J130" s="198"/>
      <c r="K130" s="33">
        <f t="shared" si="19"/>
        <v>0</v>
      </c>
      <c r="L130" s="204">
        <f t="shared" si="20"/>
        <v>47331</v>
      </c>
      <c r="M130" s="214"/>
      <c r="N130" s="197"/>
      <c r="O130" s="197"/>
      <c r="P130" s="194"/>
      <c r="Q130" s="30">
        <f t="shared" si="15"/>
        <v>0</v>
      </c>
      <c r="R130" s="31">
        <f t="shared" si="16"/>
        <v>0</v>
      </c>
    </row>
    <row r="131" spans="1:18" x14ac:dyDescent="0.2">
      <c r="A131" s="149">
        <f t="shared" si="13"/>
        <v>47362</v>
      </c>
      <c r="B131" s="204">
        <f t="shared" si="18"/>
        <v>47362</v>
      </c>
      <c r="C131" s="195"/>
      <c r="D131" s="198"/>
      <c r="E131" s="195"/>
      <c r="F131" s="198"/>
      <c r="G131" s="30">
        <f t="shared" si="14"/>
        <v>0</v>
      </c>
      <c r="H131" s="32">
        <f t="shared" ref="H131:H146" si="21">SUM(D131+F131)</f>
        <v>0</v>
      </c>
      <c r="I131" s="195"/>
      <c r="J131" s="198"/>
      <c r="K131" s="33">
        <f t="shared" si="19"/>
        <v>0</v>
      </c>
      <c r="L131" s="204">
        <f t="shared" si="20"/>
        <v>47362</v>
      </c>
      <c r="M131" s="214"/>
      <c r="N131" s="197"/>
      <c r="O131" s="197"/>
      <c r="P131" s="194"/>
      <c r="Q131" s="30">
        <f t="shared" si="15"/>
        <v>0</v>
      </c>
      <c r="R131" s="31">
        <f t="shared" si="16"/>
        <v>0</v>
      </c>
    </row>
    <row r="132" spans="1:18" x14ac:dyDescent="0.2">
      <c r="A132" s="149">
        <f t="shared" si="13"/>
        <v>47392</v>
      </c>
      <c r="B132" s="204">
        <f t="shared" si="18"/>
        <v>47392</v>
      </c>
      <c r="C132" s="195"/>
      <c r="D132" s="198"/>
      <c r="E132" s="195"/>
      <c r="F132" s="198"/>
      <c r="G132" s="30">
        <f t="shared" ref="G132:G146" si="22">C132+E132</f>
        <v>0</v>
      </c>
      <c r="H132" s="32">
        <f t="shared" si="21"/>
        <v>0</v>
      </c>
      <c r="I132" s="195"/>
      <c r="J132" s="198"/>
      <c r="K132" s="33">
        <f t="shared" si="19"/>
        <v>0</v>
      </c>
      <c r="L132" s="204">
        <f t="shared" si="20"/>
        <v>47392</v>
      </c>
      <c r="M132" s="214"/>
      <c r="N132" s="197"/>
      <c r="O132" s="197"/>
      <c r="P132" s="194"/>
      <c r="Q132" s="30">
        <f t="shared" ref="Q132:Q146" si="23">M132-P132</f>
        <v>0</v>
      </c>
      <c r="R132" s="31">
        <f t="shared" ref="R132:R146" si="24">SUM(N132:O132)</f>
        <v>0</v>
      </c>
    </row>
    <row r="133" spans="1:18" x14ac:dyDescent="0.2">
      <c r="A133" s="149">
        <f t="shared" ref="A133:A146" si="25">EOMONTH((B133),-1)+1</f>
        <v>47423</v>
      </c>
      <c r="B133" s="204">
        <f t="shared" ref="B133:B146" si="26">EDATE(B132,1)</f>
        <v>47423</v>
      </c>
      <c r="C133" s="195"/>
      <c r="D133" s="198"/>
      <c r="E133" s="195"/>
      <c r="F133" s="198"/>
      <c r="G133" s="30">
        <f t="shared" si="22"/>
        <v>0</v>
      </c>
      <c r="H133" s="32">
        <f t="shared" si="21"/>
        <v>0</v>
      </c>
      <c r="I133" s="195"/>
      <c r="J133" s="198"/>
      <c r="K133" s="33">
        <f t="shared" si="19"/>
        <v>0</v>
      </c>
      <c r="L133" s="204">
        <f t="shared" si="20"/>
        <v>47423</v>
      </c>
      <c r="M133" s="214"/>
      <c r="N133" s="197"/>
      <c r="O133" s="197"/>
      <c r="P133" s="194"/>
      <c r="Q133" s="30">
        <f t="shared" si="23"/>
        <v>0</v>
      </c>
      <c r="R133" s="31">
        <f t="shared" si="24"/>
        <v>0</v>
      </c>
    </row>
    <row r="134" spans="1:18" x14ac:dyDescent="0.2">
      <c r="A134" s="149">
        <f t="shared" si="25"/>
        <v>47453</v>
      </c>
      <c r="B134" s="204">
        <f t="shared" si="26"/>
        <v>47453</v>
      </c>
      <c r="C134" s="195"/>
      <c r="D134" s="198"/>
      <c r="E134" s="195"/>
      <c r="F134" s="198"/>
      <c r="G134" s="30">
        <f t="shared" si="22"/>
        <v>0</v>
      </c>
      <c r="H134" s="32">
        <f t="shared" si="21"/>
        <v>0</v>
      </c>
      <c r="I134" s="195"/>
      <c r="J134" s="198"/>
      <c r="K134" s="33">
        <f t="shared" si="19"/>
        <v>0</v>
      </c>
      <c r="L134" s="204">
        <f t="shared" si="20"/>
        <v>47453</v>
      </c>
      <c r="M134" s="214"/>
      <c r="N134" s="197"/>
      <c r="O134" s="197"/>
      <c r="P134" s="194"/>
      <c r="Q134" s="30">
        <f t="shared" si="23"/>
        <v>0</v>
      </c>
      <c r="R134" s="31">
        <f t="shared" si="24"/>
        <v>0</v>
      </c>
    </row>
    <row r="135" spans="1:18" x14ac:dyDescent="0.2">
      <c r="A135" s="149">
        <f t="shared" si="25"/>
        <v>47484</v>
      </c>
      <c r="B135" s="204">
        <f t="shared" si="26"/>
        <v>47484</v>
      </c>
      <c r="C135" s="195"/>
      <c r="D135" s="198"/>
      <c r="E135" s="195"/>
      <c r="F135" s="198"/>
      <c r="G135" s="30">
        <f t="shared" si="22"/>
        <v>0</v>
      </c>
      <c r="H135" s="32">
        <f t="shared" si="21"/>
        <v>0</v>
      </c>
      <c r="I135" s="195"/>
      <c r="J135" s="198"/>
      <c r="K135" s="33">
        <f t="shared" si="19"/>
        <v>0</v>
      </c>
      <c r="L135" s="204">
        <f t="shared" si="20"/>
        <v>47484</v>
      </c>
      <c r="M135" s="214"/>
      <c r="N135" s="197"/>
      <c r="O135" s="197"/>
      <c r="P135" s="194"/>
      <c r="Q135" s="30">
        <f t="shared" si="23"/>
        <v>0</v>
      </c>
      <c r="R135" s="31">
        <f t="shared" si="24"/>
        <v>0</v>
      </c>
    </row>
    <row r="136" spans="1:18" x14ac:dyDescent="0.2">
      <c r="A136" s="149">
        <f t="shared" si="25"/>
        <v>47515</v>
      </c>
      <c r="B136" s="204">
        <f t="shared" si="26"/>
        <v>47515</v>
      </c>
      <c r="C136" s="195"/>
      <c r="D136" s="198"/>
      <c r="E136" s="195"/>
      <c r="F136" s="198"/>
      <c r="G136" s="30">
        <f t="shared" si="22"/>
        <v>0</v>
      </c>
      <c r="H136" s="32">
        <f t="shared" si="21"/>
        <v>0</v>
      </c>
      <c r="I136" s="195"/>
      <c r="J136" s="198"/>
      <c r="K136" s="33">
        <f t="shared" si="19"/>
        <v>0</v>
      </c>
      <c r="L136" s="204">
        <f t="shared" si="20"/>
        <v>47515</v>
      </c>
      <c r="M136" s="214"/>
      <c r="N136" s="197"/>
      <c r="O136" s="197"/>
      <c r="P136" s="194"/>
      <c r="Q136" s="30">
        <f t="shared" si="23"/>
        <v>0</v>
      </c>
      <c r="R136" s="31">
        <f t="shared" si="24"/>
        <v>0</v>
      </c>
    </row>
    <row r="137" spans="1:18" x14ac:dyDescent="0.2">
      <c r="A137" s="149">
        <f t="shared" si="25"/>
        <v>47543</v>
      </c>
      <c r="B137" s="204">
        <f t="shared" si="26"/>
        <v>47543</v>
      </c>
      <c r="C137" s="195"/>
      <c r="D137" s="198"/>
      <c r="E137" s="195"/>
      <c r="F137" s="198"/>
      <c r="G137" s="30">
        <f t="shared" si="22"/>
        <v>0</v>
      </c>
      <c r="H137" s="32">
        <f t="shared" si="21"/>
        <v>0</v>
      </c>
      <c r="I137" s="195"/>
      <c r="J137" s="198"/>
      <c r="K137" s="33">
        <f t="shared" si="19"/>
        <v>0</v>
      </c>
      <c r="L137" s="204">
        <f t="shared" si="20"/>
        <v>47543</v>
      </c>
      <c r="M137" s="214"/>
      <c r="N137" s="197"/>
      <c r="O137" s="197"/>
      <c r="P137" s="194"/>
      <c r="Q137" s="30">
        <f t="shared" si="23"/>
        <v>0</v>
      </c>
      <c r="R137" s="31">
        <f t="shared" si="24"/>
        <v>0</v>
      </c>
    </row>
    <row r="138" spans="1:18" x14ac:dyDescent="0.2">
      <c r="A138" s="149">
        <f t="shared" si="25"/>
        <v>47574</v>
      </c>
      <c r="B138" s="204">
        <f t="shared" si="26"/>
        <v>47574</v>
      </c>
      <c r="C138" s="195"/>
      <c r="D138" s="198"/>
      <c r="E138" s="195"/>
      <c r="F138" s="198"/>
      <c r="G138" s="30">
        <f t="shared" si="22"/>
        <v>0</v>
      </c>
      <c r="H138" s="32">
        <f t="shared" si="21"/>
        <v>0</v>
      </c>
      <c r="I138" s="195"/>
      <c r="J138" s="198"/>
      <c r="K138" s="33">
        <f t="shared" si="19"/>
        <v>0</v>
      </c>
      <c r="L138" s="204">
        <f t="shared" si="20"/>
        <v>47574</v>
      </c>
      <c r="M138" s="214"/>
      <c r="N138" s="197"/>
      <c r="O138" s="197"/>
      <c r="P138" s="194"/>
      <c r="Q138" s="30">
        <f t="shared" si="23"/>
        <v>0</v>
      </c>
      <c r="R138" s="31">
        <f t="shared" si="24"/>
        <v>0</v>
      </c>
    </row>
    <row r="139" spans="1:18" x14ac:dyDescent="0.2">
      <c r="A139" s="149">
        <f t="shared" si="25"/>
        <v>47604</v>
      </c>
      <c r="B139" s="204">
        <f t="shared" si="26"/>
        <v>47604</v>
      </c>
      <c r="C139" s="195"/>
      <c r="D139" s="198"/>
      <c r="E139" s="195"/>
      <c r="F139" s="198"/>
      <c r="G139" s="30">
        <f t="shared" si="22"/>
        <v>0</v>
      </c>
      <c r="H139" s="32">
        <f t="shared" si="21"/>
        <v>0</v>
      </c>
      <c r="I139" s="195"/>
      <c r="J139" s="198"/>
      <c r="K139" s="33">
        <f t="shared" si="19"/>
        <v>0</v>
      </c>
      <c r="L139" s="204">
        <f t="shared" si="20"/>
        <v>47604</v>
      </c>
      <c r="M139" s="214"/>
      <c r="N139" s="197"/>
      <c r="O139" s="197"/>
      <c r="P139" s="194"/>
      <c r="Q139" s="30">
        <f t="shared" si="23"/>
        <v>0</v>
      </c>
      <c r="R139" s="31">
        <f t="shared" si="24"/>
        <v>0</v>
      </c>
    </row>
    <row r="140" spans="1:18" x14ac:dyDescent="0.2">
      <c r="A140" s="149">
        <f t="shared" si="25"/>
        <v>47635</v>
      </c>
      <c r="B140" s="204">
        <f t="shared" si="26"/>
        <v>47635</v>
      </c>
      <c r="C140" s="195"/>
      <c r="D140" s="198"/>
      <c r="E140" s="195"/>
      <c r="F140" s="198"/>
      <c r="G140" s="30">
        <f t="shared" si="22"/>
        <v>0</v>
      </c>
      <c r="H140" s="32">
        <f t="shared" si="21"/>
        <v>0</v>
      </c>
      <c r="I140" s="195"/>
      <c r="J140" s="198"/>
      <c r="K140" s="33">
        <f t="shared" si="19"/>
        <v>0</v>
      </c>
      <c r="L140" s="204">
        <f t="shared" si="20"/>
        <v>47635</v>
      </c>
      <c r="M140" s="214"/>
      <c r="N140" s="197"/>
      <c r="O140" s="197"/>
      <c r="P140" s="194"/>
      <c r="Q140" s="30">
        <f t="shared" si="23"/>
        <v>0</v>
      </c>
      <c r="R140" s="31">
        <f t="shared" si="24"/>
        <v>0</v>
      </c>
    </row>
    <row r="141" spans="1:18" x14ac:dyDescent="0.2">
      <c r="A141" s="149">
        <f t="shared" si="25"/>
        <v>47665</v>
      </c>
      <c r="B141" s="204">
        <f t="shared" si="26"/>
        <v>47665</v>
      </c>
      <c r="C141" s="195"/>
      <c r="D141" s="198"/>
      <c r="E141" s="195"/>
      <c r="F141" s="198"/>
      <c r="G141" s="30">
        <f t="shared" si="22"/>
        <v>0</v>
      </c>
      <c r="H141" s="32">
        <f t="shared" si="21"/>
        <v>0</v>
      </c>
      <c r="I141" s="195"/>
      <c r="J141" s="198"/>
      <c r="K141" s="33">
        <f t="shared" si="19"/>
        <v>0</v>
      </c>
      <c r="L141" s="204">
        <f t="shared" si="20"/>
        <v>47665</v>
      </c>
      <c r="M141" s="214"/>
      <c r="N141" s="197"/>
      <c r="O141" s="197"/>
      <c r="P141" s="194"/>
      <c r="Q141" s="30">
        <f t="shared" si="23"/>
        <v>0</v>
      </c>
      <c r="R141" s="31">
        <f t="shared" si="24"/>
        <v>0</v>
      </c>
    </row>
    <row r="142" spans="1:18" x14ac:dyDescent="0.2">
      <c r="A142" s="149">
        <f t="shared" si="25"/>
        <v>47696</v>
      </c>
      <c r="B142" s="204">
        <f t="shared" si="26"/>
        <v>47696</v>
      </c>
      <c r="C142" s="195"/>
      <c r="D142" s="198"/>
      <c r="E142" s="195"/>
      <c r="F142" s="198"/>
      <c r="G142" s="30">
        <f t="shared" si="22"/>
        <v>0</v>
      </c>
      <c r="H142" s="32">
        <f t="shared" si="21"/>
        <v>0</v>
      </c>
      <c r="I142" s="195"/>
      <c r="J142" s="198"/>
      <c r="K142" s="33">
        <f t="shared" si="19"/>
        <v>0</v>
      </c>
      <c r="L142" s="204">
        <f t="shared" si="20"/>
        <v>47696</v>
      </c>
      <c r="M142" s="214"/>
      <c r="N142" s="197"/>
      <c r="O142" s="197"/>
      <c r="P142" s="194"/>
      <c r="Q142" s="30">
        <f t="shared" si="23"/>
        <v>0</v>
      </c>
      <c r="R142" s="31">
        <f t="shared" si="24"/>
        <v>0</v>
      </c>
    </row>
    <row r="143" spans="1:18" x14ac:dyDescent="0.2">
      <c r="A143" s="149">
        <f t="shared" si="25"/>
        <v>47727</v>
      </c>
      <c r="B143" s="204">
        <f t="shared" si="26"/>
        <v>47727</v>
      </c>
      <c r="C143" s="195"/>
      <c r="D143" s="198"/>
      <c r="E143" s="195"/>
      <c r="F143" s="198"/>
      <c r="G143" s="30">
        <f t="shared" si="22"/>
        <v>0</v>
      </c>
      <c r="H143" s="32">
        <f t="shared" si="21"/>
        <v>0</v>
      </c>
      <c r="I143" s="195"/>
      <c r="J143" s="198"/>
      <c r="K143" s="33">
        <f t="shared" si="19"/>
        <v>0</v>
      </c>
      <c r="L143" s="204">
        <f t="shared" si="20"/>
        <v>47727</v>
      </c>
      <c r="M143" s="214"/>
      <c r="N143" s="197"/>
      <c r="O143" s="197"/>
      <c r="P143" s="194"/>
      <c r="Q143" s="30">
        <f t="shared" si="23"/>
        <v>0</v>
      </c>
      <c r="R143" s="31">
        <f t="shared" si="24"/>
        <v>0</v>
      </c>
    </row>
    <row r="144" spans="1:18" x14ac:dyDescent="0.2">
      <c r="A144" s="149">
        <f t="shared" si="25"/>
        <v>47757</v>
      </c>
      <c r="B144" s="204">
        <f t="shared" si="26"/>
        <v>47757</v>
      </c>
      <c r="C144" s="195"/>
      <c r="D144" s="198"/>
      <c r="E144" s="195"/>
      <c r="F144" s="198"/>
      <c r="G144" s="30">
        <f t="shared" si="22"/>
        <v>0</v>
      </c>
      <c r="H144" s="32">
        <f t="shared" si="21"/>
        <v>0</v>
      </c>
      <c r="I144" s="195"/>
      <c r="J144" s="198"/>
      <c r="K144" s="33">
        <f t="shared" si="19"/>
        <v>0</v>
      </c>
      <c r="L144" s="204">
        <f t="shared" si="20"/>
        <v>47757</v>
      </c>
      <c r="M144" s="214"/>
      <c r="N144" s="197"/>
      <c r="O144" s="197"/>
      <c r="P144" s="194"/>
      <c r="Q144" s="30">
        <f t="shared" si="23"/>
        <v>0</v>
      </c>
      <c r="R144" s="31">
        <f t="shared" si="24"/>
        <v>0</v>
      </c>
    </row>
    <row r="145" spans="1:24" x14ac:dyDescent="0.2">
      <c r="A145" s="149">
        <f t="shared" si="25"/>
        <v>47788</v>
      </c>
      <c r="B145" s="204">
        <f t="shared" si="26"/>
        <v>47788</v>
      </c>
      <c r="C145" s="195"/>
      <c r="D145" s="198"/>
      <c r="E145" s="195"/>
      <c r="F145" s="198"/>
      <c r="G145" s="30">
        <f t="shared" si="22"/>
        <v>0</v>
      </c>
      <c r="H145" s="32">
        <f t="shared" si="21"/>
        <v>0</v>
      </c>
      <c r="I145" s="195"/>
      <c r="J145" s="198"/>
      <c r="K145" s="33">
        <f t="shared" si="19"/>
        <v>0</v>
      </c>
      <c r="L145" s="204">
        <f t="shared" si="20"/>
        <v>47788</v>
      </c>
      <c r="M145" s="214"/>
      <c r="N145" s="197"/>
      <c r="O145" s="197"/>
      <c r="P145" s="194"/>
      <c r="Q145" s="30">
        <f t="shared" si="23"/>
        <v>0</v>
      </c>
      <c r="R145" s="31">
        <f t="shared" si="24"/>
        <v>0</v>
      </c>
    </row>
    <row r="146" spans="1:24" s="193" customFormat="1" x14ac:dyDescent="0.2">
      <c r="A146" s="192">
        <f t="shared" si="25"/>
        <v>47818</v>
      </c>
      <c r="B146" s="205">
        <f t="shared" si="26"/>
        <v>47818</v>
      </c>
      <c r="C146" s="196"/>
      <c r="D146" s="199"/>
      <c r="E146" s="196"/>
      <c r="F146" s="199"/>
      <c r="G146" s="217">
        <f t="shared" si="22"/>
        <v>0</v>
      </c>
      <c r="H146" s="32">
        <f t="shared" si="21"/>
        <v>0</v>
      </c>
      <c r="I146" s="195"/>
      <c r="J146" s="198"/>
      <c r="K146" s="33">
        <f t="shared" si="19"/>
        <v>0</v>
      </c>
      <c r="L146" s="204">
        <f t="shared" si="20"/>
        <v>47818</v>
      </c>
      <c r="M146" s="214"/>
      <c r="N146" s="197"/>
      <c r="O146" s="215"/>
      <c r="P146" s="216"/>
      <c r="Q146" s="217">
        <f t="shared" si="23"/>
        <v>0</v>
      </c>
      <c r="R146" s="31">
        <f t="shared" si="24"/>
        <v>0</v>
      </c>
      <c r="W146" s="140"/>
    </row>
    <row r="147" spans="1:24" x14ac:dyDescent="0.2">
      <c r="A147" s="149"/>
      <c r="B147" s="44" t="s">
        <v>84</v>
      </c>
      <c r="C147" s="44" t="s">
        <v>84</v>
      </c>
      <c r="D147" s="44" t="s">
        <v>84</v>
      </c>
      <c r="E147" s="44" t="s">
        <v>84</v>
      </c>
      <c r="F147" s="44" t="s">
        <v>84</v>
      </c>
      <c r="G147" s="44" t="s">
        <v>84</v>
      </c>
      <c r="H147" s="200" t="s">
        <v>84</v>
      </c>
      <c r="I147" s="200" t="s">
        <v>84</v>
      </c>
      <c r="J147" s="200" t="s">
        <v>84</v>
      </c>
      <c r="K147" s="200" t="s">
        <v>84</v>
      </c>
      <c r="L147" s="201" t="s">
        <v>84</v>
      </c>
      <c r="M147" s="206" t="s">
        <v>84</v>
      </c>
      <c r="N147" s="201" t="s">
        <v>84</v>
      </c>
      <c r="O147" s="44" t="s">
        <v>84</v>
      </c>
      <c r="P147" s="44" t="s">
        <v>84</v>
      </c>
      <c r="Q147" s="44" t="s">
        <v>84</v>
      </c>
      <c r="R147" s="44" t="s">
        <v>84</v>
      </c>
      <c r="S147" s="44" t="s">
        <v>84</v>
      </c>
      <c r="T147" s="44" t="s">
        <v>84</v>
      </c>
      <c r="U147" s="44" t="s">
        <v>84</v>
      </c>
      <c r="V147" s="44" t="s">
        <v>84</v>
      </c>
      <c r="W147" s="44" t="s">
        <v>84</v>
      </c>
      <c r="X147" s="44" t="s">
        <v>84</v>
      </c>
    </row>
    <row r="148" spans="1:24" x14ac:dyDescent="0.2">
      <c r="A148" s="149"/>
      <c r="B148" s="44"/>
    </row>
    <row r="149" spans="1:24" x14ac:dyDescent="0.2">
      <c r="A149" s="149"/>
      <c r="B149" s="44"/>
    </row>
    <row r="150" spans="1:24" x14ac:dyDescent="0.2">
      <c r="A150" s="149"/>
      <c r="B150" s="44"/>
    </row>
  </sheetData>
  <mergeCells count="4">
    <mergeCell ref="T6:T14"/>
    <mergeCell ref="T16:T21"/>
    <mergeCell ref="B1:K1"/>
    <mergeCell ref="L1:R1"/>
  </mergeCells>
  <printOptions gridLines="1"/>
  <pageMargins left="0.2" right="0.2" top="0.25" bottom="0.25" header="0.3" footer="0.3"/>
  <pageSetup scale="7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9C2F-4D9F-413F-864F-D133AD782820}">
  <dimension ref="A1:P153"/>
  <sheetViews>
    <sheetView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176" sqref="T176"/>
    </sheetView>
  </sheetViews>
  <sheetFormatPr defaultRowHeight="12.75" x14ac:dyDescent="0.2"/>
  <cols>
    <col min="1" max="1" width="13.140625" style="45" hidden="1" customWidth="1"/>
    <col min="2" max="2" width="10" style="37" customWidth="1"/>
    <col min="3" max="3" width="13.140625" style="184" customWidth="1"/>
    <col min="4" max="4" width="1.42578125" customWidth="1"/>
    <col min="5" max="5" width="14.85546875" style="186" customWidth="1"/>
    <col min="6" max="6" width="13.5703125" bestFit="1" customWidth="1"/>
    <col min="7" max="7" width="23.28515625" style="190" hidden="1" customWidth="1"/>
    <col min="8" max="8" width="1.7109375" style="190" customWidth="1"/>
    <col min="9" max="9" width="19.5703125" customWidth="1"/>
    <col min="10" max="10" width="15.42578125" hidden="1" customWidth="1"/>
    <col min="11" max="11" width="1.42578125" style="190" customWidth="1"/>
    <col min="12" max="12" width="12.85546875" hidden="1" customWidth="1"/>
    <col min="13" max="13" width="14.85546875" hidden="1" customWidth="1"/>
    <col min="14" max="14" width="13.5703125" style="190" customWidth="1"/>
    <col min="15" max="15" width="1.7109375" style="190" customWidth="1"/>
    <col min="16" max="16" width="11.85546875" bestFit="1" customWidth="1"/>
  </cols>
  <sheetData>
    <row r="1" spans="1:14" x14ac:dyDescent="0.2">
      <c r="B1"/>
      <c r="C1" s="183" t="s">
        <v>101</v>
      </c>
      <c r="F1" s="187"/>
      <c r="G1" s="221"/>
      <c r="H1" s="221"/>
    </row>
    <row r="2" spans="1:14" ht="30" customHeight="1" x14ac:dyDescent="0.2">
      <c r="A2" s="46" t="s">
        <v>102</v>
      </c>
      <c r="B2" s="182" t="s">
        <v>100</v>
      </c>
      <c r="C2" s="41" t="s">
        <v>85</v>
      </c>
      <c r="E2" s="189" t="s">
        <v>107</v>
      </c>
      <c r="F2" s="39" t="s">
        <v>106</v>
      </c>
      <c r="G2" s="189" t="s">
        <v>129</v>
      </c>
      <c r="H2" s="185"/>
      <c r="I2" s="41" t="s">
        <v>126</v>
      </c>
      <c r="J2" s="189" t="s">
        <v>128</v>
      </c>
      <c r="L2" s="185" t="s">
        <v>89</v>
      </c>
      <c r="M2" s="189" t="s">
        <v>88</v>
      </c>
      <c r="N2" s="185" t="s">
        <v>86</v>
      </c>
    </row>
    <row r="3" spans="1:14" x14ac:dyDescent="0.2">
      <c r="A3" s="149">
        <f>EOMONTH((B3),-1)+1</f>
        <v>43466</v>
      </c>
      <c r="B3" s="44">
        <v>43466</v>
      </c>
      <c r="C3" s="33">
        <f>VLOOKUP($A3,'Purchases and Sales Data'!$A:$K,11,FALSE)</f>
        <v>6625</v>
      </c>
      <c r="E3" s="208" t="s">
        <v>108</v>
      </c>
      <c r="F3" s="209">
        <v>2.5341</v>
      </c>
      <c r="G3" s="222">
        <f t="shared" ref="G3:G34" si="0">IF(E3="","",IF(E3=E2,G2,EDATE(EOMONTH(B3,-1),-3)))</f>
        <v>43373</v>
      </c>
      <c r="H3" s="222"/>
      <c r="I3" s="191">
        <f>ROUND(C3*F3,2)</f>
        <v>16788.41</v>
      </c>
      <c r="J3" s="188">
        <f>SUMIF('Purchases and Sales Data'!$A$3:$A$146,'GCR Rate and Recovery'!$A3,'Purchases and Sales Data'!$H$3:$H$146)+SUMIF('Purchases and Sales Data'!$A$3:$A$146,'GCR Rate and Recovery'!$A3,'Purchases and Sales Data'!J3:J146)</f>
        <v>36712.04</v>
      </c>
      <c r="L3" s="191">
        <f>VLOOKUP($A3,'Purchases and Sales Data'!$A:$R,14,FALSE)</f>
        <v>15100.88</v>
      </c>
      <c r="M3" s="191">
        <f>VLOOKUP($A3,'Purchases and Sales Data'!$A:$R,15,FALSE)</f>
        <v>6878.66</v>
      </c>
      <c r="N3" s="213">
        <f>SUM(L3+M3)</f>
        <v>21979.54</v>
      </c>
    </row>
    <row r="4" spans="1:14" x14ac:dyDescent="0.2">
      <c r="A4" s="149">
        <f t="shared" ref="A4:A67" si="1">EOMONTH((B4),-1)+1</f>
        <v>43497</v>
      </c>
      <c r="B4" s="44">
        <f>EDATE(B3,1)</f>
        <v>43497</v>
      </c>
      <c r="C4" s="33">
        <f>VLOOKUP($A4,'Purchases and Sales Data'!$A:$K,11,FALSE)</f>
        <v>5800</v>
      </c>
      <c r="E4" s="208" t="s">
        <v>108</v>
      </c>
      <c r="F4" s="209">
        <v>2.5341</v>
      </c>
      <c r="G4" s="222">
        <f t="shared" si="0"/>
        <v>43373</v>
      </c>
      <c r="H4" s="222"/>
      <c r="I4" s="191">
        <f t="shared" ref="I4:I34" si="2">ROUND(C4*F4,2)</f>
        <v>14697.78</v>
      </c>
      <c r="J4" s="188">
        <f>SUMIF('Purchases and Sales Data'!$A$3:$A$146,'GCR Rate and Recovery'!$A4,'Purchases and Sales Data'!$H$3:$H$146)+SUMIF('Purchases and Sales Data'!$A$3:$A$146,'GCR Rate and Recovery'!$A4,'Purchases and Sales Data'!J4:J147)</f>
        <v>32055.66</v>
      </c>
      <c r="L4" s="191">
        <f>VLOOKUP($A4,'Purchases and Sales Data'!$A:$R,14,FALSE)</f>
        <v>11551.06</v>
      </c>
      <c r="M4" s="191">
        <f>VLOOKUP($A4,'Purchases and Sales Data'!$A:$R,15,FALSE)</f>
        <v>4784.5200000000004</v>
      </c>
      <c r="N4" s="213">
        <f t="shared" ref="N4:N67" si="3">SUM(L4+M4)</f>
        <v>16335.58</v>
      </c>
    </row>
    <row r="5" spans="1:14" x14ac:dyDescent="0.2">
      <c r="A5" s="149">
        <f t="shared" si="1"/>
        <v>43525</v>
      </c>
      <c r="B5" s="44">
        <f>EDATE(B4,1)</f>
        <v>43525</v>
      </c>
      <c r="C5" s="33">
        <f>VLOOKUP($A5,'Purchases and Sales Data'!$A:$K,11,FALSE)</f>
        <v>5811</v>
      </c>
      <c r="E5" s="208" t="s">
        <v>108</v>
      </c>
      <c r="F5" s="209">
        <v>2.5341</v>
      </c>
      <c r="G5" s="222">
        <f t="shared" si="0"/>
        <v>43373</v>
      </c>
      <c r="H5" s="222"/>
      <c r="I5" s="191">
        <f t="shared" si="2"/>
        <v>14725.66</v>
      </c>
      <c r="J5" s="188">
        <f>SUMIF('Purchases and Sales Data'!$A$3:$A$146,'GCR Rate and Recovery'!$A5,'Purchases and Sales Data'!$H$3:$H$146)+SUMIF('Purchases and Sales Data'!$A$3:$A$146,'GCR Rate and Recovery'!$A5,'Purchases and Sales Data'!J5:J148)</f>
        <v>32140.77</v>
      </c>
      <c r="L5" s="191">
        <f>VLOOKUP($A5,'Purchases and Sales Data'!$A:$R,14,FALSE)</f>
        <v>12410.22</v>
      </c>
      <c r="M5" s="191">
        <f>VLOOKUP($A5,'Purchases and Sales Data'!$A:$R,15,FALSE)</f>
        <v>4726.88</v>
      </c>
      <c r="N5" s="213">
        <f t="shared" si="3"/>
        <v>17137.099999999999</v>
      </c>
    </row>
    <row r="6" spans="1:14" x14ac:dyDescent="0.2">
      <c r="A6" s="149">
        <f t="shared" si="1"/>
        <v>43556</v>
      </c>
      <c r="B6" s="44">
        <f t="shared" ref="B6:B69" si="4">EDATE(B5,1)</f>
        <v>43556</v>
      </c>
      <c r="C6" s="33">
        <f>VLOOKUP($A6,'Purchases and Sales Data'!$A:$K,11,FALSE)</f>
        <v>2255</v>
      </c>
      <c r="E6" s="208" t="s">
        <v>109</v>
      </c>
      <c r="F6" s="209">
        <v>2.9401999999999999</v>
      </c>
      <c r="G6" s="222">
        <f t="shared" si="0"/>
        <v>43465</v>
      </c>
      <c r="H6" s="222"/>
      <c r="I6" s="191">
        <f t="shared" si="2"/>
        <v>6630.15</v>
      </c>
      <c r="J6" s="188">
        <f>SUMIF('Purchases and Sales Data'!$A$3:$A$146,'GCR Rate and Recovery'!$A6,'Purchases and Sales Data'!$H$3:$H$146)+SUMIF('Purchases and Sales Data'!$A$3:$A$146,'GCR Rate and Recovery'!$A6,'Purchases and Sales Data'!J6:J149)</f>
        <v>42052.800000000003</v>
      </c>
      <c r="L6" s="191">
        <f>VLOOKUP($A6,'Purchases and Sales Data'!$A:$R,14,FALSE)</f>
        <v>7535.57</v>
      </c>
      <c r="M6" s="191">
        <f>VLOOKUP($A6,'Purchases and Sales Data'!$A:$R,15,FALSE)</f>
        <v>1531.17</v>
      </c>
      <c r="N6" s="213">
        <f t="shared" si="3"/>
        <v>9066.74</v>
      </c>
    </row>
    <row r="7" spans="1:14" x14ac:dyDescent="0.2">
      <c r="A7" s="149">
        <f t="shared" si="1"/>
        <v>43586</v>
      </c>
      <c r="B7" s="44">
        <f t="shared" si="4"/>
        <v>43586</v>
      </c>
      <c r="C7" s="33">
        <f>VLOOKUP($A7,'Purchases and Sales Data'!$A:$K,11,FALSE)</f>
        <v>738</v>
      </c>
      <c r="E7" s="208" t="s">
        <v>109</v>
      </c>
      <c r="F7" s="209">
        <v>2.9401999999999999</v>
      </c>
      <c r="G7" s="222">
        <f t="shared" si="0"/>
        <v>43465</v>
      </c>
      <c r="H7" s="222"/>
      <c r="I7" s="191">
        <f t="shared" si="2"/>
        <v>2169.87</v>
      </c>
      <c r="J7" s="188">
        <f>SUMIF('Purchases and Sales Data'!$A$3:$A$146,'GCR Rate and Recovery'!$A7,'Purchases and Sales Data'!$H$3:$H$146)+SUMIF('Purchases and Sales Data'!$A$3:$A$146,'GCR Rate and Recovery'!$A7,'Purchases and Sales Data'!J7:J150)</f>
        <v>4314.8499999999995</v>
      </c>
      <c r="L7" s="191">
        <f>VLOOKUP($A7,'Purchases and Sales Data'!$A:$R,14,FALSE)</f>
        <v>10788.83</v>
      </c>
      <c r="M7" s="191">
        <f>VLOOKUP($A7,'Purchases and Sales Data'!$A:$R,15,FALSE)</f>
        <v>1094.29</v>
      </c>
      <c r="N7" s="213">
        <f t="shared" si="3"/>
        <v>11883.119999999999</v>
      </c>
    </row>
    <row r="8" spans="1:14" x14ac:dyDescent="0.2">
      <c r="A8" s="149">
        <f t="shared" si="1"/>
        <v>43617</v>
      </c>
      <c r="B8" s="44">
        <f t="shared" si="4"/>
        <v>43617</v>
      </c>
      <c r="C8" s="33">
        <f>VLOOKUP($A8,'Purchases and Sales Data'!$A:$K,11,FALSE)</f>
        <v>2544</v>
      </c>
      <c r="E8" s="208" t="s">
        <v>109</v>
      </c>
      <c r="F8" s="209">
        <v>2.9401999999999999</v>
      </c>
      <c r="G8" s="222">
        <f t="shared" si="0"/>
        <v>43465</v>
      </c>
      <c r="H8" s="222"/>
      <c r="I8" s="191">
        <f t="shared" si="2"/>
        <v>7479.87</v>
      </c>
      <c r="J8" s="188">
        <f>SUMIF('Purchases and Sales Data'!$A$3:$A$146,'GCR Rate and Recovery'!$A8,'Purchases and Sales Data'!$H$3:$H$146)+SUMIF('Purchases and Sales Data'!$A$3:$A$146,'GCR Rate and Recovery'!$A8,'Purchases and Sales Data'!J8:J151)</f>
        <v>3691.8900000000003</v>
      </c>
      <c r="L8" s="191">
        <f>VLOOKUP($A8,'Purchases and Sales Data'!$A:$R,14,FALSE)</f>
        <v>9461.3700000000008</v>
      </c>
      <c r="M8" s="191">
        <f>VLOOKUP($A8,'Purchases and Sales Data'!$A:$R,15,FALSE)</f>
        <v>2399.4</v>
      </c>
      <c r="N8" s="213">
        <f t="shared" si="3"/>
        <v>11860.77</v>
      </c>
    </row>
    <row r="9" spans="1:14" x14ac:dyDescent="0.2">
      <c r="A9" s="149">
        <f t="shared" si="1"/>
        <v>43647</v>
      </c>
      <c r="B9" s="44">
        <f t="shared" si="4"/>
        <v>43647</v>
      </c>
      <c r="C9" s="33">
        <f>VLOOKUP($A9,'Purchases and Sales Data'!$A:$K,11,FALSE)</f>
        <v>4729</v>
      </c>
      <c r="E9" s="208" t="s">
        <v>110</v>
      </c>
      <c r="F9" s="209">
        <v>3.9306000000000001</v>
      </c>
      <c r="G9" s="222">
        <f t="shared" si="0"/>
        <v>43554</v>
      </c>
      <c r="H9" s="222"/>
      <c r="I9" s="191">
        <f t="shared" si="2"/>
        <v>18587.810000000001</v>
      </c>
      <c r="J9" s="188">
        <f>SUMIF('Purchases and Sales Data'!$A$3:$A$146,'GCR Rate and Recovery'!$A9,'Purchases and Sales Data'!$H$3:$H$146)+SUMIF('Purchases and Sales Data'!$A$3:$A$146,'GCR Rate and Recovery'!$A9,'Purchases and Sales Data'!J9:J152)</f>
        <v>3229.3500000000004</v>
      </c>
      <c r="L9" s="191">
        <f>VLOOKUP($A9,'Purchases and Sales Data'!$A:$R,14,FALSE)</f>
        <v>10432.370000000001</v>
      </c>
      <c r="M9" s="191">
        <f>VLOOKUP($A9,'Purchases and Sales Data'!$A:$R,15,FALSE)</f>
        <v>4050.5</v>
      </c>
      <c r="N9" s="213">
        <f t="shared" si="3"/>
        <v>14482.87</v>
      </c>
    </row>
    <row r="10" spans="1:14" x14ac:dyDescent="0.2">
      <c r="A10" s="149">
        <f t="shared" si="1"/>
        <v>43678</v>
      </c>
      <c r="B10" s="44">
        <f t="shared" si="4"/>
        <v>43678</v>
      </c>
      <c r="C10" s="33">
        <f>VLOOKUP($A10,'Purchases and Sales Data'!$A:$K,11,FALSE)</f>
        <v>2115</v>
      </c>
      <c r="E10" s="208" t="s">
        <v>110</v>
      </c>
      <c r="F10" s="209">
        <v>3.9306000000000001</v>
      </c>
      <c r="G10" s="222">
        <f t="shared" si="0"/>
        <v>43554</v>
      </c>
      <c r="H10" s="222"/>
      <c r="I10" s="191">
        <f t="shared" si="2"/>
        <v>8313.2199999999993</v>
      </c>
      <c r="J10" s="188">
        <f>SUMIF('Purchases and Sales Data'!$A$3:$A$146,'GCR Rate and Recovery'!$A10,'Purchases and Sales Data'!$H$3:$H$146)+SUMIF('Purchases and Sales Data'!$A$3:$A$146,'GCR Rate and Recovery'!$A10,'Purchases and Sales Data'!J10:J153)</f>
        <v>3223.01</v>
      </c>
      <c r="L10" s="191">
        <f>VLOOKUP($A10,'Purchases and Sales Data'!$A:$R,14,FALSE)</f>
        <v>11898.08</v>
      </c>
      <c r="M10" s="191">
        <f>VLOOKUP($A10,'Purchases and Sales Data'!$A:$R,15,FALSE)</f>
        <v>1736.67</v>
      </c>
      <c r="N10" s="213">
        <f t="shared" si="3"/>
        <v>13634.75</v>
      </c>
    </row>
    <row r="11" spans="1:14" x14ac:dyDescent="0.2">
      <c r="A11" s="149">
        <f t="shared" si="1"/>
        <v>43709</v>
      </c>
      <c r="B11" s="44">
        <f t="shared" si="4"/>
        <v>43709</v>
      </c>
      <c r="C11" s="33">
        <f>VLOOKUP($A11,'Purchases and Sales Data'!$A:$K,11,FALSE)</f>
        <v>475</v>
      </c>
      <c r="E11" s="208" t="s">
        <v>110</v>
      </c>
      <c r="F11" s="209">
        <v>3.9306000000000001</v>
      </c>
      <c r="G11" s="222">
        <f t="shared" si="0"/>
        <v>43554</v>
      </c>
      <c r="H11" s="222"/>
      <c r="I11" s="191">
        <f t="shared" si="2"/>
        <v>1867.04</v>
      </c>
      <c r="J11" s="188">
        <f>SUMIF('Purchases and Sales Data'!$A$3:$A$146,'GCR Rate and Recovery'!$A11,'Purchases and Sales Data'!$H$3:$H$146)+SUMIF('Purchases and Sales Data'!$A$3:$A$146,'GCR Rate and Recovery'!$A11,'Purchases and Sales Data'!J11:J154)</f>
        <v>9727.2899999999991</v>
      </c>
      <c r="L11" s="191">
        <f>VLOOKUP($A11,'Purchases and Sales Data'!$A:$R,14,FALSE)</f>
        <v>7147.5</v>
      </c>
      <c r="M11" s="191">
        <f>VLOOKUP($A11,'Purchases and Sales Data'!$A:$R,15,FALSE)</f>
        <v>1174.58</v>
      </c>
      <c r="N11" s="213">
        <f t="shared" si="3"/>
        <v>8322.08</v>
      </c>
    </row>
    <row r="12" spans="1:14" x14ac:dyDescent="0.2">
      <c r="A12" s="149">
        <f t="shared" si="1"/>
        <v>43739</v>
      </c>
      <c r="B12" s="44">
        <f t="shared" si="4"/>
        <v>43739</v>
      </c>
      <c r="C12" s="33">
        <f>VLOOKUP($A12,'Purchases and Sales Data'!$A:$K,11,FALSE)</f>
        <v>1885</v>
      </c>
      <c r="E12" s="208" t="s">
        <v>111</v>
      </c>
      <c r="F12" s="209">
        <v>5.3926999999999996</v>
      </c>
      <c r="G12" s="222">
        <f t="shared" si="0"/>
        <v>43646</v>
      </c>
      <c r="H12" s="222"/>
      <c r="I12" s="191">
        <f t="shared" si="2"/>
        <v>10165.24</v>
      </c>
      <c r="J12" s="188">
        <f>SUMIF('Purchases and Sales Data'!$A$3:$A$146,'GCR Rate and Recovery'!$A12,'Purchases and Sales Data'!$H$3:$H$146)+SUMIF('Purchases and Sales Data'!$A$3:$A$146,'GCR Rate and Recovery'!$A12,'Purchases and Sales Data'!J12:J155)</f>
        <v>7738.17</v>
      </c>
      <c r="L12" s="191">
        <f>VLOOKUP($A12,'Purchases and Sales Data'!$A:$R,14,FALSE)</f>
        <v>10128.549999999999</v>
      </c>
      <c r="M12" s="191">
        <f>VLOOKUP($A12,'Purchases and Sales Data'!$A:$R,15,FALSE)</f>
        <v>2131.89</v>
      </c>
      <c r="N12" s="213">
        <f t="shared" si="3"/>
        <v>12260.439999999999</v>
      </c>
    </row>
    <row r="13" spans="1:14" x14ac:dyDescent="0.2">
      <c r="A13" s="149">
        <f t="shared" si="1"/>
        <v>43770</v>
      </c>
      <c r="B13" s="44">
        <f t="shared" si="4"/>
        <v>43770</v>
      </c>
      <c r="C13" s="33">
        <f>VLOOKUP($A13,'Purchases and Sales Data'!$A:$K,11,FALSE)</f>
        <v>3679</v>
      </c>
      <c r="E13" s="208" t="s">
        <v>111</v>
      </c>
      <c r="F13" s="209">
        <v>5.3926999999999996</v>
      </c>
      <c r="G13" s="222">
        <f t="shared" si="0"/>
        <v>43646</v>
      </c>
      <c r="H13" s="222"/>
      <c r="I13" s="191">
        <f t="shared" si="2"/>
        <v>19839.740000000002</v>
      </c>
      <c r="J13" s="188">
        <f>SUMIF('Purchases and Sales Data'!$A$3:$A$146,'GCR Rate and Recovery'!$A13,'Purchases and Sales Data'!$H$3:$H$146)+SUMIF('Purchases and Sales Data'!$A$3:$A$146,'GCR Rate and Recovery'!$A13,'Purchases and Sales Data'!J13:J156)</f>
        <v>30823.88</v>
      </c>
      <c r="L13" s="191">
        <f>VLOOKUP($A13,'Purchases and Sales Data'!$A:$R,14,FALSE)</f>
        <v>11245.33</v>
      </c>
      <c r="M13" s="191">
        <f>VLOOKUP($A13,'Purchases and Sales Data'!$A:$R,15,FALSE)</f>
        <v>4298.1499999999996</v>
      </c>
      <c r="N13" s="213">
        <f t="shared" si="3"/>
        <v>15543.48</v>
      </c>
    </row>
    <row r="14" spans="1:14" x14ac:dyDescent="0.2">
      <c r="A14" s="149">
        <f t="shared" si="1"/>
        <v>43800</v>
      </c>
      <c r="B14" s="44">
        <f t="shared" si="4"/>
        <v>43800</v>
      </c>
      <c r="C14" s="33">
        <f>VLOOKUP($A14,'Purchases and Sales Data'!$A:$K,11,FALSE)</f>
        <v>4658</v>
      </c>
      <c r="E14" s="208" t="s">
        <v>111</v>
      </c>
      <c r="F14" s="209">
        <v>5.3926999999999996</v>
      </c>
      <c r="G14" s="222">
        <f t="shared" si="0"/>
        <v>43646</v>
      </c>
      <c r="H14" s="222"/>
      <c r="I14" s="191">
        <f t="shared" si="2"/>
        <v>25119.200000000001</v>
      </c>
      <c r="J14" s="188">
        <f>SUMIF('Purchases and Sales Data'!$A$3:$A$146,'GCR Rate and Recovery'!$A14,'Purchases and Sales Data'!$H$3:$H$146)+SUMIF('Purchases and Sales Data'!$A$3:$A$146,'GCR Rate and Recovery'!$A14,'Purchases and Sales Data'!J14:J157)</f>
        <v>39016.51</v>
      </c>
      <c r="L14" s="191">
        <f>VLOOKUP($A14,'Purchases and Sales Data'!$A:$R,14,FALSE)</f>
        <v>14746.58</v>
      </c>
      <c r="M14" s="191">
        <f>VLOOKUP($A14,'Purchases and Sales Data'!$A:$R,15,FALSE)</f>
        <v>4706.13</v>
      </c>
      <c r="N14" s="213">
        <f t="shared" si="3"/>
        <v>19452.71</v>
      </c>
    </row>
    <row r="15" spans="1:14" x14ac:dyDescent="0.2">
      <c r="A15" s="149">
        <f t="shared" si="1"/>
        <v>43831</v>
      </c>
      <c r="B15" s="44">
        <f t="shared" si="4"/>
        <v>43831</v>
      </c>
      <c r="C15" s="33">
        <f>VLOOKUP($A15,'Purchases and Sales Data'!$A:$K,11,FALSE)</f>
        <v>5351</v>
      </c>
      <c r="E15" s="208" t="s">
        <v>112</v>
      </c>
      <c r="F15" s="209">
        <v>4.8701999999999996</v>
      </c>
      <c r="G15" s="222">
        <f t="shared" si="0"/>
        <v>43738</v>
      </c>
      <c r="H15" s="222"/>
      <c r="I15" s="191">
        <f t="shared" si="2"/>
        <v>26060.44</v>
      </c>
      <c r="J15" s="188">
        <f>SUMIF('Purchases and Sales Data'!$A$3:$A$146,'GCR Rate and Recovery'!$A15,'Purchases and Sales Data'!$H$3:$H$146)+SUMIF('Purchases and Sales Data'!$A$3:$A$146,'GCR Rate and Recovery'!$A15,'Purchases and Sales Data'!J15:J158)</f>
        <v>42094.05</v>
      </c>
      <c r="L15" s="191">
        <f>VLOOKUP($A15,'Purchases and Sales Data'!$A:$R,14,FALSE)</f>
        <v>7600.88</v>
      </c>
      <c r="M15" s="191">
        <f>VLOOKUP($A15,'Purchases and Sales Data'!$A:$R,15,FALSE)</f>
        <v>5223.1400000000003</v>
      </c>
      <c r="N15" s="213">
        <f t="shared" si="3"/>
        <v>12824.02</v>
      </c>
    </row>
    <row r="16" spans="1:14" x14ac:dyDescent="0.2">
      <c r="A16" s="149">
        <f t="shared" si="1"/>
        <v>43862</v>
      </c>
      <c r="B16" s="44">
        <f t="shared" si="4"/>
        <v>43862</v>
      </c>
      <c r="C16" s="33">
        <f>VLOOKUP($A16,'Purchases and Sales Data'!$A:$K,11,FALSE)</f>
        <v>5531</v>
      </c>
      <c r="E16" s="208" t="s">
        <v>112</v>
      </c>
      <c r="F16" s="209">
        <v>4.8701999999999996</v>
      </c>
      <c r="G16" s="222">
        <f t="shared" si="0"/>
        <v>43738</v>
      </c>
      <c r="H16" s="222"/>
      <c r="I16" s="191">
        <f t="shared" si="2"/>
        <v>26937.08</v>
      </c>
      <c r="J16" s="188">
        <f>SUMIF('Purchases and Sales Data'!$A$3:$A$146,'GCR Rate and Recovery'!$A16,'Purchases and Sales Data'!$H$3:$H$146)+SUMIF('Purchases and Sales Data'!$A$3:$A$146,'GCR Rate and Recovery'!$A16,'Purchases and Sales Data'!J16:J159)</f>
        <v>43505.73</v>
      </c>
      <c r="L16" s="191">
        <f>VLOOKUP($A16,'Purchases and Sales Data'!$A:$R,14,FALSE)</f>
        <v>7389.48</v>
      </c>
      <c r="M16" s="191">
        <f>VLOOKUP($A16,'Purchases and Sales Data'!$A:$R,15,FALSE)</f>
        <v>5181.75</v>
      </c>
      <c r="N16" s="213">
        <f t="shared" si="3"/>
        <v>12571.23</v>
      </c>
    </row>
    <row r="17" spans="1:14" x14ac:dyDescent="0.2">
      <c r="A17" s="149">
        <f t="shared" si="1"/>
        <v>43891</v>
      </c>
      <c r="B17" s="44">
        <f t="shared" si="4"/>
        <v>43891</v>
      </c>
      <c r="C17" s="33">
        <f>VLOOKUP($A17,'Purchases and Sales Data'!$A:$K,11,FALSE)</f>
        <v>3611</v>
      </c>
      <c r="E17" s="208" t="s">
        <v>112</v>
      </c>
      <c r="F17" s="209">
        <v>4.8701999999999996</v>
      </c>
      <c r="G17" s="222">
        <f t="shared" si="0"/>
        <v>43738</v>
      </c>
      <c r="H17" s="222"/>
      <c r="I17" s="191">
        <f t="shared" si="2"/>
        <v>17586.29</v>
      </c>
      <c r="J17" s="188">
        <f>SUMIF('Purchases and Sales Data'!$A$3:$A$146,'GCR Rate and Recovery'!$A17,'Purchases and Sales Data'!$H$3:$H$146)+SUMIF('Purchases and Sales Data'!$A$3:$A$146,'GCR Rate and Recovery'!$A17,'Purchases and Sales Data'!J17:J160)</f>
        <v>45610.35</v>
      </c>
      <c r="L17" s="191">
        <f>VLOOKUP($A17,'Purchases and Sales Data'!$A:$R,14,FALSE)</f>
        <v>7725.6</v>
      </c>
      <c r="M17" s="191">
        <f>VLOOKUP($A17,'Purchases and Sales Data'!$A:$R,15,FALSE)</f>
        <v>2990.3</v>
      </c>
      <c r="N17" s="213">
        <f t="shared" si="3"/>
        <v>10715.900000000001</v>
      </c>
    </row>
    <row r="18" spans="1:14" x14ac:dyDescent="0.2">
      <c r="A18" s="149">
        <f t="shared" si="1"/>
        <v>43922</v>
      </c>
      <c r="B18" s="44">
        <f t="shared" si="4"/>
        <v>43922</v>
      </c>
      <c r="C18" s="33">
        <f>VLOOKUP($A18,'Purchases and Sales Data'!$A:$K,11,FALSE)</f>
        <v>1862</v>
      </c>
      <c r="E18" s="208" t="s">
        <v>113</v>
      </c>
      <c r="F18" s="209">
        <v>3.4218999999999999</v>
      </c>
      <c r="G18" s="222">
        <f t="shared" si="0"/>
        <v>43830</v>
      </c>
      <c r="H18" s="222"/>
      <c r="I18" s="191">
        <f t="shared" si="2"/>
        <v>6371.58</v>
      </c>
      <c r="J18" s="188">
        <f>SUMIF('Purchases and Sales Data'!$A$3:$A$146,'GCR Rate and Recovery'!$A18,'Purchases and Sales Data'!$H$3:$H$146)+SUMIF('Purchases and Sales Data'!$A$3:$A$146,'GCR Rate and Recovery'!$A18,'Purchases and Sales Data'!J18:J161)</f>
        <v>34665.800000000003</v>
      </c>
      <c r="L18" s="191">
        <f>VLOOKUP($A18,'Purchases and Sales Data'!$A:$R,14,FALSE)</f>
        <v>7187.8</v>
      </c>
      <c r="M18" s="191">
        <f>VLOOKUP($A18,'Purchases and Sales Data'!$A:$R,15,FALSE)</f>
        <v>1970.72</v>
      </c>
      <c r="N18" s="213">
        <f t="shared" si="3"/>
        <v>9158.52</v>
      </c>
    </row>
    <row r="19" spans="1:14" x14ac:dyDescent="0.2">
      <c r="A19" s="149">
        <f t="shared" si="1"/>
        <v>43952</v>
      </c>
      <c r="B19" s="44">
        <f t="shared" si="4"/>
        <v>43952</v>
      </c>
      <c r="C19" s="33">
        <f>VLOOKUP($A19,'Purchases and Sales Data'!$A:$K,11,FALSE)</f>
        <v>2206</v>
      </c>
      <c r="E19" s="208" t="s">
        <v>113</v>
      </c>
      <c r="F19" s="209">
        <v>3.4218999999999999</v>
      </c>
      <c r="G19" s="222">
        <f t="shared" si="0"/>
        <v>43830</v>
      </c>
      <c r="H19" s="222"/>
      <c r="I19" s="191">
        <f t="shared" si="2"/>
        <v>7548.71</v>
      </c>
      <c r="J19" s="188">
        <f>SUMIF('Purchases and Sales Data'!$A$3:$A$146,'GCR Rate and Recovery'!$A19,'Purchases and Sales Data'!$H$3:$H$146)+SUMIF('Purchases and Sales Data'!$A$3:$A$146,'GCR Rate and Recovery'!$A19,'Purchases and Sales Data'!J19:J162)</f>
        <v>14668.84</v>
      </c>
      <c r="L19" s="191">
        <f>VLOOKUP($A19,'Purchases and Sales Data'!$A:$R,14,FALSE)</f>
        <v>7456.7</v>
      </c>
      <c r="M19" s="191">
        <f>VLOOKUP($A19,'Purchases and Sales Data'!$A:$R,15,FALSE)</f>
        <v>1742.86</v>
      </c>
      <c r="N19" s="213">
        <f t="shared" si="3"/>
        <v>9199.56</v>
      </c>
    </row>
    <row r="20" spans="1:14" x14ac:dyDescent="0.2">
      <c r="A20" s="149">
        <f t="shared" si="1"/>
        <v>43983</v>
      </c>
      <c r="B20" s="44">
        <f t="shared" si="4"/>
        <v>43983</v>
      </c>
      <c r="C20" s="33">
        <f>VLOOKUP($A20,'Purchases and Sales Data'!$A:$K,11,FALSE)</f>
        <v>2729</v>
      </c>
      <c r="E20" s="208" t="s">
        <v>113</v>
      </c>
      <c r="F20" s="209">
        <v>3.4218999999999999</v>
      </c>
      <c r="G20" s="222">
        <f t="shared" si="0"/>
        <v>43830</v>
      </c>
      <c r="H20" s="222"/>
      <c r="I20" s="191">
        <f t="shared" si="2"/>
        <v>9338.3700000000008</v>
      </c>
      <c r="J20" s="188">
        <f>SUMIF('Purchases and Sales Data'!$A$3:$A$146,'GCR Rate and Recovery'!$A20,'Purchases and Sales Data'!$H$3:$H$146)+SUMIF('Purchases and Sales Data'!$A$3:$A$146,'GCR Rate and Recovery'!$A20,'Purchases and Sales Data'!J20:J163)</f>
        <v>3952.4300000000003</v>
      </c>
      <c r="L20" s="191">
        <f>VLOOKUP($A20,'Purchases and Sales Data'!$A:$R,14,FALSE)</f>
        <v>9101.7000000000007</v>
      </c>
      <c r="M20" s="191">
        <f>VLOOKUP($A20,'Purchases and Sales Data'!$A:$R,15,FALSE)</f>
        <v>2738.15</v>
      </c>
      <c r="N20" s="213">
        <f t="shared" si="3"/>
        <v>11839.85</v>
      </c>
    </row>
    <row r="21" spans="1:14" x14ac:dyDescent="0.2">
      <c r="A21" s="149">
        <f t="shared" si="1"/>
        <v>44013</v>
      </c>
      <c r="B21" s="44">
        <f t="shared" si="4"/>
        <v>44013</v>
      </c>
      <c r="C21" s="33">
        <f>VLOOKUP($A21,'Purchases and Sales Data'!$A:$K,11,FALSE)</f>
        <v>507</v>
      </c>
      <c r="E21" s="208" t="s">
        <v>114</v>
      </c>
      <c r="F21" s="209">
        <v>3.1328999999999998</v>
      </c>
      <c r="G21" s="222">
        <f t="shared"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Recovery'!$A21,'Purchases and Sales Data'!$H$3:$H$146)+SUMIF('Purchases and Sales Data'!$A$3:$A$146,'GCR Rate and Recovery'!$A21,'Purchases and Sales Data'!J21:J164)</f>
        <v>3106.63</v>
      </c>
      <c r="L21" s="191">
        <f>VLOOKUP($A21,'Purchases and Sales Data'!$A:$R,14,FALSE)</f>
        <v>7523.93</v>
      </c>
      <c r="M21" s="191">
        <f>VLOOKUP($A21,'Purchases and Sales Data'!$A:$R,15,FALSE)</f>
        <v>1152.82</v>
      </c>
      <c r="N21" s="213">
        <f t="shared" si="3"/>
        <v>8676.75</v>
      </c>
    </row>
    <row r="22" spans="1:14" x14ac:dyDescent="0.2">
      <c r="A22" s="149">
        <f t="shared" si="1"/>
        <v>44044</v>
      </c>
      <c r="B22" s="44">
        <f t="shared" si="4"/>
        <v>44044</v>
      </c>
      <c r="C22" s="33">
        <f>VLOOKUP($A22,'Purchases and Sales Data'!$A:$K,11,FALSE)</f>
        <v>465</v>
      </c>
      <c r="E22" s="208" t="s">
        <v>114</v>
      </c>
      <c r="F22" s="209">
        <v>3.1328999999999998</v>
      </c>
      <c r="G22" s="222">
        <f t="shared" si="0"/>
        <v>43920</v>
      </c>
      <c r="H22" s="222"/>
      <c r="I22" s="191">
        <f t="shared" si="2"/>
        <v>1456.8</v>
      </c>
      <c r="J22" s="188">
        <f>SUMIF('Purchases and Sales Data'!$A$3:$A$146,'GCR Rate and Recovery'!$A22,'Purchases and Sales Data'!$H$3:$H$146)+SUMIF('Purchases and Sales Data'!$A$3:$A$146,'GCR Rate and Recovery'!$A22,'Purchases and Sales Data'!J22:J165)</f>
        <v>2853.52</v>
      </c>
      <c r="L22" s="191">
        <f>VLOOKUP($A22,'Purchases and Sales Data'!$A:$R,14,FALSE)</f>
        <v>10641.88</v>
      </c>
      <c r="M22" s="191">
        <f>VLOOKUP($A22,'Purchases and Sales Data'!$A:$R,15,FALSE)</f>
        <v>1565.43</v>
      </c>
      <c r="N22" s="213">
        <f t="shared" si="3"/>
        <v>12207.31</v>
      </c>
    </row>
    <row r="23" spans="1:14" x14ac:dyDescent="0.2">
      <c r="A23" s="149">
        <f t="shared" si="1"/>
        <v>44075</v>
      </c>
      <c r="B23" s="44">
        <f t="shared" si="4"/>
        <v>44075</v>
      </c>
      <c r="C23" s="33">
        <f>VLOOKUP($A23,'Purchases and Sales Data'!$A:$K,11,FALSE)</f>
        <v>580</v>
      </c>
      <c r="E23" s="208" t="s">
        <v>114</v>
      </c>
      <c r="F23" s="209">
        <v>3.1328999999999998</v>
      </c>
      <c r="G23" s="222">
        <f t="shared" si="0"/>
        <v>43920</v>
      </c>
      <c r="H23" s="222"/>
      <c r="I23" s="191">
        <f t="shared" si="2"/>
        <v>1817.08</v>
      </c>
      <c r="J23" s="188">
        <f>SUMIF('Purchases and Sales Data'!$A$3:$A$146,'GCR Rate and Recovery'!$A23,'Purchases and Sales Data'!$H$3:$H$146)+SUMIF('Purchases and Sales Data'!$A$3:$A$146,'GCR Rate and Recovery'!$A23,'Purchases and Sales Data'!J23:J166)</f>
        <v>13829.22</v>
      </c>
      <c r="L23" s="191">
        <f>VLOOKUP($A23,'Purchases and Sales Data'!$A:$R,14,FALSE)</f>
        <v>6918.9</v>
      </c>
      <c r="M23" s="191">
        <f>VLOOKUP($A23,'Purchases and Sales Data'!$A:$R,15,FALSE)</f>
        <v>1834.74</v>
      </c>
      <c r="N23" s="213">
        <f t="shared" si="3"/>
        <v>8753.64</v>
      </c>
    </row>
    <row r="24" spans="1:14" x14ac:dyDescent="0.2">
      <c r="A24" s="149">
        <f t="shared" si="1"/>
        <v>44105</v>
      </c>
      <c r="B24" s="44">
        <f t="shared" si="4"/>
        <v>44105</v>
      </c>
      <c r="C24" s="33">
        <f>VLOOKUP($A24,'Purchases and Sales Data'!$A:$K,11,FALSE)</f>
        <v>884</v>
      </c>
      <c r="E24" s="208" t="s">
        <v>115</v>
      </c>
      <c r="F24" s="209">
        <v>2.5158999999999998</v>
      </c>
      <c r="G24" s="222">
        <f t="shared" si="0"/>
        <v>44012</v>
      </c>
      <c r="H24" s="222"/>
      <c r="I24" s="191">
        <f t="shared" si="2"/>
        <v>2224.06</v>
      </c>
      <c r="J24" s="188">
        <f>SUMIF('Purchases and Sales Data'!$A$3:$A$146,'GCR Rate and Recovery'!$A24,'Purchases and Sales Data'!$H$3:$H$146)+SUMIF('Purchases and Sales Data'!$A$3:$A$146,'GCR Rate and Recovery'!$A24,'Purchases and Sales Data'!J24:J167)</f>
        <v>21510.22</v>
      </c>
      <c r="L24" s="191">
        <f>VLOOKUP($A24,'Purchases and Sales Data'!$A:$R,14,FALSE)</f>
        <v>7053.35</v>
      </c>
      <c r="M24" s="191">
        <f>VLOOKUP($A24,'Purchases and Sales Data'!$A:$R,15,FALSE)</f>
        <v>1843.32</v>
      </c>
      <c r="N24" s="213">
        <f t="shared" si="3"/>
        <v>8896.67</v>
      </c>
    </row>
    <row r="25" spans="1:14" x14ac:dyDescent="0.2">
      <c r="A25" s="149">
        <f t="shared" si="1"/>
        <v>44136</v>
      </c>
      <c r="B25" s="44">
        <f t="shared" si="4"/>
        <v>44136</v>
      </c>
      <c r="C25" s="33">
        <f>VLOOKUP($A25,'Purchases and Sales Data'!$A:$K,11,FALSE)</f>
        <v>2115</v>
      </c>
      <c r="E25" s="208" t="s">
        <v>115</v>
      </c>
      <c r="F25" s="209">
        <v>2.5158999999999998</v>
      </c>
      <c r="G25" s="222">
        <f t="shared" si="0"/>
        <v>44012</v>
      </c>
      <c r="H25" s="222"/>
      <c r="I25" s="191">
        <f t="shared" si="2"/>
        <v>5321.13</v>
      </c>
      <c r="J25" s="188">
        <f>SUMIF('Purchases and Sales Data'!$A$3:$A$146,'GCR Rate and Recovery'!$A25,'Purchases and Sales Data'!$H$3:$H$146)+SUMIF('Purchases and Sales Data'!$A$3:$A$146,'GCR Rate and Recovery'!$A25,'Purchases and Sales Data'!J25:J168)</f>
        <v>16807.349999999999</v>
      </c>
      <c r="L25" s="191">
        <f>VLOOKUP($A25,'Purchases and Sales Data'!$A:$R,14,FALSE)</f>
        <v>6237.33</v>
      </c>
      <c r="M25" s="191">
        <f>VLOOKUP($A25,'Purchases and Sales Data'!$A:$R,15,FALSE)</f>
        <v>2981.56</v>
      </c>
      <c r="N25" s="213">
        <f t="shared" si="3"/>
        <v>9218.89</v>
      </c>
    </row>
    <row r="26" spans="1:14" x14ac:dyDescent="0.2">
      <c r="A26" s="149">
        <f t="shared" si="1"/>
        <v>44166</v>
      </c>
      <c r="B26" s="44">
        <f t="shared" si="4"/>
        <v>44166</v>
      </c>
      <c r="C26" s="33">
        <f>VLOOKUP($A26,'Purchases and Sales Data'!$A:$K,11,FALSE)</f>
        <v>4065</v>
      </c>
      <c r="E26" s="208" t="s">
        <v>115</v>
      </c>
      <c r="F26" s="209">
        <v>2.5158999999999998</v>
      </c>
      <c r="G26" s="222">
        <f t="shared" si="0"/>
        <v>44012</v>
      </c>
      <c r="H26" s="222"/>
      <c r="I26" s="191">
        <f t="shared" si="2"/>
        <v>10227.129999999999</v>
      </c>
      <c r="J26" s="188">
        <f>SUMIF('Purchases and Sales Data'!$A$3:$A$146,'GCR Rate and Recovery'!$A26,'Purchases and Sales Data'!$H$3:$H$146)+SUMIF('Purchases and Sales Data'!$A$3:$A$146,'GCR Rate and Recovery'!$A26,'Purchases and Sales Data'!J26:J169)</f>
        <v>30889.219999999998</v>
      </c>
      <c r="L26" s="191">
        <f>VLOOKUP($A26,'Purchases and Sales Data'!$A:$R,14,FALSE)</f>
        <v>12265.33</v>
      </c>
      <c r="M26" s="191">
        <f>VLOOKUP($A26,'Purchases and Sales Data'!$A:$R,15,FALSE)</f>
        <v>5685.76</v>
      </c>
      <c r="N26" s="213">
        <f t="shared" si="3"/>
        <v>17951.09</v>
      </c>
    </row>
    <row r="27" spans="1:14" x14ac:dyDescent="0.2">
      <c r="A27" s="149">
        <f t="shared" si="1"/>
        <v>44197</v>
      </c>
      <c r="B27" s="44">
        <f t="shared" si="4"/>
        <v>44197</v>
      </c>
      <c r="C27" s="33">
        <f>VLOOKUP($A27,'Purchases and Sales Data'!$A:$K,11,FALSE)</f>
        <v>7601</v>
      </c>
      <c r="E27" s="208" t="s">
        <v>116</v>
      </c>
      <c r="F27" s="209">
        <v>3.1326999999999998</v>
      </c>
      <c r="G27" s="222">
        <f t="shared" si="0"/>
        <v>44104</v>
      </c>
      <c r="H27" s="222"/>
      <c r="I27" s="191">
        <f t="shared" si="2"/>
        <v>23811.65</v>
      </c>
      <c r="J27" s="188">
        <f>SUMIF('Purchases and Sales Data'!$A$3:$A$146,'GCR Rate and Recovery'!$A27,'Purchases and Sales Data'!$H$3:$H$146)+SUMIF('Purchases and Sales Data'!$A$3:$A$146,'GCR Rate and Recovery'!$A27,'Purchases and Sales Data'!J27:J170)</f>
        <v>46542.78</v>
      </c>
      <c r="L27" s="191">
        <f>VLOOKUP($A27,'Purchases and Sales Data'!$A:$R,14,FALSE)</f>
        <v>13512.88</v>
      </c>
      <c r="M27" s="191">
        <f>VLOOKUP($A27,'Purchases and Sales Data'!$A:$R,15,FALSE)</f>
        <v>6507.9</v>
      </c>
      <c r="N27" s="213">
        <f t="shared" si="3"/>
        <v>20020.78</v>
      </c>
    </row>
    <row r="28" spans="1:14" x14ac:dyDescent="0.2">
      <c r="A28" s="149">
        <f t="shared" si="1"/>
        <v>44228</v>
      </c>
      <c r="B28" s="44">
        <f t="shared" si="4"/>
        <v>44228</v>
      </c>
      <c r="C28" s="33">
        <f>VLOOKUP($A28,'Purchases and Sales Data'!$A:$K,11,FALSE)</f>
        <v>7444</v>
      </c>
      <c r="E28" s="208" t="s">
        <v>116</v>
      </c>
      <c r="F28" s="209">
        <v>3.1326999999999998</v>
      </c>
      <c r="G28" s="222">
        <f t="shared" si="0"/>
        <v>44104</v>
      </c>
      <c r="H28" s="222"/>
      <c r="I28" s="191">
        <f t="shared" si="2"/>
        <v>23319.82</v>
      </c>
      <c r="J28" s="188">
        <f>SUMIF('Purchases and Sales Data'!$A$3:$A$146,'GCR Rate and Recovery'!$A28,'Purchases and Sales Data'!$H$3:$H$146)+SUMIF('Purchases and Sales Data'!$A$3:$A$146,'GCR Rate and Recovery'!$A28,'Purchases and Sales Data'!J28:J171)</f>
        <v>45578.78</v>
      </c>
      <c r="L28" s="191">
        <f>VLOOKUP($A28,'Purchases and Sales Data'!$A:$R,14,FALSE)</f>
        <v>24476.11</v>
      </c>
      <c r="M28" s="191">
        <f>VLOOKUP($A28,'Purchases and Sales Data'!$A:$R,15,FALSE)</f>
        <v>6721.33</v>
      </c>
      <c r="N28" s="213">
        <f t="shared" si="3"/>
        <v>31197.440000000002</v>
      </c>
    </row>
    <row r="29" spans="1:14" x14ac:dyDescent="0.2">
      <c r="A29" s="149">
        <f t="shared" si="1"/>
        <v>44256</v>
      </c>
      <c r="B29" s="44">
        <f t="shared" si="4"/>
        <v>44256</v>
      </c>
      <c r="C29" s="33">
        <f>VLOOKUP($A29,'Purchases and Sales Data'!$A:$K,11,FALSE)</f>
        <v>3023</v>
      </c>
      <c r="E29" s="208" t="s">
        <v>116</v>
      </c>
      <c r="F29" s="209">
        <v>3.1326999999999998</v>
      </c>
      <c r="G29" s="222">
        <f t="shared" si="0"/>
        <v>44104</v>
      </c>
      <c r="H29" s="222"/>
      <c r="I29" s="191">
        <f t="shared" si="2"/>
        <v>9470.15</v>
      </c>
      <c r="J29" s="188">
        <f>SUMIF('Purchases and Sales Data'!$A$3:$A$146,'GCR Rate and Recovery'!$A29,'Purchases and Sales Data'!$H$3:$H$146)+SUMIF('Purchases and Sales Data'!$A$3:$A$146,'GCR Rate and Recovery'!$A29,'Purchases and Sales Data'!J29:J172)</f>
        <v>37096.869999999995</v>
      </c>
      <c r="L29" s="191">
        <f>VLOOKUP($A29,'Purchases and Sales Data'!$A:$R,14,FALSE)</f>
        <v>6135.14</v>
      </c>
      <c r="M29" s="191">
        <f>VLOOKUP($A29,'Purchases and Sales Data'!$A:$R,15,FALSE)</f>
        <v>3151.71</v>
      </c>
      <c r="N29" s="213">
        <f t="shared" si="3"/>
        <v>9286.85</v>
      </c>
    </row>
    <row r="30" spans="1:14" x14ac:dyDescent="0.2">
      <c r="A30" s="149">
        <f t="shared" si="1"/>
        <v>44287</v>
      </c>
      <c r="B30" s="44">
        <f t="shared" si="4"/>
        <v>44287</v>
      </c>
      <c r="C30" s="33">
        <f>VLOOKUP($A30,'Purchases and Sales Data'!$A:$K,11,FALSE)</f>
        <v>5366</v>
      </c>
      <c r="E30" s="208" t="s">
        <v>117</v>
      </c>
      <c r="F30" s="209">
        <v>3.1145999999999998</v>
      </c>
      <c r="G30" s="222">
        <f t="shared" si="0"/>
        <v>44196</v>
      </c>
      <c r="H30" s="222"/>
      <c r="I30" s="191">
        <f t="shared" si="2"/>
        <v>16712.939999999999</v>
      </c>
      <c r="J30" s="188">
        <f>SUMIF('Purchases and Sales Data'!$A$3:$A$146,'GCR Rate and Recovery'!$A30,'Purchases and Sales Data'!$H$3:$H$146)+SUMIF('Purchases and Sales Data'!$A$3:$A$146,'GCR Rate and Recovery'!$A30,'Purchases and Sales Data'!J30:J173)</f>
        <v>17805.62</v>
      </c>
      <c r="L30" s="191">
        <f>VLOOKUP($A30,'Purchases and Sales Data'!$A:$R,14,FALSE)</f>
        <v>8915.58</v>
      </c>
      <c r="M30" s="191">
        <f>VLOOKUP($A30,'Purchases and Sales Data'!$A:$R,15,FALSE)</f>
        <v>5225.63</v>
      </c>
      <c r="N30" s="213">
        <f t="shared" si="3"/>
        <v>14141.21</v>
      </c>
    </row>
    <row r="31" spans="1:14" x14ac:dyDescent="0.2">
      <c r="A31" s="149">
        <f t="shared" si="1"/>
        <v>44317</v>
      </c>
      <c r="B31" s="44">
        <f t="shared" si="4"/>
        <v>44317</v>
      </c>
      <c r="C31" s="33">
        <f>VLOOKUP($A31,'Purchases and Sales Data'!$A:$K,11,FALSE)</f>
        <v>4966</v>
      </c>
      <c r="E31" s="208" t="s">
        <v>117</v>
      </c>
      <c r="F31" s="209">
        <v>3.1145999999999998</v>
      </c>
      <c r="G31" s="222">
        <f t="shared" si="0"/>
        <v>44196</v>
      </c>
      <c r="H31" s="222"/>
      <c r="I31" s="191">
        <f t="shared" si="2"/>
        <v>15467.1</v>
      </c>
      <c r="J31" s="188">
        <f>SUMIF('Purchases and Sales Data'!$A$3:$A$146,'GCR Rate and Recovery'!$A31,'Purchases and Sales Data'!$H$3:$H$146)+SUMIF('Purchases and Sales Data'!$A$3:$A$146,'GCR Rate and Recovery'!$A31,'Purchases and Sales Data'!J31:J174)</f>
        <v>14337.260000000002</v>
      </c>
      <c r="L31" s="191">
        <f>VLOOKUP($A31,'Purchases and Sales Data'!$A:$R,14,FALSE)</f>
        <v>13774.7</v>
      </c>
      <c r="M31" s="191">
        <f>VLOOKUP($A31,'Purchases and Sales Data'!$A:$R,15,FALSE)</f>
        <v>3715.48</v>
      </c>
      <c r="N31" s="213">
        <f t="shared" si="3"/>
        <v>17490.18</v>
      </c>
    </row>
    <row r="32" spans="1:14" x14ac:dyDescent="0.2">
      <c r="A32" s="149">
        <f t="shared" si="1"/>
        <v>44348</v>
      </c>
      <c r="B32" s="44">
        <f t="shared" si="4"/>
        <v>44348</v>
      </c>
      <c r="C32" s="33">
        <f>VLOOKUP($A32,'Purchases and Sales Data'!$A:$K,11,FALSE)</f>
        <v>479</v>
      </c>
      <c r="E32" s="208" t="s">
        <v>117</v>
      </c>
      <c r="F32" s="209">
        <v>3.1145999999999998</v>
      </c>
      <c r="G32" s="222">
        <f t="shared" si="0"/>
        <v>44196</v>
      </c>
      <c r="H32" s="222"/>
      <c r="I32" s="191">
        <f t="shared" si="2"/>
        <v>1491.89</v>
      </c>
      <c r="J32" s="188">
        <f>SUMIF('Purchases and Sales Data'!$A$3:$A$146,'GCR Rate and Recovery'!$A32,'Purchases and Sales Data'!$H$3:$H$146)+SUMIF('Purchases and Sales Data'!$A$3:$A$146,'GCR Rate and Recovery'!$A32,'Purchases and Sales Data'!J32:J175)</f>
        <v>3751.65</v>
      </c>
      <c r="L32" s="191">
        <f>VLOOKUP($A32,'Purchases and Sales Data'!$A:$R,14,FALSE)</f>
        <v>9603.92</v>
      </c>
      <c r="M32" s="191">
        <f>VLOOKUP($A32,'Purchases and Sales Data'!$A:$R,15,FALSE)</f>
        <v>592.54999999999995</v>
      </c>
      <c r="N32" s="213">
        <f t="shared" si="3"/>
        <v>10196.469999999999</v>
      </c>
    </row>
    <row r="33" spans="1:14" x14ac:dyDescent="0.2">
      <c r="A33" s="149">
        <f t="shared" si="1"/>
        <v>44378</v>
      </c>
      <c r="B33" s="44">
        <f t="shared" si="4"/>
        <v>44378</v>
      </c>
      <c r="C33" s="33">
        <f>VLOOKUP($A33,'Purchases and Sales Data'!$A:$K,11,FALSE)</f>
        <v>3196</v>
      </c>
      <c r="E33" s="208" t="s">
        <v>118</v>
      </c>
      <c r="F33" s="209">
        <v>5.9436</v>
      </c>
      <c r="G33" s="222">
        <f t="shared" si="0"/>
        <v>44285</v>
      </c>
      <c r="H33" s="222"/>
      <c r="I33" s="191">
        <f t="shared" si="2"/>
        <v>18995.75</v>
      </c>
      <c r="J33" s="188">
        <f>SUMIF('Purchases and Sales Data'!$A$3:$A$146,'GCR Rate and Recovery'!$A33,'Purchases and Sales Data'!$H$3:$H$146)+SUMIF('Purchases and Sales Data'!$A$3:$A$146,'GCR Rate and Recovery'!$A33,'Purchases and Sales Data'!J33:J176)</f>
        <v>5904.71</v>
      </c>
      <c r="L33" s="191">
        <f>VLOOKUP($A33,'Purchases and Sales Data'!$A:$R,14,FALSE)</f>
        <v>11598.61</v>
      </c>
      <c r="M33" s="191">
        <f>VLOOKUP($A33,'Purchases and Sales Data'!$A:$R,15,FALSE)</f>
        <v>2877.1</v>
      </c>
      <c r="N33" s="213">
        <f t="shared" si="3"/>
        <v>14475.710000000001</v>
      </c>
    </row>
    <row r="34" spans="1:14" x14ac:dyDescent="0.2">
      <c r="A34" s="149">
        <f t="shared" si="1"/>
        <v>44409</v>
      </c>
      <c r="B34" s="44">
        <f t="shared" si="4"/>
        <v>44409</v>
      </c>
      <c r="C34" s="33">
        <f>VLOOKUP($A34,'Purchases and Sales Data'!$A:$K,11,FALSE)</f>
        <v>478</v>
      </c>
      <c r="E34" s="208" t="s">
        <v>118</v>
      </c>
      <c r="F34" s="209">
        <v>5.9436</v>
      </c>
      <c r="G34" s="222">
        <f t="shared" si="0"/>
        <v>44285</v>
      </c>
      <c r="H34" s="222"/>
      <c r="I34" s="191">
        <f t="shared" si="2"/>
        <v>2841.04</v>
      </c>
      <c r="J34" s="188">
        <f>SUMIF('Purchases and Sales Data'!$A$3:$A$146,'GCR Rate and Recovery'!$A34,'Purchases and Sales Data'!$H$3:$H$146)+SUMIF('Purchases and Sales Data'!$A$3:$A$146,'GCR Rate and Recovery'!$A34,'Purchases and Sales Data'!J34:J177)</f>
        <v>4273.95</v>
      </c>
      <c r="L34" s="191">
        <f>VLOOKUP($A34,'Purchases and Sales Data'!$A:$R,14,FALSE)</f>
        <v>10332.94</v>
      </c>
      <c r="M34" s="191">
        <f>VLOOKUP($A34,'Purchases and Sales Data'!$A:$R,15,FALSE)</f>
        <v>72.069999999999993</v>
      </c>
      <c r="N34" s="213">
        <f t="shared" si="3"/>
        <v>10405.01</v>
      </c>
    </row>
    <row r="35" spans="1:14" x14ac:dyDescent="0.2">
      <c r="A35" s="149">
        <f t="shared" si="1"/>
        <v>44440</v>
      </c>
      <c r="B35" s="44">
        <f t="shared" si="4"/>
        <v>44440</v>
      </c>
      <c r="C35" s="33">
        <f>VLOOKUP($A35,'Purchases and Sales Data'!$A:$K,11,FALSE)</f>
        <v>1460</v>
      </c>
      <c r="E35" s="208" t="s">
        <v>118</v>
      </c>
      <c r="F35" s="209">
        <v>5.9436</v>
      </c>
      <c r="G35" s="222">
        <f t="shared" ref="G35:G66" si="5">IF(E35="","",IF(E35=E34,G34,EDATE(EOMONTH(B35,-1),-3)))</f>
        <v>44285</v>
      </c>
      <c r="H35" s="222"/>
      <c r="I35" s="191">
        <f t="shared" ref="I35:I66" si="6">ROUND(C35*F35,2)</f>
        <v>8677.66</v>
      </c>
      <c r="J35" s="188">
        <f>SUMIF('Purchases and Sales Data'!$A$3:$A$146,'GCR Rate and Recovery'!$A35,'Purchases and Sales Data'!$H$3:$H$146)+SUMIF('Purchases and Sales Data'!$A$3:$A$146,'GCR Rate and Recovery'!$A35,'Purchases and Sales Data'!J35:J178)</f>
        <v>11589</v>
      </c>
      <c r="L35" s="191">
        <f>VLOOKUP($A35,'Purchases and Sales Data'!$A:$R,14,FALSE)</f>
        <v>5363.4</v>
      </c>
      <c r="M35" s="191">
        <f>VLOOKUP($A35,'Purchases and Sales Data'!$A:$R,15,FALSE)</f>
        <v>1292.25</v>
      </c>
      <c r="N35" s="213">
        <f t="shared" si="3"/>
        <v>6655.65</v>
      </c>
    </row>
    <row r="36" spans="1:14" x14ac:dyDescent="0.2">
      <c r="A36" s="149">
        <f t="shared" si="1"/>
        <v>44470</v>
      </c>
      <c r="B36" s="44">
        <f t="shared" si="4"/>
        <v>44470</v>
      </c>
      <c r="C36" s="33">
        <f>VLOOKUP($A36,'Purchases and Sales Data'!$A:$K,11,FALSE)</f>
        <v>1600</v>
      </c>
      <c r="E36" s="208" t="s">
        <v>119</v>
      </c>
      <c r="F36" s="209">
        <v>5.8308999999999997</v>
      </c>
      <c r="G36" s="222">
        <f t="shared" si="5"/>
        <v>44377</v>
      </c>
      <c r="H36" s="222"/>
      <c r="I36" s="191">
        <f t="shared" si="6"/>
        <v>9329.44</v>
      </c>
      <c r="J36" s="188">
        <f>SUMIF('Purchases and Sales Data'!$A$3:$A$146,'GCR Rate and Recovery'!$A36,'Purchases and Sales Data'!$H$3:$H$146)+SUMIF('Purchases and Sales Data'!$A$3:$A$146,'GCR Rate and Recovery'!$A36,'Purchases and Sales Data'!J36:J179)</f>
        <v>5594.29</v>
      </c>
      <c r="L36" s="191">
        <f>VLOOKUP($A36,'Purchases and Sales Data'!$A:$R,14,FALSE)</f>
        <v>18612.400000000001</v>
      </c>
      <c r="M36" s="191">
        <f>VLOOKUP($A36,'Purchases and Sales Data'!$A:$R,15,FALSE)</f>
        <v>1003.24</v>
      </c>
      <c r="N36" s="213">
        <f t="shared" si="3"/>
        <v>19615.640000000003</v>
      </c>
    </row>
    <row r="37" spans="1:14" x14ac:dyDescent="0.2">
      <c r="A37" s="149">
        <f t="shared" si="1"/>
        <v>44501</v>
      </c>
      <c r="B37" s="44">
        <f t="shared" si="4"/>
        <v>44501</v>
      </c>
      <c r="C37" s="33">
        <f>VLOOKUP($A37,'Purchases and Sales Data'!$A:$K,11,FALSE)</f>
        <v>3263</v>
      </c>
      <c r="E37" s="208" t="s">
        <v>119</v>
      </c>
      <c r="F37" s="209">
        <v>5.8308999999999997</v>
      </c>
      <c r="G37" s="222">
        <f t="shared" si="5"/>
        <v>44377</v>
      </c>
      <c r="H37" s="222"/>
      <c r="I37" s="191">
        <f t="shared" si="6"/>
        <v>19026.23</v>
      </c>
      <c r="J37" s="188">
        <f>SUMIF('Purchases and Sales Data'!$A$3:$A$146,'GCR Rate and Recovery'!$A37,'Purchases and Sales Data'!$H$3:$H$146)+SUMIF('Purchases and Sales Data'!$A$3:$A$146,'GCR Rate and Recovery'!$A37,'Purchases and Sales Data'!J37:J180)</f>
        <v>42529.72</v>
      </c>
      <c r="L37" s="191">
        <f>VLOOKUP($A37,'Purchases and Sales Data'!$A:$R,14,FALSE)</f>
        <v>13712</v>
      </c>
      <c r="M37" s="191">
        <f>VLOOKUP($A37,'Purchases and Sales Data'!$A:$R,15,FALSE)</f>
        <v>3937.45</v>
      </c>
      <c r="N37" s="213">
        <f t="shared" si="3"/>
        <v>17649.45</v>
      </c>
    </row>
    <row r="38" spans="1:14" x14ac:dyDescent="0.2">
      <c r="A38" s="149">
        <f t="shared" si="1"/>
        <v>44531</v>
      </c>
      <c r="B38" s="44">
        <f t="shared" si="4"/>
        <v>44531</v>
      </c>
      <c r="C38" s="33">
        <f>VLOOKUP($A38,'Purchases and Sales Data'!$A:$K,11,FALSE)</f>
        <v>3786</v>
      </c>
      <c r="E38" s="208" t="s">
        <v>119</v>
      </c>
      <c r="F38" s="209">
        <v>5.8308999999999997</v>
      </c>
      <c r="G38" s="222">
        <f t="shared" si="5"/>
        <v>44377</v>
      </c>
      <c r="H38" s="222"/>
      <c r="I38" s="191">
        <f t="shared" si="6"/>
        <v>22075.79</v>
      </c>
      <c r="J38" s="188">
        <f>SUMIF('Purchases and Sales Data'!$A$3:$A$146,'GCR Rate and Recovery'!$A38,'Purchases and Sales Data'!$H$3:$H$146)+SUMIF('Purchases and Sales Data'!$A$3:$A$146,'GCR Rate and Recovery'!$A38,'Purchases and Sales Data'!J38:J181)</f>
        <v>33427.479999999996</v>
      </c>
      <c r="L38" s="191">
        <f>VLOOKUP($A38,'Purchases and Sales Data'!$A:$R,14,FALSE)</f>
        <v>15492.8</v>
      </c>
      <c r="M38" s="191">
        <f>VLOOKUP($A38,'Purchases and Sales Data'!$A:$R,15,FALSE)</f>
        <v>3633.91</v>
      </c>
      <c r="N38" s="213">
        <f t="shared" si="3"/>
        <v>19126.71</v>
      </c>
    </row>
    <row r="39" spans="1:14" x14ac:dyDescent="0.2">
      <c r="A39" s="149">
        <f t="shared" si="1"/>
        <v>44562</v>
      </c>
      <c r="B39" s="44">
        <f t="shared" si="4"/>
        <v>44562</v>
      </c>
      <c r="C39" s="33">
        <f>VLOOKUP($A39,'Purchases and Sales Data'!$A:$K,11,FALSE)</f>
        <v>6900</v>
      </c>
      <c r="E39" s="208" t="s">
        <v>120</v>
      </c>
      <c r="F39" s="209">
        <v>6.0491000000000001</v>
      </c>
      <c r="G39" s="222">
        <f t="shared" si="5"/>
        <v>44469</v>
      </c>
      <c r="H39" s="222"/>
      <c r="I39" s="191">
        <f t="shared" si="6"/>
        <v>41738.79</v>
      </c>
      <c r="J39" s="188">
        <f>SUMIF('Purchases and Sales Data'!$A$3:$A$146,'GCR Rate and Recovery'!$A39,'Purchases and Sales Data'!$H$3:$H$146)+SUMIF('Purchases and Sales Data'!$A$3:$A$146,'GCR Rate and Recovery'!$A39,'Purchases and Sales Data'!J39:J182)</f>
        <v>62409.590000000004</v>
      </c>
      <c r="L39" s="191">
        <f>VLOOKUP($A39,'Purchases and Sales Data'!$A:$R,14,FALSE)</f>
        <v>11213.46</v>
      </c>
      <c r="M39" s="191">
        <f>VLOOKUP($A39,'Purchases and Sales Data'!$A:$R,15,FALSE)</f>
        <v>7721.77</v>
      </c>
      <c r="N39" s="213">
        <f t="shared" si="3"/>
        <v>18935.23</v>
      </c>
    </row>
    <row r="40" spans="1:14" x14ac:dyDescent="0.2">
      <c r="A40" s="149">
        <f t="shared" si="1"/>
        <v>44593</v>
      </c>
      <c r="B40" s="44">
        <f t="shared" si="4"/>
        <v>44593</v>
      </c>
      <c r="C40" s="33">
        <f>VLOOKUP($A40,'Purchases and Sales Data'!$A:$K,11,FALSE)</f>
        <v>7136</v>
      </c>
      <c r="E40" s="208" t="s">
        <v>120</v>
      </c>
      <c r="F40" s="209">
        <v>6.0491000000000001</v>
      </c>
      <c r="G40" s="222">
        <f t="shared" si="5"/>
        <v>44469</v>
      </c>
      <c r="H40" s="222"/>
      <c r="I40" s="191">
        <f t="shared" si="6"/>
        <v>43166.38</v>
      </c>
      <c r="J40" s="188">
        <f>SUMIF('Purchases and Sales Data'!$A$3:$A$146,'GCR Rate and Recovery'!$A40,'Purchases and Sales Data'!$H$3:$H$146)+SUMIF('Purchases and Sales Data'!$A$3:$A$146,'GCR Rate and Recovery'!$A40,'Purchases and Sales Data'!J40:J183)</f>
        <v>64533.89</v>
      </c>
      <c r="L40" s="191">
        <f>VLOOKUP($A40,'Purchases and Sales Data'!$A:$R,14,FALSE)</f>
        <v>7489.9</v>
      </c>
      <c r="M40" s="191">
        <f>VLOOKUP($A40,'Purchases and Sales Data'!$A:$R,15,FALSE)</f>
        <v>5366.7</v>
      </c>
      <c r="N40" s="213">
        <f t="shared" si="3"/>
        <v>12856.599999999999</v>
      </c>
    </row>
    <row r="41" spans="1:14" x14ac:dyDescent="0.2">
      <c r="A41" s="149">
        <f t="shared" si="1"/>
        <v>44621</v>
      </c>
      <c r="B41" s="44">
        <f t="shared" si="4"/>
        <v>44621</v>
      </c>
      <c r="C41" s="33">
        <f>VLOOKUP($A41,'Purchases and Sales Data'!$A:$K,11,FALSE)</f>
        <v>3735</v>
      </c>
      <c r="E41" s="208" t="s">
        <v>120</v>
      </c>
      <c r="F41" s="209">
        <v>6.0491000000000001</v>
      </c>
      <c r="G41" s="222">
        <f t="shared" si="5"/>
        <v>44469</v>
      </c>
      <c r="H41" s="222"/>
      <c r="I41" s="191">
        <f t="shared" si="6"/>
        <v>22593.39</v>
      </c>
      <c r="J41" s="188">
        <f>SUMIF('Purchases and Sales Data'!$A$3:$A$146,'GCR Rate and Recovery'!$A41,'Purchases and Sales Data'!$H$3:$H$146)+SUMIF('Purchases and Sales Data'!$A$3:$A$146,'GCR Rate and Recovery'!$A41,'Purchases and Sales Data'!J41:J184)</f>
        <v>33813.42</v>
      </c>
      <c r="L41" s="191">
        <f>VLOOKUP($A41,'Purchases and Sales Data'!$A:$R,14,FALSE)</f>
        <v>5610</v>
      </c>
      <c r="M41" s="191">
        <f>VLOOKUP($A41,'Purchases and Sales Data'!$A:$R,15,FALSE)</f>
        <v>3282.69</v>
      </c>
      <c r="N41" s="213">
        <f t="shared" si="3"/>
        <v>8892.69</v>
      </c>
    </row>
    <row r="42" spans="1:14" x14ac:dyDescent="0.2">
      <c r="A42" s="149">
        <f t="shared" si="1"/>
        <v>44652</v>
      </c>
      <c r="B42" s="44">
        <f t="shared" si="4"/>
        <v>44652</v>
      </c>
      <c r="C42" s="33">
        <f>VLOOKUP($A42,'Purchases and Sales Data'!$A:$K,11,FALSE)</f>
        <v>2150</v>
      </c>
      <c r="E42" s="208" t="s">
        <v>121</v>
      </c>
      <c r="F42" s="209">
        <v>10.195600000000001</v>
      </c>
      <c r="G42" s="222">
        <f t="shared" si="5"/>
        <v>44561</v>
      </c>
      <c r="H42" s="222"/>
      <c r="I42" s="191">
        <f t="shared" si="6"/>
        <v>21920.54</v>
      </c>
      <c r="J42" s="188">
        <f>SUMIF('Purchases and Sales Data'!$A$3:$A$146,'GCR Rate and Recovery'!$A42,'Purchases and Sales Data'!$H$3:$H$146)+SUMIF('Purchases and Sales Data'!$A$3:$A$146,'GCR Rate and Recovery'!$A42,'Purchases and Sales Data'!J42:J185)</f>
        <v>34344.909999999996</v>
      </c>
      <c r="L42" s="191">
        <f>VLOOKUP($A42,'Purchases and Sales Data'!$A:$R,14,FALSE)</f>
        <v>5428.32</v>
      </c>
      <c r="M42" s="191">
        <f>VLOOKUP($A42,'Purchases and Sales Data'!$A:$R,15,FALSE)</f>
        <v>1891.26</v>
      </c>
      <c r="N42" s="213">
        <f t="shared" si="3"/>
        <v>7319.58</v>
      </c>
    </row>
    <row r="43" spans="1:14" x14ac:dyDescent="0.2">
      <c r="A43" s="149">
        <f t="shared" si="1"/>
        <v>44682</v>
      </c>
      <c r="B43" s="44">
        <f t="shared" si="4"/>
        <v>44682</v>
      </c>
      <c r="C43" s="33">
        <f>VLOOKUP($A43,'Purchases and Sales Data'!$A:$K,11,FALSE)</f>
        <v>1685</v>
      </c>
      <c r="E43" s="208" t="s">
        <v>121</v>
      </c>
      <c r="F43" s="209">
        <v>10.195600000000001</v>
      </c>
      <c r="G43" s="222">
        <f t="shared" si="5"/>
        <v>44561</v>
      </c>
      <c r="H43" s="222"/>
      <c r="I43" s="191">
        <f t="shared" si="6"/>
        <v>17179.59</v>
      </c>
      <c r="J43" s="188">
        <f>SUMIF('Purchases and Sales Data'!$A$3:$A$146,'GCR Rate and Recovery'!$A43,'Purchases and Sales Data'!$H$3:$H$146)+SUMIF('Purchases and Sales Data'!$A$3:$A$146,'GCR Rate and Recovery'!$A43,'Purchases and Sales Data'!J43:J186)</f>
        <v>16689.96</v>
      </c>
      <c r="L43" s="191">
        <f>VLOOKUP($A43,'Purchases and Sales Data'!$A:$R,14,FALSE)</f>
        <v>5532.5</v>
      </c>
      <c r="M43" s="191">
        <f>VLOOKUP($A43,'Purchases and Sales Data'!$A:$R,15,FALSE)</f>
        <v>1246.44</v>
      </c>
      <c r="N43" s="213">
        <f t="shared" si="3"/>
        <v>6778.9400000000005</v>
      </c>
    </row>
    <row r="44" spans="1:14" x14ac:dyDescent="0.2">
      <c r="A44" s="149">
        <f t="shared" si="1"/>
        <v>44713</v>
      </c>
      <c r="B44" s="44">
        <f t="shared" si="4"/>
        <v>44713</v>
      </c>
      <c r="C44" s="33">
        <f>VLOOKUP($A44,'Purchases and Sales Data'!$A:$K,11,FALSE)</f>
        <v>3535</v>
      </c>
      <c r="E44" s="208" t="s">
        <v>121</v>
      </c>
      <c r="F44" s="209">
        <v>10.195600000000001</v>
      </c>
      <c r="G44" s="222">
        <f t="shared" si="5"/>
        <v>44561</v>
      </c>
      <c r="H44" s="222"/>
      <c r="I44" s="191">
        <f t="shared" si="6"/>
        <v>36041.449999999997</v>
      </c>
      <c r="J44" s="188">
        <f>SUMIF('Purchases and Sales Data'!$A$3:$A$146,'GCR Rate and Recovery'!$A44,'Purchases and Sales Data'!$H$3:$H$146)+SUMIF('Purchases and Sales Data'!$A$3:$A$146,'GCR Rate and Recovery'!$A44,'Purchases and Sales Data'!J44:J187)</f>
        <v>7715.7999999999993</v>
      </c>
      <c r="L44" s="191">
        <f>VLOOKUP($A44,'Purchases and Sales Data'!$A:$R,14,FALSE)</f>
        <v>17353.75</v>
      </c>
      <c r="M44" s="191">
        <f>VLOOKUP($A44,'Purchases and Sales Data'!$A:$R,15,FALSE)</f>
        <v>2756.73</v>
      </c>
      <c r="N44" s="213">
        <f t="shared" si="3"/>
        <v>20110.48</v>
      </c>
    </row>
    <row r="45" spans="1:14" x14ac:dyDescent="0.2">
      <c r="A45" s="149">
        <f t="shared" si="1"/>
        <v>44743</v>
      </c>
      <c r="B45" s="44">
        <f t="shared" si="4"/>
        <v>44743</v>
      </c>
      <c r="C45" s="33">
        <f>VLOOKUP($A45,'Purchases and Sales Data'!$A:$K,11,FALSE)</f>
        <v>2121</v>
      </c>
      <c r="E45" s="208" t="s">
        <v>122</v>
      </c>
      <c r="F45" s="209">
        <v>5.5667</v>
      </c>
      <c r="G45" s="222">
        <f t="shared" si="5"/>
        <v>44650</v>
      </c>
      <c r="H45" s="222"/>
      <c r="I45" s="191">
        <f t="shared" si="6"/>
        <v>11806.97</v>
      </c>
      <c r="J45" s="188">
        <f>SUMIF('Purchases and Sales Data'!$A$3:$A$146,'GCR Rate and Recovery'!$A45,'Purchases and Sales Data'!$H$3:$H$146)+SUMIF('Purchases and Sales Data'!$A$3:$A$146,'GCR Rate and Recovery'!$A45,'Purchases and Sales Data'!J45:J188)</f>
        <v>3459.8199999999997</v>
      </c>
      <c r="L45" s="191">
        <f>VLOOKUP($A45,'Purchases and Sales Data'!$A:$R,14,FALSE)</f>
        <v>8234.3799999999992</v>
      </c>
      <c r="M45" s="191">
        <f>VLOOKUP($A45,'Purchases and Sales Data'!$A:$R,15,FALSE)</f>
        <v>1867.85</v>
      </c>
      <c r="N45" s="213">
        <f t="shared" si="3"/>
        <v>10102.23</v>
      </c>
    </row>
    <row r="46" spans="1:14" x14ac:dyDescent="0.2">
      <c r="A46" s="149">
        <f t="shared" si="1"/>
        <v>44774</v>
      </c>
      <c r="B46" s="44">
        <f t="shared" si="4"/>
        <v>44774</v>
      </c>
      <c r="C46" s="33">
        <f>VLOOKUP($A46,'Purchases and Sales Data'!$A:$K,11,FALSE)</f>
        <v>1826</v>
      </c>
      <c r="E46" s="208" t="s">
        <v>122</v>
      </c>
      <c r="F46" s="209">
        <v>5.5667</v>
      </c>
      <c r="G46" s="222">
        <f t="shared" si="5"/>
        <v>44650</v>
      </c>
      <c r="H46" s="222"/>
      <c r="I46" s="191">
        <f t="shared" si="6"/>
        <v>10164.790000000001</v>
      </c>
      <c r="J46" s="188">
        <f>SUMIF('Purchases and Sales Data'!$A$3:$A$146,'GCR Rate and Recovery'!$A46,'Purchases and Sales Data'!$H$3:$H$146)+SUMIF('Purchases and Sales Data'!$A$3:$A$146,'GCR Rate and Recovery'!$A46,'Purchases and Sales Data'!J46:J189)</f>
        <v>4418.01</v>
      </c>
      <c r="L46" s="191">
        <f>VLOOKUP($A46,'Purchases and Sales Data'!$A:$R,14,FALSE)</f>
        <v>5455</v>
      </c>
      <c r="M46" s="191">
        <f>VLOOKUP($A46,'Purchases and Sales Data'!$A:$R,15,FALSE)</f>
        <v>1195.99</v>
      </c>
      <c r="N46" s="213">
        <f t="shared" si="3"/>
        <v>6650.99</v>
      </c>
    </row>
    <row r="47" spans="1:14" x14ac:dyDescent="0.2">
      <c r="A47" s="149">
        <f t="shared" si="1"/>
        <v>44805</v>
      </c>
      <c r="B47" s="44">
        <f t="shared" si="4"/>
        <v>44805</v>
      </c>
      <c r="C47" s="33">
        <f>VLOOKUP($A47,'Purchases and Sales Data'!$A:$K,11,FALSE)</f>
        <v>955</v>
      </c>
      <c r="E47" s="208" t="s">
        <v>122</v>
      </c>
      <c r="F47" s="209">
        <v>5.5667</v>
      </c>
      <c r="G47" s="222">
        <f t="shared" si="5"/>
        <v>44650</v>
      </c>
      <c r="H47" s="222"/>
      <c r="I47" s="191">
        <f t="shared" si="6"/>
        <v>5316.2</v>
      </c>
      <c r="J47" s="188">
        <f>SUMIF('Purchases and Sales Data'!$A$3:$A$146,'GCR Rate and Recovery'!$A47,'Purchases and Sales Data'!$H$3:$H$146)+SUMIF('Purchases and Sales Data'!$A$3:$A$146,'GCR Rate and Recovery'!$A47,'Purchases and Sales Data'!J47:J190)</f>
        <v>3478.14</v>
      </c>
      <c r="L47" s="191">
        <f>VLOOKUP($A47,'Purchases and Sales Data'!$A:$R,14,FALSE)</f>
        <v>15300.15</v>
      </c>
      <c r="M47" s="191">
        <f>VLOOKUP($A47,'Purchases and Sales Data'!$A:$R,15,FALSE)</f>
        <v>2082.19</v>
      </c>
      <c r="N47" s="213">
        <f t="shared" si="3"/>
        <v>17382.34</v>
      </c>
    </row>
    <row r="48" spans="1:14" x14ac:dyDescent="0.2">
      <c r="A48" s="149">
        <f t="shared" si="1"/>
        <v>44835</v>
      </c>
      <c r="B48" s="44">
        <f t="shared" si="4"/>
        <v>44835</v>
      </c>
      <c r="C48" s="33">
        <f>VLOOKUP($A48,'Purchases and Sales Data'!$A:$K,11,FALSE)</f>
        <v>5545</v>
      </c>
      <c r="E48" s="208" t="s">
        <v>123</v>
      </c>
      <c r="F48" s="209">
        <v>6.5275999999999996</v>
      </c>
      <c r="G48" s="222">
        <f t="shared" si="5"/>
        <v>44742</v>
      </c>
      <c r="H48" s="222"/>
      <c r="I48" s="191">
        <f t="shared" si="6"/>
        <v>36195.54</v>
      </c>
      <c r="J48" s="188">
        <f>SUMIF('Purchases and Sales Data'!$A$3:$A$146,'GCR Rate and Recovery'!$A48,'Purchases and Sales Data'!$H$3:$H$146)+SUMIF('Purchases and Sales Data'!$A$3:$A$146,'GCR Rate and Recovery'!$A48,'Purchases and Sales Data'!J48:J191)</f>
        <v>12586.31</v>
      </c>
      <c r="L48" s="191">
        <f>VLOOKUP($A48,'Purchases and Sales Data'!$A:$R,14,FALSE)</f>
        <v>23845.75</v>
      </c>
      <c r="M48" s="191">
        <f>VLOOKUP($A48,'Purchases and Sales Data'!$A:$R,15,FALSE)</f>
        <v>4676.6000000000004</v>
      </c>
      <c r="N48" s="213">
        <f t="shared" si="3"/>
        <v>28522.35</v>
      </c>
    </row>
    <row r="49" spans="1:14" x14ac:dyDescent="0.2">
      <c r="A49" s="149">
        <f t="shared" si="1"/>
        <v>44866</v>
      </c>
      <c r="B49" s="44">
        <f t="shared" si="4"/>
        <v>44866</v>
      </c>
      <c r="C49" s="33">
        <f>VLOOKUP($A49,'Purchases and Sales Data'!$A:$K,11,FALSE)</f>
        <v>4109</v>
      </c>
      <c r="E49" s="208" t="s">
        <v>123</v>
      </c>
      <c r="F49" s="209">
        <v>6.5275999999999996</v>
      </c>
      <c r="G49" s="222">
        <f t="shared" si="5"/>
        <v>44742</v>
      </c>
      <c r="H49" s="222"/>
      <c r="I49" s="191">
        <f t="shared" si="6"/>
        <v>26821.91</v>
      </c>
      <c r="J49" s="188">
        <f>SUMIF('Purchases and Sales Data'!$A$3:$A$146,'GCR Rate and Recovery'!$A49,'Purchases and Sales Data'!$H$3:$H$146)+SUMIF('Purchases and Sales Data'!$A$3:$A$146,'GCR Rate and Recovery'!$A49,'Purchases and Sales Data'!J49:J192)</f>
        <v>30520.36</v>
      </c>
      <c r="L49" s="191">
        <f>VLOOKUP($A49,'Purchases and Sales Data'!$A:$R,14,FALSE)</f>
        <v>32164.47</v>
      </c>
      <c r="M49" s="191">
        <f>VLOOKUP($A49,'Purchases and Sales Data'!$A:$R,15,FALSE)</f>
        <v>4326.1099999999997</v>
      </c>
      <c r="N49" s="213">
        <f t="shared" si="3"/>
        <v>36490.58</v>
      </c>
    </row>
    <row r="50" spans="1:14" x14ac:dyDescent="0.2">
      <c r="A50" s="149">
        <f t="shared" si="1"/>
        <v>44896</v>
      </c>
      <c r="B50" s="44">
        <f t="shared" si="4"/>
        <v>44896</v>
      </c>
      <c r="C50" s="33">
        <f>VLOOKUP($A50,'Purchases and Sales Data'!$A:$K,11,FALSE)</f>
        <v>4501</v>
      </c>
      <c r="E50" s="208" t="s">
        <v>123</v>
      </c>
      <c r="F50" s="209">
        <v>6.5275999999999996</v>
      </c>
      <c r="G50" s="222">
        <f t="shared" si="5"/>
        <v>44742</v>
      </c>
      <c r="H50" s="222"/>
      <c r="I50" s="191">
        <f t="shared" si="6"/>
        <v>29380.73</v>
      </c>
      <c r="J50" s="188">
        <f>SUMIF('Purchases and Sales Data'!$A$3:$A$146,'GCR Rate and Recovery'!$A50,'Purchases and Sales Data'!$H$3:$H$146)+SUMIF('Purchases and Sales Data'!$A$3:$A$146,'GCR Rate and Recovery'!$A50,'Purchases and Sales Data'!J50:J193)</f>
        <v>42865.590000000004</v>
      </c>
      <c r="L50" s="191">
        <f>VLOOKUP($A50,'Purchases and Sales Data'!$A:$R,14,FALSE)</f>
        <v>24288.75</v>
      </c>
      <c r="M50" s="191">
        <f>VLOOKUP($A50,'Purchases and Sales Data'!$A:$R,15,FALSE)</f>
        <v>5698.17</v>
      </c>
      <c r="N50" s="213">
        <f t="shared" si="3"/>
        <v>29986.92</v>
      </c>
    </row>
    <row r="51" spans="1:14" x14ac:dyDescent="0.2">
      <c r="A51" s="149">
        <f t="shared" si="1"/>
        <v>44927</v>
      </c>
      <c r="B51" s="44">
        <f t="shared" si="4"/>
        <v>44927</v>
      </c>
      <c r="C51" s="33">
        <f>VLOOKUP($A51,'Purchases and Sales Data'!$A:$K,11,FALSE)</f>
        <v>5186</v>
      </c>
      <c r="E51" s="208" t="s">
        <v>8</v>
      </c>
      <c r="F51" s="209">
        <v>5.7556000000000003</v>
      </c>
      <c r="G51" s="222">
        <f t="shared" si="5"/>
        <v>44834</v>
      </c>
      <c r="H51" s="222"/>
      <c r="I51" s="191">
        <f t="shared" si="6"/>
        <v>29848.54</v>
      </c>
      <c r="J51" s="188">
        <f>SUMIF('Purchases and Sales Data'!$A$3:$A$146,'GCR Rate and Recovery'!$A51,'Purchases and Sales Data'!$H$3:$H$146)+SUMIF('Purchases and Sales Data'!$A$3:$A$146,'GCR Rate and Recovery'!$A51,'Purchases and Sales Data'!J51:J194)</f>
        <v>45391.24</v>
      </c>
      <c r="L51" s="191">
        <f>VLOOKUP($A51,'Purchases and Sales Data'!$A:$R,14,FALSE)</f>
        <v>19092.400000000001</v>
      </c>
      <c r="M51" s="191">
        <f>VLOOKUP($A51,'Purchases and Sales Data'!$A:$R,15,FALSE)</f>
        <v>5024.3100000000004</v>
      </c>
      <c r="N51" s="213">
        <f t="shared" si="3"/>
        <v>24116.710000000003</v>
      </c>
    </row>
    <row r="52" spans="1:14" x14ac:dyDescent="0.2">
      <c r="A52" s="149">
        <f t="shared" si="1"/>
        <v>44958</v>
      </c>
      <c r="B52" s="44">
        <f t="shared" si="4"/>
        <v>44958</v>
      </c>
      <c r="C52" s="33">
        <f>VLOOKUP($A52,'Purchases and Sales Data'!$A:$K,11,FALSE)</f>
        <v>4631</v>
      </c>
      <c r="E52" s="208" t="s">
        <v>8</v>
      </c>
      <c r="F52" s="209">
        <v>5.7556000000000003</v>
      </c>
      <c r="G52" s="222">
        <f t="shared" si="5"/>
        <v>44834</v>
      </c>
      <c r="H52" s="222"/>
      <c r="I52" s="191">
        <f t="shared" si="6"/>
        <v>26654.18</v>
      </c>
      <c r="J52" s="188">
        <f>SUMIF('Purchases and Sales Data'!$A$3:$A$146,'GCR Rate and Recovery'!$A52,'Purchases and Sales Data'!$H$3:$H$146)+SUMIF('Purchases and Sales Data'!$A$3:$A$146,'GCR Rate and Recovery'!$A52,'Purchases and Sales Data'!J52:J195)</f>
        <v>40534.49</v>
      </c>
      <c r="L52" s="191">
        <f>VLOOKUP($A52,'Purchases and Sales Data'!$A:$R,14,FALSE)</f>
        <v>19723.830000000002</v>
      </c>
      <c r="M52" s="191">
        <f>VLOOKUP($A52,'Purchases and Sales Data'!$A:$R,15,FALSE)</f>
        <v>3836.01</v>
      </c>
      <c r="N52" s="213">
        <f t="shared" si="3"/>
        <v>23559.840000000004</v>
      </c>
    </row>
    <row r="53" spans="1:14" x14ac:dyDescent="0.2">
      <c r="A53" s="149">
        <f t="shared" si="1"/>
        <v>44986</v>
      </c>
      <c r="B53" s="44">
        <f t="shared" si="4"/>
        <v>44986</v>
      </c>
      <c r="C53" s="33">
        <f>VLOOKUP($A53,'Purchases and Sales Data'!$A:$K,11,FALSE)</f>
        <v>4683</v>
      </c>
      <c r="E53" s="208" t="s">
        <v>8</v>
      </c>
      <c r="F53" s="209">
        <v>5.7556000000000003</v>
      </c>
      <c r="G53" s="222">
        <f t="shared" si="5"/>
        <v>44834</v>
      </c>
      <c r="H53" s="222"/>
      <c r="I53" s="191">
        <f t="shared" si="6"/>
        <v>26953.47</v>
      </c>
      <c r="J53" s="188">
        <f>SUMIF('Purchases and Sales Data'!$A$3:$A$146,'GCR Rate and Recovery'!$A53,'Purchases and Sales Data'!$H$3:$H$146)+SUMIF('Purchases and Sales Data'!$A$3:$A$146,'GCR Rate and Recovery'!$A53,'Purchases and Sales Data'!J53:J196)</f>
        <v>40988.129999999997</v>
      </c>
      <c r="L53" s="191">
        <f>VLOOKUP($A53,'Purchases and Sales Data'!$A:$R,14,FALSE)</f>
        <v>6858</v>
      </c>
      <c r="M53" s="191">
        <f>VLOOKUP($A53,'Purchases and Sales Data'!$A:$R,15,FALSE)</f>
        <v>3791.04</v>
      </c>
      <c r="N53" s="213">
        <f t="shared" si="3"/>
        <v>10649.04</v>
      </c>
    </row>
    <row r="54" spans="1:14" x14ac:dyDescent="0.2">
      <c r="A54" s="149">
        <f t="shared" si="1"/>
        <v>45017</v>
      </c>
      <c r="B54" s="44">
        <f t="shared" si="4"/>
        <v>45017</v>
      </c>
      <c r="C54" s="33">
        <f>VLOOKUP($A54,'Purchases and Sales Data'!$A:$K,11,FALSE)</f>
        <v>2255</v>
      </c>
      <c r="E54" s="208" t="s">
        <v>9</v>
      </c>
      <c r="F54" s="209">
        <v>3.4611999999999998</v>
      </c>
      <c r="G54" s="222">
        <f t="shared" si="5"/>
        <v>44926</v>
      </c>
      <c r="H54" s="222"/>
      <c r="I54" s="191">
        <f t="shared" si="6"/>
        <v>7805.01</v>
      </c>
      <c r="J54" s="188">
        <f>SUMIF('Purchases and Sales Data'!$A$3:$A$146,'GCR Rate and Recovery'!$A54,'Purchases and Sales Data'!$H$3:$H$146)+SUMIF('Purchases and Sales Data'!$A$3:$A$146,'GCR Rate and Recovery'!$A54,'Purchases and Sales Data'!J54:J197)</f>
        <v>14347.630000000001</v>
      </c>
      <c r="L54" s="191">
        <f>VLOOKUP($A54,'Purchases and Sales Data'!$A:$R,14,FALSE)</f>
        <v>14126.4</v>
      </c>
      <c r="M54" s="191">
        <f>VLOOKUP($A54,'Purchases and Sales Data'!$A:$R,15,FALSE)</f>
        <v>2703.64</v>
      </c>
      <c r="N54" s="213">
        <f t="shared" si="3"/>
        <v>16830.04</v>
      </c>
    </row>
    <row r="55" spans="1:14" x14ac:dyDescent="0.2">
      <c r="A55" s="149">
        <f t="shared" si="1"/>
        <v>45047</v>
      </c>
      <c r="B55" s="44">
        <f t="shared" si="4"/>
        <v>45047</v>
      </c>
      <c r="C55" s="33">
        <f>VLOOKUP($A55,'Purchases and Sales Data'!$A:$K,11,FALSE)</f>
        <v>3718</v>
      </c>
      <c r="E55" s="208" t="s">
        <v>9</v>
      </c>
      <c r="F55" s="209">
        <v>3.4611999999999998</v>
      </c>
      <c r="G55" s="222">
        <f t="shared" si="5"/>
        <v>44926</v>
      </c>
      <c r="H55" s="222"/>
      <c r="I55" s="191">
        <f t="shared" si="6"/>
        <v>12868.74</v>
      </c>
      <c r="J55" s="188">
        <f>SUMIF('Purchases and Sales Data'!$A$3:$A$146,'GCR Rate and Recovery'!$A55,'Purchases and Sales Data'!$H$3:$H$146)+SUMIF('Purchases and Sales Data'!$A$3:$A$146,'GCR Rate and Recovery'!$A55,'Purchases and Sales Data'!J55:J198)</f>
        <v>5480.73</v>
      </c>
      <c r="L55" s="191">
        <f>VLOOKUP($A55,'Purchases and Sales Data'!$A:$R,14,FALSE)</f>
        <v>14606.04</v>
      </c>
      <c r="M55" s="191">
        <f>VLOOKUP($A55,'Purchases and Sales Data'!$A:$R,15,FALSE)</f>
        <v>3384.67</v>
      </c>
      <c r="N55" s="213">
        <f t="shared" si="3"/>
        <v>17990.71</v>
      </c>
    </row>
    <row r="56" spans="1:14" x14ac:dyDescent="0.2">
      <c r="A56" s="149">
        <f t="shared" si="1"/>
        <v>45078</v>
      </c>
      <c r="B56" s="44">
        <f t="shared" si="4"/>
        <v>45078</v>
      </c>
      <c r="C56" s="33">
        <f>VLOOKUP($A56,'Purchases and Sales Data'!$A:$K,11,FALSE)</f>
        <v>1167</v>
      </c>
      <c r="E56" s="208" t="s">
        <v>9</v>
      </c>
      <c r="F56" s="209">
        <v>3.4611999999999998</v>
      </c>
      <c r="G56" s="222">
        <f t="shared" si="5"/>
        <v>44926</v>
      </c>
      <c r="H56" s="222"/>
      <c r="I56" s="191">
        <f t="shared" si="6"/>
        <v>4039.22</v>
      </c>
      <c r="J56" s="188">
        <f>SUMIF('Purchases and Sales Data'!$A$3:$A$146,'GCR Rate and Recovery'!$A56,'Purchases and Sales Data'!$H$3:$H$146)+SUMIF('Purchases and Sales Data'!$A$3:$A$146,'GCR Rate and Recovery'!$A56,'Purchases and Sales Data'!J56:J199)</f>
        <v>4054.48</v>
      </c>
      <c r="L56" s="191">
        <f>VLOOKUP($A56,'Purchases and Sales Data'!$A:$R,14,FALSE)</f>
        <v>14159.25</v>
      </c>
      <c r="M56" s="191">
        <f>VLOOKUP($A56,'Purchases and Sales Data'!$A:$R,15,FALSE)</f>
        <v>510.78</v>
      </c>
      <c r="N56" s="213">
        <f t="shared" si="3"/>
        <v>14670.03</v>
      </c>
    </row>
    <row r="57" spans="1:14" x14ac:dyDescent="0.2">
      <c r="A57" s="149">
        <f t="shared" si="1"/>
        <v>45108</v>
      </c>
      <c r="B57" s="44">
        <f t="shared" si="4"/>
        <v>45108</v>
      </c>
      <c r="C57" s="33">
        <f>VLOOKUP($A57,'Purchases and Sales Data'!$A:$K,11,FALSE)</f>
        <v>1428</v>
      </c>
      <c r="E57" s="208" t="s">
        <v>5</v>
      </c>
      <c r="F57" s="209">
        <v>4.0663</v>
      </c>
      <c r="G57" s="222">
        <f t="shared" si="5"/>
        <v>45015</v>
      </c>
      <c r="H57" s="222"/>
      <c r="I57" s="191">
        <f t="shared" si="6"/>
        <v>5806.68</v>
      </c>
      <c r="J57" s="188">
        <f>SUMIF('Purchases and Sales Data'!$A$3:$A$146,'GCR Rate and Recovery'!$A57,'Purchases and Sales Data'!$H$3:$H$146)+SUMIF('Purchases and Sales Data'!$A$3:$A$146,'GCR Rate and Recovery'!$A57,'Purchases and Sales Data'!J57:J200)</f>
        <v>3017.9399999999996</v>
      </c>
      <c r="L57" s="191">
        <f>VLOOKUP($A57,'Purchases and Sales Data'!$A:$R,14,FALSE)</f>
        <v>14614.51</v>
      </c>
      <c r="M57" s="191">
        <f>VLOOKUP($A57,'Purchases and Sales Data'!$A:$R,15,FALSE)</f>
        <v>1600</v>
      </c>
      <c r="N57" s="213">
        <f t="shared" si="3"/>
        <v>16214.51</v>
      </c>
    </row>
    <row r="58" spans="1:14" x14ac:dyDescent="0.2">
      <c r="A58" s="149">
        <f t="shared" si="1"/>
        <v>45139</v>
      </c>
      <c r="B58" s="44">
        <f t="shared" si="4"/>
        <v>45139</v>
      </c>
      <c r="C58" s="33">
        <f>VLOOKUP($A58,'Purchases and Sales Data'!$A:$K,11,FALSE)</f>
        <v>2370</v>
      </c>
      <c r="E58" s="208" t="s">
        <v>5</v>
      </c>
      <c r="F58" s="209">
        <v>4.0663</v>
      </c>
      <c r="G58" s="222">
        <f t="shared" si="5"/>
        <v>45015</v>
      </c>
      <c r="H58" s="222"/>
      <c r="I58" s="191">
        <f t="shared" si="6"/>
        <v>9637.1299999999992</v>
      </c>
      <c r="J58" s="188">
        <f>SUMIF('Purchases and Sales Data'!$A$3:$A$146,'GCR Rate and Recovery'!$A58,'Purchases and Sales Data'!$H$3:$H$146)+SUMIF('Purchases and Sales Data'!$A$3:$A$146,'GCR Rate and Recovery'!$A58,'Purchases and Sales Data'!J58:J201)</f>
        <v>3465.22</v>
      </c>
      <c r="L58" s="191">
        <f>VLOOKUP($A58,'Purchases and Sales Data'!$A:$R,14,FALSE)</f>
        <v>14573.19</v>
      </c>
      <c r="M58" s="191">
        <f>VLOOKUP($A58,'Purchases and Sales Data'!$A:$R,15,FALSE)</f>
        <v>2506.29</v>
      </c>
      <c r="N58" s="213">
        <f t="shared" si="3"/>
        <v>17079.48</v>
      </c>
    </row>
    <row r="59" spans="1:14" x14ac:dyDescent="0.2">
      <c r="A59" s="149">
        <f t="shared" si="1"/>
        <v>45170</v>
      </c>
      <c r="B59" s="44">
        <f t="shared" si="4"/>
        <v>45170</v>
      </c>
      <c r="C59" s="33">
        <f>VLOOKUP($A59,'Purchases and Sales Data'!$A:$K,11,FALSE)</f>
        <v>1281</v>
      </c>
      <c r="E59" s="208" t="s">
        <v>5</v>
      </c>
      <c r="F59" s="209">
        <v>4.0663</v>
      </c>
      <c r="G59" s="222">
        <f t="shared" si="5"/>
        <v>45015</v>
      </c>
      <c r="H59" s="222"/>
      <c r="I59" s="191">
        <f t="shared" si="6"/>
        <v>5208.93</v>
      </c>
      <c r="J59" s="188">
        <f>SUMIF('Purchases and Sales Data'!$A$3:$A$146,'GCR Rate and Recovery'!$A59,'Purchases and Sales Data'!$H$3:$H$146)+SUMIF('Purchases and Sales Data'!$A$3:$A$146,'GCR Rate and Recovery'!$A59,'Purchases and Sales Data'!J59:J202)</f>
        <v>2759.05</v>
      </c>
      <c r="L59" s="191">
        <f>VLOOKUP($A59,'Purchases and Sales Data'!$A:$R,14,FALSE)</f>
        <v>14093.55</v>
      </c>
      <c r="M59" s="191">
        <f>VLOOKUP($A59,'Purchases and Sales Data'!$A:$R,15,FALSE)</f>
        <v>1006.29</v>
      </c>
      <c r="N59" s="213">
        <f t="shared" si="3"/>
        <v>15099.84</v>
      </c>
    </row>
    <row r="60" spans="1:14" x14ac:dyDescent="0.2">
      <c r="A60" s="149">
        <f t="shared" si="1"/>
        <v>45200</v>
      </c>
      <c r="B60" s="44">
        <f t="shared" si="4"/>
        <v>45200</v>
      </c>
      <c r="C60" s="33">
        <f>VLOOKUP($A60,'Purchases and Sales Data'!$A:$K,11,FALSE)</f>
        <v>758.69999999999993</v>
      </c>
      <c r="E60" s="208" t="s">
        <v>6</v>
      </c>
      <c r="F60" s="209">
        <v>5.4179000000000004</v>
      </c>
      <c r="G60" s="222">
        <f t="shared" si="5"/>
        <v>45107</v>
      </c>
      <c r="H60" s="222"/>
      <c r="I60" s="191">
        <f t="shared" si="6"/>
        <v>4110.5600000000004</v>
      </c>
      <c r="J60" s="188">
        <f>SUMIF('Purchases and Sales Data'!$A$3:$A$146,'GCR Rate and Recovery'!$A60,'Purchases and Sales Data'!$H$3:$H$146)+SUMIF('Purchases and Sales Data'!$A$3:$A$146,'GCR Rate and Recovery'!$A60,'Purchases and Sales Data'!J60:J203)</f>
        <v>6518.3600000000006</v>
      </c>
      <c r="L60" s="191">
        <f>VLOOKUP($A60,'Purchases and Sales Data'!$A:$R,14,FALSE)</f>
        <v>14557.28</v>
      </c>
      <c r="M60" s="191">
        <f>VLOOKUP($A60,'Purchases and Sales Data'!$A:$R,15,FALSE)</f>
        <v>1322.39</v>
      </c>
      <c r="N60" s="213">
        <f t="shared" si="3"/>
        <v>15879.67</v>
      </c>
    </row>
    <row r="61" spans="1:14" x14ac:dyDescent="0.2">
      <c r="A61" s="149">
        <f t="shared" si="1"/>
        <v>45231</v>
      </c>
      <c r="B61" s="44">
        <f t="shared" si="4"/>
        <v>45231</v>
      </c>
      <c r="C61" s="33">
        <f>VLOOKUP($A61,'Purchases and Sales Data'!$A:$K,11,FALSE)</f>
        <v>1929.8</v>
      </c>
      <c r="E61" s="208" t="s">
        <v>6</v>
      </c>
      <c r="F61" s="209">
        <v>5.4179000000000004</v>
      </c>
      <c r="G61" s="222">
        <f t="shared" si="5"/>
        <v>45107</v>
      </c>
      <c r="H61" s="222"/>
      <c r="I61" s="191">
        <f t="shared" si="6"/>
        <v>10455.459999999999</v>
      </c>
      <c r="J61" s="188">
        <f>SUMIF('Purchases and Sales Data'!$A$3:$A$146,'GCR Rate and Recovery'!$A61,'Purchases and Sales Data'!$H$3:$H$146)+SUMIF('Purchases and Sales Data'!$A$3:$A$146,'GCR Rate and Recovery'!$A61,'Purchases and Sales Data'!J61:J204)</f>
        <v>15767.18</v>
      </c>
      <c r="L61" s="191">
        <f>VLOOKUP($A61,'Purchases and Sales Data'!$A:$R,14,FALSE)</f>
        <v>4286.25</v>
      </c>
      <c r="M61" s="191">
        <f>VLOOKUP($A61,'Purchases and Sales Data'!$A:$R,15,FALSE)</f>
        <v>3549.19</v>
      </c>
      <c r="N61" s="213">
        <f t="shared" si="3"/>
        <v>7835.4400000000005</v>
      </c>
    </row>
    <row r="62" spans="1:14" x14ac:dyDescent="0.2">
      <c r="A62" s="149">
        <f t="shared" si="1"/>
        <v>45261</v>
      </c>
      <c r="B62" s="44">
        <f t="shared" si="4"/>
        <v>45261</v>
      </c>
      <c r="C62" s="33">
        <f>VLOOKUP($A62,'Purchases and Sales Data'!$A:$K,11,FALSE)</f>
        <v>4223.6000000000004</v>
      </c>
      <c r="E62" s="208" t="s">
        <v>6</v>
      </c>
      <c r="F62" s="209">
        <v>5.4179000000000004</v>
      </c>
      <c r="G62" s="222">
        <f t="shared" si="5"/>
        <v>45107</v>
      </c>
      <c r="H62" s="222"/>
      <c r="I62" s="191">
        <f t="shared" si="6"/>
        <v>22883.040000000001</v>
      </c>
      <c r="J62" s="188">
        <f>SUMIF('Purchases and Sales Data'!$A$3:$A$146,'GCR Rate and Recovery'!$A62,'Purchases and Sales Data'!$H$3:$H$146)+SUMIF('Purchases and Sales Data'!$A$3:$A$146,'GCR Rate and Recovery'!$A62,'Purchases and Sales Data'!J62:J205)</f>
        <v>32660.73</v>
      </c>
      <c r="L62" s="191">
        <f>VLOOKUP($A62,'Purchases and Sales Data'!$A:$R,14,FALSE)</f>
        <v>4286.25</v>
      </c>
      <c r="M62" s="191">
        <f>VLOOKUP($A62,'Purchases and Sales Data'!$A:$R,15,FALSE)</f>
        <v>4623.79</v>
      </c>
      <c r="N62" s="213">
        <f t="shared" si="3"/>
        <v>8910.0400000000009</v>
      </c>
    </row>
    <row r="63" spans="1:14" x14ac:dyDescent="0.2">
      <c r="A63" s="149">
        <f t="shared" si="1"/>
        <v>45292</v>
      </c>
      <c r="B63" s="44">
        <f t="shared" si="4"/>
        <v>45292</v>
      </c>
      <c r="C63" s="33">
        <f>VLOOKUP($A63,'Purchases and Sales Data'!$A:$K,11,FALSE)</f>
        <v>8441.4</v>
      </c>
      <c r="E63" s="208" t="s">
        <v>124</v>
      </c>
      <c r="F63" s="209">
        <v>5.8064</v>
      </c>
      <c r="G63" s="222">
        <f t="shared" si="5"/>
        <v>45199</v>
      </c>
      <c r="H63" s="222"/>
      <c r="I63" s="191">
        <f t="shared" si="6"/>
        <v>49014.14</v>
      </c>
      <c r="J63" s="188">
        <f>SUMIF('Purchases and Sales Data'!$A$3:$A$146,'GCR Rate and Recovery'!$A63,'Purchases and Sales Data'!$H$3:$H$146)+SUMIF('Purchases and Sales Data'!$A$3:$A$146,'GCR Rate and Recovery'!$A63,'Purchases and Sales Data'!J63:J206)</f>
        <v>72503.23</v>
      </c>
      <c r="L63" s="191">
        <f>VLOOKUP($A63,'Purchases and Sales Data'!$A:$R,14,FALSE)</f>
        <v>6784.9</v>
      </c>
      <c r="M63" s="191">
        <f>VLOOKUP($A63,'Purchases and Sales Data'!$A:$R,15,FALSE)</f>
        <v>7195.37</v>
      </c>
      <c r="N63" s="213">
        <f t="shared" si="3"/>
        <v>13980.27</v>
      </c>
    </row>
    <row r="64" spans="1:14" x14ac:dyDescent="0.2">
      <c r="A64" s="149">
        <f t="shared" si="1"/>
        <v>45323</v>
      </c>
      <c r="B64" s="44">
        <f t="shared" si="4"/>
        <v>45323</v>
      </c>
      <c r="C64" s="33">
        <f>VLOOKUP($A64,'Purchases and Sales Data'!$A:$K,11,FALSE)</f>
        <v>3438.4</v>
      </c>
      <c r="E64" s="208" t="s">
        <v>124</v>
      </c>
      <c r="F64" s="209">
        <v>5.8064</v>
      </c>
      <c r="G64" s="222">
        <f t="shared" si="5"/>
        <v>45199</v>
      </c>
      <c r="H64" s="222"/>
      <c r="I64" s="191">
        <f t="shared" si="6"/>
        <v>19964.73</v>
      </c>
      <c r="J64" s="188">
        <f>SUMIF('Purchases and Sales Data'!$A$3:$A$146,'GCR Rate and Recovery'!$A64,'Purchases and Sales Data'!$H$3:$H$146)+SUMIF('Purchases and Sales Data'!$A$3:$A$146,'GCR Rate and Recovery'!$A64,'Purchases and Sales Data'!J64:J207)</f>
        <v>29548.440000000002</v>
      </c>
      <c r="L64" s="191">
        <f>VLOOKUP($A64,'Purchases and Sales Data'!$A:$R,14,FALSE)</f>
        <v>6499.15</v>
      </c>
      <c r="M64" s="191">
        <f>VLOOKUP($A64,'Purchases and Sales Data'!$A:$R,15,FALSE)</f>
        <v>4100.42</v>
      </c>
      <c r="N64" s="213">
        <f t="shared" si="3"/>
        <v>10599.57</v>
      </c>
    </row>
    <row r="65" spans="1:14" x14ac:dyDescent="0.2">
      <c r="A65" s="149">
        <f t="shared" si="1"/>
        <v>45352</v>
      </c>
      <c r="B65" s="44">
        <f t="shared" si="4"/>
        <v>45352</v>
      </c>
      <c r="C65" s="33">
        <f>VLOOKUP($A65,'Purchases and Sales Data'!$A:$K,11,FALSE)</f>
        <v>4111.7</v>
      </c>
      <c r="E65" s="208" t="s">
        <v>124</v>
      </c>
      <c r="F65" s="209">
        <v>5.8064</v>
      </c>
      <c r="G65" s="222">
        <f t="shared" si="5"/>
        <v>45199</v>
      </c>
      <c r="H65" s="222"/>
      <c r="I65" s="191">
        <f t="shared" si="6"/>
        <v>23874.17</v>
      </c>
      <c r="J65" s="188">
        <f>SUMIF('Purchases and Sales Data'!$A$3:$A$146,'GCR Rate and Recovery'!$A65,'Purchases and Sales Data'!$H$3:$H$146)+SUMIF('Purchases and Sales Data'!$A$3:$A$146,'GCR Rate and Recovery'!$A65,'Purchases and Sales Data'!J65:J208)</f>
        <v>35331.82</v>
      </c>
      <c r="L65" s="191">
        <f>VLOOKUP($A65,'Purchases and Sales Data'!$A:$R,14,FALSE)</f>
        <v>6858</v>
      </c>
      <c r="M65" s="191">
        <f>VLOOKUP($A65,'Purchases and Sales Data'!$A:$R,15,FALSE)</f>
        <v>3015.89</v>
      </c>
      <c r="N65" s="213">
        <f t="shared" si="3"/>
        <v>9873.89</v>
      </c>
    </row>
    <row r="66" spans="1:14" x14ac:dyDescent="0.2">
      <c r="A66" s="149">
        <f t="shared" si="1"/>
        <v>45383</v>
      </c>
      <c r="B66" s="44">
        <f t="shared" si="4"/>
        <v>45383</v>
      </c>
      <c r="C66" s="33">
        <f>VLOOKUP($A66,'Purchases and Sales Data'!$A:$K,11,FALSE)</f>
        <v>1800</v>
      </c>
      <c r="E66" s="208" t="s">
        <v>125</v>
      </c>
      <c r="F66" s="209">
        <v>5.1132</v>
      </c>
      <c r="G66" s="222">
        <f t="shared" si="5"/>
        <v>45291</v>
      </c>
      <c r="H66" s="222"/>
      <c r="I66" s="191">
        <f t="shared" si="6"/>
        <v>9203.76</v>
      </c>
      <c r="J66" s="188">
        <f>SUMIF('Purchases and Sales Data'!$A$3:$A$146,'GCR Rate and Recovery'!$A66,'Purchases and Sales Data'!$H$3:$H$146)+SUMIF('Purchases and Sales Data'!$A$3:$A$146,'GCR Rate and Recovery'!$A66,'Purchases and Sales Data'!J66:J209)</f>
        <v>15467.720000000001</v>
      </c>
      <c r="L66" s="191">
        <f>VLOOKUP($A66,'Purchases and Sales Data'!$A:$R,14,FALSE)</f>
        <v>6286.5</v>
      </c>
      <c r="M66" s="191">
        <f>VLOOKUP($A66,'Purchases and Sales Data'!$A:$R,15,FALSE)</f>
        <v>1789.03</v>
      </c>
      <c r="N66" s="213">
        <f t="shared" si="3"/>
        <v>8075.53</v>
      </c>
    </row>
    <row r="67" spans="1:14" x14ac:dyDescent="0.2">
      <c r="A67" s="149">
        <f t="shared" si="1"/>
        <v>45413</v>
      </c>
      <c r="B67" s="44">
        <f t="shared" si="4"/>
        <v>45413</v>
      </c>
      <c r="C67" s="33">
        <f>VLOOKUP($A67,'Purchases and Sales Data'!$A:$K,11,FALSE)</f>
        <v>1592.1</v>
      </c>
      <c r="E67" s="208" t="s">
        <v>125</v>
      </c>
      <c r="F67" s="209">
        <v>5.1132</v>
      </c>
      <c r="G67" s="222">
        <f t="shared" ref="G67:G98" si="7">IF(E67="","",IF(E67=E66,G66,EDATE(EOMONTH(B67,-1),-3)))</f>
        <v>45291</v>
      </c>
      <c r="H67" s="222"/>
      <c r="I67" s="191">
        <f t="shared" ref="I67:I98" si="8">ROUND(C67*F67,2)</f>
        <v>8140.73</v>
      </c>
      <c r="J67" s="188">
        <f>SUMIF('Purchases and Sales Data'!$A$3:$A$146,'GCR Rate and Recovery'!$A67,'Purchases and Sales Data'!$H$3:$H$146)+SUMIF('Purchases and Sales Data'!$A$3:$A$146,'GCR Rate and Recovery'!$A67,'Purchases and Sales Data'!J67:J210)</f>
        <v>7011.32</v>
      </c>
      <c r="L67" s="191">
        <f>VLOOKUP($A67,'Purchases and Sales Data'!$A:$R,14,FALSE)</f>
        <v>6572.25</v>
      </c>
      <c r="M67" s="191">
        <f>VLOOKUP($A67,'Purchases and Sales Data'!$A:$R,15,FALSE)</f>
        <v>2751.88</v>
      </c>
      <c r="N67" s="213">
        <f t="shared" si="3"/>
        <v>9324.130000000001</v>
      </c>
    </row>
    <row r="68" spans="1:14" x14ac:dyDescent="0.2">
      <c r="A68" s="149">
        <f t="shared" ref="A68:A131" si="9">EOMONTH((B68),-1)+1</f>
        <v>45444</v>
      </c>
      <c r="B68" s="44">
        <f t="shared" si="4"/>
        <v>45444</v>
      </c>
      <c r="C68" s="33">
        <f>VLOOKUP($A68,'Purchases and Sales Data'!$A:$K,11,FALSE)</f>
        <v>1930.4</v>
      </c>
      <c r="E68" s="208" t="s">
        <v>125</v>
      </c>
      <c r="F68" s="209">
        <v>5.1132</v>
      </c>
      <c r="G68" s="222">
        <f t="shared" si="7"/>
        <v>45291</v>
      </c>
      <c r="H68" s="222"/>
      <c r="I68" s="191">
        <f t="shared" si="8"/>
        <v>9870.52</v>
      </c>
      <c r="J68" s="188">
        <f>SUMIF('Purchases and Sales Data'!$A$3:$A$146,'GCR Rate and Recovery'!$A68,'Purchases and Sales Data'!$H$3:$H$146)+SUMIF('Purchases and Sales Data'!$A$3:$A$146,'GCR Rate and Recovery'!$A68,'Purchases and Sales Data'!J68:J211)</f>
        <v>4315.4400000000005</v>
      </c>
      <c r="L68" s="191">
        <f>VLOOKUP($A68,'Purchases and Sales Data'!$A:$R,14,FALSE)</f>
        <v>6572.25</v>
      </c>
      <c r="M68" s="191">
        <f>VLOOKUP($A68,'Purchases and Sales Data'!$A:$R,15,FALSE)</f>
        <v>528.79</v>
      </c>
      <c r="N68" s="213">
        <f t="shared" ref="N68:N131" si="10">SUM(L68+M68)</f>
        <v>7101.04</v>
      </c>
    </row>
    <row r="69" spans="1:14" x14ac:dyDescent="0.2">
      <c r="A69" s="149">
        <f t="shared" si="9"/>
        <v>45474</v>
      </c>
      <c r="B69" s="44">
        <f t="shared" si="4"/>
        <v>45474</v>
      </c>
      <c r="C69" s="33">
        <f>VLOOKUP($A69,'Purchases and Sales Data'!$A:$K,11,FALSE)</f>
        <v>482.2</v>
      </c>
      <c r="E69" s="208" t="s">
        <v>125</v>
      </c>
      <c r="F69" s="209">
        <v>5.1132</v>
      </c>
      <c r="G69" s="222">
        <f t="shared" si="7"/>
        <v>45291</v>
      </c>
      <c r="H69" s="222"/>
      <c r="I69" s="191">
        <f t="shared" si="8"/>
        <v>2465.59</v>
      </c>
      <c r="J69" s="188">
        <f>SUMIF('Purchases and Sales Data'!$A$3:$A$146,'GCR Rate and Recovery'!$A69,'Purchases and Sales Data'!$H$3:$H$146)+SUMIF('Purchases and Sales Data'!$A$3:$A$146,'GCR Rate and Recovery'!$A69,'Purchases and Sales Data'!J69:J212)</f>
        <v>3998.7</v>
      </c>
      <c r="L69" s="191">
        <f>VLOOKUP($A69,'Purchases and Sales Data'!$A:$R,14,FALSE)</f>
        <v>6645.35</v>
      </c>
      <c r="M69" s="191">
        <f>VLOOKUP($A69,'Purchases and Sales Data'!$A:$R,15,FALSE)</f>
        <v>378.3</v>
      </c>
      <c r="N69" s="213">
        <f t="shared" si="10"/>
        <v>7023.6500000000005</v>
      </c>
    </row>
    <row r="70" spans="1:14" x14ac:dyDescent="0.2">
      <c r="A70" s="149">
        <f t="shared" si="9"/>
        <v>45505</v>
      </c>
      <c r="B70" s="44">
        <f t="shared" ref="B70:B86" si="11">EDATE(B69,1)</f>
        <v>45505</v>
      </c>
      <c r="C70" s="33">
        <f>VLOOKUP($A70,'Purchases and Sales Data'!$A:$K,11,FALSE)</f>
        <v>1536.8</v>
      </c>
      <c r="E70" s="208" t="s">
        <v>125</v>
      </c>
      <c r="F70" s="209">
        <v>5.1132</v>
      </c>
      <c r="G70" s="222">
        <f t="shared" si="7"/>
        <v>45291</v>
      </c>
      <c r="H70" s="222"/>
      <c r="I70" s="191">
        <f t="shared" si="8"/>
        <v>7857.97</v>
      </c>
      <c r="J70" s="188">
        <f>SUMIF('Purchases and Sales Data'!$A$3:$A$146,'GCR Rate and Recovery'!$A70,'Purchases and Sales Data'!$H$3:$H$146)+SUMIF('Purchases and Sales Data'!$A$3:$A$146,'GCR Rate and Recovery'!$A70,'Purchases and Sales Data'!J70:J213)</f>
        <v>3215.39</v>
      </c>
      <c r="L70" s="191">
        <f>VLOOKUP($A70,'Purchases and Sales Data'!$A:$R,14,FALSE)</f>
        <v>6286.5</v>
      </c>
      <c r="M70" s="191">
        <f>VLOOKUP($A70,'Purchases and Sales Data'!$A:$R,15,FALSE)</f>
        <v>3241.08</v>
      </c>
      <c r="N70" s="213">
        <f t="shared" si="10"/>
        <v>9527.58</v>
      </c>
    </row>
    <row r="71" spans="1:14" x14ac:dyDescent="0.2">
      <c r="A71" s="149">
        <f t="shared" si="9"/>
        <v>45536</v>
      </c>
      <c r="B71" s="44">
        <f t="shared" si="11"/>
        <v>45536</v>
      </c>
      <c r="C71" s="33">
        <f>VLOOKUP($A71,'Purchases and Sales Data'!$A:$K,11,FALSE)</f>
        <v>2147.1</v>
      </c>
      <c r="E71" s="208" t="s">
        <v>125</v>
      </c>
      <c r="F71" s="209">
        <v>5.1132</v>
      </c>
      <c r="G71" s="222">
        <f t="shared" si="7"/>
        <v>45291</v>
      </c>
      <c r="H71" s="222"/>
      <c r="I71" s="191">
        <f t="shared" si="8"/>
        <v>10978.55</v>
      </c>
      <c r="J71" s="188">
        <f>SUMIF('Purchases and Sales Data'!$A$3:$A$146,'GCR Rate and Recovery'!$A71,'Purchases and Sales Data'!$H$3:$H$146)+SUMIF('Purchases and Sales Data'!$A$3:$A$146,'GCR Rate and Recovery'!$A71,'Purchases and Sales Data'!J71:J214)</f>
        <v>4078.54</v>
      </c>
      <c r="L71" s="191">
        <f>VLOOKUP($A71,'Purchases and Sales Data'!$A:$R,14,FALSE)</f>
        <v>6000.75</v>
      </c>
      <c r="M71" s="191">
        <f>VLOOKUP($A71,'Purchases and Sales Data'!$A:$R,15,FALSE)</f>
        <v>513.49</v>
      </c>
      <c r="N71" s="213">
        <f t="shared" si="10"/>
        <v>6514.24</v>
      </c>
    </row>
    <row r="72" spans="1:14" x14ac:dyDescent="0.2">
      <c r="A72" s="149">
        <f t="shared" si="9"/>
        <v>45566</v>
      </c>
      <c r="B72" s="44">
        <f t="shared" si="11"/>
        <v>45566</v>
      </c>
      <c r="C72" s="33">
        <f>VLOOKUP($A72,'Purchases and Sales Data'!$A:$K,11,FALSE)</f>
        <v>738.4</v>
      </c>
      <c r="E72" s="208" t="s">
        <v>125</v>
      </c>
      <c r="F72" s="209">
        <v>5.1132</v>
      </c>
      <c r="G72" s="222">
        <f t="shared" si="7"/>
        <v>45291</v>
      </c>
      <c r="H72" s="222"/>
      <c r="I72" s="191">
        <f t="shared" si="8"/>
        <v>3775.59</v>
      </c>
      <c r="J72" s="188">
        <f>SUMIF('Purchases and Sales Data'!$A$3:$A$146,'GCR Rate and Recovery'!$A72,'Purchases and Sales Data'!$H$3:$H$146)+SUMIF('Purchases and Sales Data'!$A$3:$A$146,'GCR Rate and Recovery'!$A72,'Purchases and Sales Data'!J72:J215)</f>
        <v>6100.23</v>
      </c>
      <c r="L72" s="191">
        <f>VLOOKUP($A72,'Purchases and Sales Data'!$A:$R,14,FALSE)</f>
        <v>6146.95</v>
      </c>
      <c r="M72" s="191">
        <f>VLOOKUP($A72,'Purchases and Sales Data'!$A:$R,15,FALSE)</f>
        <v>1058.44</v>
      </c>
      <c r="N72" s="213">
        <f t="shared" si="10"/>
        <v>7205.3899999999994</v>
      </c>
    </row>
    <row r="73" spans="1:14" x14ac:dyDescent="0.2">
      <c r="A73" s="149">
        <f t="shared" si="9"/>
        <v>45597</v>
      </c>
      <c r="B73" s="44">
        <f t="shared" si="11"/>
        <v>45597</v>
      </c>
      <c r="C73" s="33">
        <f>VLOOKUP($A73,'Purchases and Sales Data'!$A:$K,11,FALSE)</f>
        <v>1150</v>
      </c>
      <c r="E73" s="208" t="s">
        <v>125</v>
      </c>
      <c r="F73" s="209">
        <v>5.1132</v>
      </c>
      <c r="G73" s="222">
        <f t="shared" si="7"/>
        <v>45291</v>
      </c>
      <c r="H73" s="222"/>
      <c r="I73" s="191">
        <f t="shared" si="8"/>
        <v>5880.18</v>
      </c>
      <c r="J73" s="188">
        <f>SUMIF('Purchases and Sales Data'!$A$3:$A$146,'GCR Rate and Recovery'!$A73,'Purchases and Sales Data'!$H$3:$H$146)+SUMIF('Purchases and Sales Data'!$A$3:$A$146,'GCR Rate and Recovery'!$A73,'Purchases and Sales Data'!J73:J216)</f>
        <v>9506.49</v>
      </c>
      <c r="L73" s="191">
        <f>VLOOKUP($A73,'Purchases and Sales Data'!$A:$R,14,FALSE)</f>
        <v>4286.25</v>
      </c>
      <c r="M73" s="191">
        <f>VLOOKUP($A73,'Purchases and Sales Data'!$A:$R,15,FALSE)</f>
        <v>2551.9299999999998</v>
      </c>
      <c r="N73" s="213">
        <f t="shared" si="10"/>
        <v>6838.18</v>
      </c>
    </row>
    <row r="74" spans="1:14" x14ac:dyDescent="0.2">
      <c r="A74" s="149">
        <f t="shared" si="9"/>
        <v>45627</v>
      </c>
      <c r="B74" s="44">
        <f t="shared" si="11"/>
        <v>45627</v>
      </c>
      <c r="C74" s="33">
        <f>VLOOKUP($A74,'Purchases and Sales Data'!$A:$K,11,FALSE)</f>
        <v>4760</v>
      </c>
      <c r="E74" s="208" t="s">
        <v>125</v>
      </c>
      <c r="F74" s="209">
        <v>5.1132</v>
      </c>
      <c r="G74" s="222">
        <f t="shared" si="7"/>
        <v>45291</v>
      </c>
      <c r="H74" s="222"/>
      <c r="I74" s="191">
        <f t="shared" si="8"/>
        <v>24338.83</v>
      </c>
      <c r="J74" s="188">
        <f>SUMIF('Purchases and Sales Data'!$A$3:$A$146,'GCR Rate and Recovery'!$A74,'Purchases and Sales Data'!$H$3:$H$146)+SUMIF('Purchases and Sales Data'!$A$3:$A$146,'GCR Rate and Recovery'!$A74,'Purchases and Sales Data'!J74:J217)</f>
        <v>39511.4</v>
      </c>
      <c r="L74" s="191">
        <f>VLOOKUP($A74,'Purchases and Sales Data'!$A:$R,14,FALSE)</f>
        <v>4286.25</v>
      </c>
      <c r="M74" s="191">
        <f>VLOOKUP($A74,'Purchases and Sales Data'!$A:$R,15,FALSE)</f>
        <v>5271.51</v>
      </c>
      <c r="N74" s="213">
        <f t="shared" si="10"/>
        <v>9557.76</v>
      </c>
    </row>
    <row r="75" spans="1:14" x14ac:dyDescent="0.2">
      <c r="A75" s="149">
        <f t="shared" si="9"/>
        <v>45658</v>
      </c>
      <c r="B75" s="44">
        <f t="shared" si="11"/>
        <v>45658</v>
      </c>
      <c r="C75" s="33">
        <f>VLOOKUP($A75,'Purchases and Sales Data'!$A:$K,11,FALSE)</f>
        <v>6166.3</v>
      </c>
      <c r="E75" s="208" t="s">
        <v>125</v>
      </c>
      <c r="F75" s="209">
        <v>5.1132</v>
      </c>
      <c r="G75" s="222">
        <f t="shared" si="7"/>
        <v>45291</v>
      </c>
      <c r="H75" s="222"/>
      <c r="I75" s="191">
        <f t="shared" si="8"/>
        <v>31529.53</v>
      </c>
      <c r="J75" s="188">
        <f>SUMIF('Purchases and Sales Data'!$A$3:$A$146,'GCR Rate and Recovery'!$A75,'Purchases and Sales Data'!$H$3:$H$146)+SUMIF('Purchases and Sales Data'!$A$3:$A$146,'GCR Rate and Recovery'!$A75,'Purchases and Sales Data'!J75:J218)</f>
        <v>51108.229999999996</v>
      </c>
      <c r="L75" s="191">
        <f>VLOOKUP($A75,'Purchases and Sales Data'!$A:$R,14,FALSE)</f>
        <v>19207.669999999998</v>
      </c>
      <c r="M75" s="191">
        <f>VLOOKUP($A75,'Purchases and Sales Data'!$A:$R,15,FALSE)</f>
        <v>8052.27</v>
      </c>
      <c r="N75" s="213">
        <f t="shared" si="10"/>
        <v>27259.94</v>
      </c>
    </row>
    <row r="76" spans="1:14" x14ac:dyDescent="0.2">
      <c r="A76" s="149">
        <f t="shared" si="9"/>
        <v>45689</v>
      </c>
      <c r="B76" s="44">
        <f t="shared" si="11"/>
        <v>45689</v>
      </c>
      <c r="C76" s="33">
        <f>VLOOKUP($A76,'Purchases and Sales Data'!$A:$K,11,FALSE)</f>
        <v>7003.7</v>
      </c>
      <c r="E76" s="208" t="s">
        <v>125</v>
      </c>
      <c r="F76" s="209">
        <v>5.1132</v>
      </c>
      <c r="G76" s="222">
        <f t="shared" si="7"/>
        <v>45291</v>
      </c>
      <c r="H76" s="222"/>
      <c r="I76" s="191">
        <f t="shared" si="8"/>
        <v>35811.32</v>
      </c>
      <c r="J76" s="188">
        <f>SUMIF('Purchases and Sales Data'!$A$3:$A$146,'GCR Rate and Recovery'!$A76,'Purchases and Sales Data'!$H$3:$H$146)+SUMIF('Purchases and Sales Data'!$A$3:$A$146,'GCR Rate and Recovery'!$A76,'Purchases and Sales Data'!J76:J219)</f>
        <v>58054.29</v>
      </c>
      <c r="L76" s="191">
        <f>VLOOKUP($A76,'Purchases and Sales Data'!$A:$R,14,FALSE)</f>
        <v>22352.06</v>
      </c>
      <c r="M76" s="191">
        <f>VLOOKUP($A76,'Purchases and Sales Data'!$A:$R,15,FALSE)</f>
        <v>5471.5</v>
      </c>
      <c r="N76" s="213">
        <f t="shared" si="10"/>
        <v>27823.56</v>
      </c>
    </row>
    <row r="77" spans="1:14" x14ac:dyDescent="0.2">
      <c r="A77" s="149">
        <f t="shared" si="9"/>
        <v>45717</v>
      </c>
      <c r="B77" s="44">
        <f t="shared" si="11"/>
        <v>45717</v>
      </c>
      <c r="C77" s="33">
        <f>VLOOKUP($A77,'Purchases and Sales Data'!$A:$K,11,FALSE)</f>
        <v>4593.3999999999996</v>
      </c>
      <c r="E77" s="208" t="s">
        <v>125</v>
      </c>
      <c r="F77" s="209">
        <v>5.1132</v>
      </c>
      <c r="G77" s="222">
        <f t="shared" si="7"/>
        <v>45291</v>
      </c>
      <c r="H77" s="222"/>
      <c r="I77" s="191">
        <f t="shared" si="8"/>
        <v>23486.97</v>
      </c>
      <c r="J77" s="188">
        <f>SUMIF('Purchases and Sales Data'!$A$3:$A$146,'GCR Rate and Recovery'!$A77,'Purchases and Sales Data'!$H$3:$H$146)+SUMIF('Purchases and Sales Data'!$A$3:$A$146,'GCR Rate and Recovery'!$A77,'Purchases and Sales Data'!J77:J220)</f>
        <v>38113.61</v>
      </c>
      <c r="L77" s="191">
        <f>VLOOKUP($A77,'Purchases and Sales Data'!$A:$R,14,FALSE)</f>
        <v>26453.5</v>
      </c>
      <c r="M77" s="191">
        <f>VLOOKUP($A77,'Purchases and Sales Data'!$A:$R,15,FALSE)</f>
        <v>3118.54</v>
      </c>
      <c r="N77" s="213">
        <f t="shared" si="10"/>
        <v>29572.04</v>
      </c>
    </row>
    <row r="78" spans="1:14" x14ac:dyDescent="0.2">
      <c r="A78" s="149">
        <f t="shared" si="9"/>
        <v>45748</v>
      </c>
      <c r="B78" s="44">
        <f t="shared" si="11"/>
        <v>45748</v>
      </c>
      <c r="C78" s="33">
        <f>VLOOKUP($A78,'Purchases and Sales Data'!$A:$K,11,FALSE)</f>
        <v>2566.3000000000002</v>
      </c>
      <c r="E78" s="208" t="s">
        <v>125</v>
      </c>
      <c r="F78" s="209">
        <v>5.1132</v>
      </c>
      <c r="G78" s="222">
        <f t="shared" si="7"/>
        <v>45291</v>
      </c>
      <c r="H78" s="222"/>
      <c r="I78" s="191">
        <f t="shared" si="8"/>
        <v>13122.01</v>
      </c>
      <c r="J78" s="188">
        <f>SUMIF('Purchases and Sales Data'!$A$3:$A$146,'GCR Rate and Recovery'!$A78,'Purchases and Sales Data'!$H$3:$H$146)+SUMIF('Purchases and Sales Data'!$A$3:$A$146,'GCR Rate and Recovery'!$A78,'Purchases and Sales Data'!J78:J221)</f>
        <v>21284.41</v>
      </c>
      <c r="L78" s="191">
        <f>VLOOKUP($A78,'Purchases and Sales Data'!$A:$R,14,FALSE)</f>
        <v>16476.75</v>
      </c>
      <c r="M78" s="191">
        <f>VLOOKUP($A78,'Purchases and Sales Data'!$A:$R,15,FALSE)</f>
        <v>1482.72</v>
      </c>
      <c r="N78" s="213">
        <f t="shared" si="10"/>
        <v>17959.47</v>
      </c>
    </row>
    <row r="79" spans="1:14" x14ac:dyDescent="0.2">
      <c r="A79" s="149">
        <f t="shared" si="9"/>
        <v>45778</v>
      </c>
      <c r="B79" s="44">
        <f t="shared" si="11"/>
        <v>45778</v>
      </c>
      <c r="C79" s="33">
        <f>VLOOKUP($A79,'Purchases and Sales Data'!$A:$K,11,FALSE)</f>
        <v>818.2</v>
      </c>
      <c r="E79" s="208" t="s">
        <v>125</v>
      </c>
      <c r="F79" s="209">
        <v>5.1132</v>
      </c>
      <c r="G79" s="222">
        <f t="shared" si="7"/>
        <v>45291</v>
      </c>
      <c r="H79" s="222"/>
      <c r="I79" s="191">
        <f t="shared" si="8"/>
        <v>4183.62</v>
      </c>
      <c r="J79" s="188">
        <f>SUMIF('Purchases and Sales Data'!$A$3:$A$146,'GCR Rate and Recovery'!$A79,'Purchases and Sales Data'!$H$3:$H$146)+SUMIF('Purchases and Sales Data'!$A$3:$A$146,'GCR Rate and Recovery'!$A79,'Purchases and Sales Data'!J79:J222)</f>
        <v>6789.16</v>
      </c>
      <c r="L79" s="191">
        <f>VLOOKUP($A79,'Purchases and Sales Data'!$A:$R,14,FALSE)</f>
        <v>16136.29</v>
      </c>
      <c r="M79" s="191">
        <f>VLOOKUP($A79,'Purchases and Sales Data'!$A:$R,15,FALSE)</f>
        <v>783.72</v>
      </c>
      <c r="N79" s="213">
        <f t="shared" si="10"/>
        <v>16920.010000000002</v>
      </c>
    </row>
    <row r="80" spans="1:14" x14ac:dyDescent="0.2">
      <c r="A80" s="149">
        <f t="shared" si="9"/>
        <v>45809</v>
      </c>
      <c r="B80" s="44">
        <f t="shared" si="11"/>
        <v>45809</v>
      </c>
      <c r="C80" s="33">
        <f>VLOOKUP($A80,'Purchases and Sales Data'!$A:$K,11,FALSE)</f>
        <v>787.2</v>
      </c>
      <c r="E80" s="208" t="s">
        <v>125</v>
      </c>
      <c r="F80" s="209">
        <v>5.1132</v>
      </c>
      <c r="G80" s="222">
        <f t="shared" si="7"/>
        <v>45291</v>
      </c>
      <c r="H80" s="222"/>
      <c r="I80" s="191">
        <f t="shared" si="8"/>
        <v>4025.11</v>
      </c>
      <c r="J80" s="188">
        <f>SUMIF('Purchases and Sales Data'!$A$3:$A$146,'GCR Rate and Recovery'!$A80,'Purchases and Sales Data'!$H$3:$H$146)+SUMIF('Purchases and Sales Data'!$A$3:$A$146,'GCR Rate and Recovery'!$A80,'Purchases and Sales Data'!J80:J223)</f>
        <v>6529.87</v>
      </c>
      <c r="L80" s="191">
        <f>VLOOKUP($A80,'Purchases and Sales Data'!$A:$R,14,FALSE)</f>
        <v>7103.18</v>
      </c>
      <c r="M80" s="191">
        <f>VLOOKUP($A80,'Purchases and Sales Data'!$A:$R,15,FALSE)</f>
        <v>208.97</v>
      </c>
      <c r="N80" s="213">
        <f t="shared" si="10"/>
        <v>7312.1500000000005</v>
      </c>
    </row>
    <row r="81" spans="1:14" x14ac:dyDescent="0.2">
      <c r="A81" s="149">
        <f t="shared" si="9"/>
        <v>45839</v>
      </c>
      <c r="B81" s="44">
        <f t="shared" si="11"/>
        <v>45839</v>
      </c>
      <c r="C81" s="33">
        <f>VLOOKUP($A81,'Purchases and Sales Data'!$A:$K,11,FALSE)</f>
        <v>1067.9000000000001</v>
      </c>
      <c r="E81" s="208" t="s">
        <v>125</v>
      </c>
      <c r="F81" s="209">
        <v>5.1132</v>
      </c>
      <c r="G81" s="222">
        <f t="shared" si="7"/>
        <v>45291</v>
      </c>
      <c r="H81" s="222"/>
      <c r="I81" s="191">
        <f t="shared" si="8"/>
        <v>5460.39</v>
      </c>
      <c r="J81" s="188">
        <f>SUMIF('Purchases and Sales Data'!$A$3:$A$146,'GCR Rate and Recovery'!$A81,'Purchases and Sales Data'!$H$3:$H$146)+SUMIF('Purchases and Sales Data'!$A$3:$A$146,'GCR Rate and Recovery'!$A81,'Purchases and Sales Data'!J81:J224)</f>
        <v>2831.54</v>
      </c>
      <c r="L81" s="191">
        <f>VLOOKUP($A81,'Purchases and Sales Data'!$A:$R,14,FALSE)</f>
        <v>6958.88</v>
      </c>
      <c r="M81" s="191">
        <f>VLOOKUP($A81,'Purchases and Sales Data'!$A:$R,15,FALSE)</f>
        <v>1539.48</v>
      </c>
      <c r="N81" s="213">
        <f t="shared" si="10"/>
        <v>8498.36</v>
      </c>
    </row>
    <row r="82" spans="1:14" x14ac:dyDescent="0.2">
      <c r="A82" s="149">
        <f t="shared" si="9"/>
        <v>45870</v>
      </c>
      <c r="B82" s="44">
        <f t="shared" si="11"/>
        <v>45870</v>
      </c>
      <c r="C82" s="33">
        <f>VLOOKUP($A82,'Purchases and Sales Data'!$A:$K,11,FALSE)</f>
        <v>2486.8999999999996</v>
      </c>
      <c r="E82" s="208" t="s">
        <v>125</v>
      </c>
      <c r="F82" s="209">
        <v>5.1132</v>
      </c>
      <c r="G82" s="222">
        <f t="shared" si="7"/>
        <v>45291</v>
      </c>
      <c r="H82" s="222"/>
      <c r="I82" s="191">
        <f t="shared" si="8"/>
        <v>12716.02</v>
      </c>
      <c r="J82" s="188">
        <f>SUMIF('Purchases and Sales Data'!$A$3:$A$146,'GCR Rate and Recovery'!$A82,'Purchases and Sales Data'!$H$3:$H$146)+SUMIF('Purchases and Sales Data'!$A$3:$A$146,'GCR Rate and Recovery'!$A82,'Purchases and Sales Data'!J82:J225)</f>
        <v>3061.93</v>
      </c>
      <c r="L82" s="191">
        <f>VLOOKUP($A82,'Purchases and Sales Data'!$A:$R,14,FALSE)</f>
        <v>6914.18</v>
      </c>
      <c r="M82" s="191">
        <f>VLOOKUP($A82,'Purchases and Sales Data'!$A:$R,15,FALSE)</f>
        <v>2155.6</v>
      </c>
      <c r="N82" s="213">
        <f t="shared" si="10"/>
        <v>9069.7800000000007</v>
      </c>
    </row>
    <row r="83" spans="1:14" x14ac:dyDescent="0.2">
      <c r="A83" s="149">
        <f t="shared" si="9"/>
        <v>45901</v>
      </c>
      <c r="B83" s="44">
        <f t="shared" si="11"/>
        <v>45901</v>
      </c>
      <c r="C83" s="33">
        <f>VLOOKUP($A83,'Purchases and Sales Data'!$A:$K,11,FALSE)</f>
        <v>1303</v>
      </c>
      <c r="E83" s="208" t="s">
        <v>125</v>
      </c>
      <c r="F83" s="209">
        <v>5.1132</v>
      </c>
      <c r="G83" s="222">
        <f t="shared" si="7"/>
        <v>45291</v>
      </c>
      <c r="H83" s="222"/>
      <c r="I83" s="191">
        <f t="shared" si="8"/>
        <v>6662.5</v>
      </c>
      <c r="J83" s="188">
        <f>SUMIF('Purchases and Sales Data'!$A$3:$A$146,'GCR Rate and Recovery'!$A83,'Purchases and Sales Data'!$H$3:$H$146)+SUMIF('Purchases and Sales Data'!$A$3:$A$146,'GCR Rate and Recovery'!$A83,'Purchases and Sales Data'!J83:J226)</f>
        <v>3728.6400000000003</v>
      </c>
      <c r="L83" s="191">
        <f>VLOOKUP($A83,'Purchases and Sales Data'!$A:$R,14,FALSE)</f>
        <v>6510.59</v>
      </c>
      <c r="M83" s="191">
        <f>VLOOKUP($A83,'Purchases and Sales Data'!$A:$R,15,FALSE)</f>
        <v>7.21</v>
      </c>
      <c r="N83" s="213">
        <f t="shared" si="10"/>
        <v>6517.8</v>
      </c>
    </row>
    <row r="84" spans="1:14" x14ac:dyDescent="0.2">
      <c r="A84" s="149">
        <f t="shared" si="9"/>
        <v>45931</v>
      </c>
      <c r="B84" s="44">
        <f t="shared" si="11"/>
        <v>45931</v>
      </c>
      <c r="C84" s="33">
        <f>VLOOKUP($A84,'Purchases and Sales Data'!$A:$K,11,FALSE)</f>
        <v>0</v>
      </c>
      <c r="E84" s="208" t="s">
        <v>125</v>
      </c>
      <c r="F84" s="209">
        <v>5.1132</v>
      </c>
      <c r="G84" s="222">
        <f t="shared" si="7"/>
        <v>45291</v>
      </c>
      <c r="H84" s="222"/>
      <c r="I84" s="191">
        <f t="shared" si="8"/>
        <v>0</v>
      </c>
      <c r="J84" s="188">
        <f>SUMIF('Purchases and Sales Data'!$A$3:$A$146,'GCR Rate and Recovery'!$A84,'Purchases and Sales Data'!$H$3:$H$146)+SUMIF('Purchases and Sales Data'!$A$3:$A$146,'GCR Rate and Recovery'!$A84,'Purchases and Sales Data'!J84:J227)</f>
        <v>0</v>
      </c>
      <c r="L84" s="191">
        <f>VLOOKUP($A84,'Purchases and Sales Data'!$A:$R,14,FALSE)</f>
        <v>0</v>
      </c>
      <c r="M84" s="191">
        <f>VLOOKUP($A84,'Purchases and Sales Data'!$A:$R,15,FALSE)</f>
        <v>0</v>
      </c>
      <c r="N84" s="213">
        <f t="shared" si="10"/>
        <v>0</v>
      </c>
    </row>
    <row r="85" spans="1:14" x14ac:dyDescent="0.2">
      <c r="A85" s="149">
        <f t="shared" si="9"/>
        <v>45962</v>
      </c>
      <c r="B85" s="44">
        <f t="shared" si="11"/>
        <v>45962</v>
      </c>
      <c r="C85" s="33">
        <f>VLOOKUP($A85,'Purchases and Sales Data'!$A:$K,11,FALSE)</f>
        <v>0</v>
      </c>
      <c r="E85" s="208" t="s">
        <v>125</v>
      </c>
      <c r="F85" s="209">
        <v>5.1132</v>
      </c>
      <c r="G85" s="222">
        <f t="shared" si="7"/>
        <v>45291</v>
      </c>
      <c r="H85" s="222"/>
      <c r="I85" s="191">
        <f t="shared" si="8"/>
        <v>0</v>
      </c>
      <c r="J85" s="188">
        <f>SUMIF('Purchases and Sales Data'!$A$3:$A$146,'GCR Rate and Recovery'!$A85,'Purchases and Sales Data'!$H$3:$H$146)+SUMIF('Purchases and Sales Data'!$A$3:$A$146,'GCR Rate and Recovery'!$A85,'Purchases and Sales Data'!J85:J228)</f>
        <v>0</v>
      </c>
      <c r="L85" s="191">
        <f>VLOOKUP($A85,'Purchases and Sales Data'!$A:$R,14,FALSE)</f>
        <v>0</v>
      </c>
      <c r="M85" s="191">
        <f>VLOOKUP($A85,'Purchases and Sales Data'!$A:$R,15,FALSE)</f>
        <v>0</v>
      </c>
      <c r="N85" s="213">
        <f t="shared" si="10"/>
        <v>0</v>
      </c>
    </row>
    <row r="86" spans="1:14" x14ac:dyDescent="0.2">
      <c r="A86" s="149">
        <f t="shared" si="9"/>
        <v>45992</v>
      </c>
      <c r="B86" s="44">
        <f t="shared" si="11"/>
        <v>45992</v>
      </c>
      <c r="C86" s="33">
        <f>VLOOKUP($A86,'Purchases and Sales Data'!$A:$K,11,FALSE)</f>
        <v>0</v>
      </c>
      <c r="E86" s="208" t="s">
        <v>125</v>
      </c>
      <c r="F86" s="209">
        <v>5.1132</v>
      </c>
      <c r="G86" s="222">
        <f t="shared" si="7"/>
        <v>45291</v>
      </c>
      <c r="H86" s="222"/>
      <c r="I86" s="191">
        <f t="shared" si="8"/>
        <v>0</v>
      </c>
      <c r="J86" s="188">
        <f>SUMIF('Purchases and Sales Data'!$A$3:$A$146,'GCR Rate and Recovery'!$A86,'Purchases and Sales Data'!$H$3:$H$146)+SUMIF('Purchases and Sales Data'!$A$3:$A$146,'GCR Rate and Recovery'!$A86,'Purchases and Sales Data'!J86:J229)</f>
        <v>0</v>
      </c>
      <c r="L86" s="191">
        <f>VLOOKUP($A86,'Purchases and Sales Data'!$A:$R,14,FALSE)</f>
        <v>0</v>
      </c>
      <c r="M86" s="191">
        <f>VLOOKUP($A86,'Purchases and Sales Data'!$A:$R,15,FALSE)</f>
        <v>0</v>
      </c>
      <c r="N86" s="213">
        <f t="shared" si="10"/>
        <v>0</v>
      </c>
    </row>
    <row r="87" spans="1:14" x14ac:dyDescent="0.2">
      <c r="A87" s="149">
        <f t="shared" si="9"/>
        <v>46023</v>
      </c>
      <c r="B87" s="44">
        <f t="shared" ref="B87:B139" si="12">EDATE(B86,1)</f>
        <v>46023</v>
      </c>
      <c r="C87" s="33">
        <f>VLOOKUP($A87,'Purchases and Sales Data'!$A:$K,11,FALSE)</f>
        <v>0</v>
      </c>
      <c r="E87" s="208"/>
      <c r="F87" s="210"/>
      <c r="G87" s="222" t="str">
        <f t="shared" si="7"/>
        <v/>
      </c>
      <c r="H87" s="222"/>
      <c r="I87" s="191">
        <f t="shared" si="8"/>
        <v>0</v>
      </c>
      <c r="J87" s="188">
        <f>SUMIF('Purchases and Sales Data'!$A$3:$A$146,'GCR Rate and Recovery'!$A87,'Purchases and Sales Data'!$H$3:$H$146)+SUMIF('Purchases and Sales Data'!$A$3:$A$146,'GCR Rate and Recovery'!$A87,'Purchases and Sales Data'!J87:J230)</f>
        <v>0</v>
      </c>
      <c r="L87" s="191">
        <f>VLOOKUP($A87,'Purchases and Sales Data'!$A:$R,14,FALSE)</f>
        <v>0</v>
      </c>
      <c r="M87" s="191">
        <f>VLOOKUP($A87,'Purchases and Sales Data'!$A:$R,15,FALSE)</f>
        <v>0</v>
      </c>
      <c r="N87" s="213">
        <f t="shared" si="10"/>
        <v>0</v>
      </c>
    </row>
    <row r="88" spans="1:14" x14ac:dyDescent="0.2">
      <c r="A88" s="149">
        <f t="shared" si="9"/>
        <v>46054</v>
      </c>
      <c r="B88" s="44">
        <f t="shared" si="12"/>
        <v>46054</v>
      </c>
      <c r="C88" s="33">
        <f>VLOOKUP($A88,'Purchases and Sales Data'!$A:$K,11,FALSE)</f>
        <v>0</v>
      </c>
      <c r="E88" s="208"/>
      <c r="F88" s="210"/>
      <c r="G88" s="222" t="str">
        <f t="shared" si="7"/>
        <v/>
      </c>
      <c r="H88" s="222"/>
      <c r="I88" s="191">
        <f t="shared" si="8"/>
        <v>0</v>
      </c>
      <c r="J88" s="188">
        <f>SUMIF('Purchases and Sales Data'!$A$3:$A$146,'GCR Rate and Recovery'!$A88,'Purchases and Sales Data'!$H$3:$H$146)+SUMIF('Purchases and Sales Data'!$A$3:$A$146,'GCR Rate and Recovery'!$A88,'Purchases and Sales Data'!J88:J231)</f>
        <v>0</v>
      </c>
      <c r="L88" s="191">
        <f>VLOOKUP($A88,'Purchases and Sales Data'!$A:$R,14,FALSE)</f>
        <v>0</v>
      </c>
      <c r="M88" s="191">
        <f>VLOOKUP($A88,'Purchases and Sales Data'!$A:$R,15,FALSE)</f>
        <v>0</v>
      </c>
      <c r="N88" s="213">
        <f t="shared" si="10"/>
        <v>0</v>
      </c>
    </row>
    <row r="89" spans="1:14" x14ac:dyDescent="0.2">
      <c r="A89" s="149">
        <f t="shared" si="9"/>
        <v>46082</v>
      </c>
      <c r="B89" s="44">
        <f t="shared" si="12"/>
        <v>46082</v>
      </c>
      <c r="C89" s="33">
        <f>VLOOKUP($A89,'Purchases and Sales Data'!$A:$K,11,FALSE)</f>
        <v>0</v>
      </c>
      <c r="E89" s="208"/>
      <c r="F89" s="210"/>
      <c r="G89" s="222" t="str">
        <f t="shared" si="7"/>
        <v/>
      </c>
      <c r="H89" s="222"/>
      <c r="I89" s="191">
        <f t="shared" si="8"/>
        <v>0</v>
      </c>
      <c r="J89" s="188">
        <f>SUMIF('Purchases and Sales Data'!$A$3:$A$146,'GCR Rate and Recovery'!$A89,'Purchases and Sales Data'!$H$3:$H$146)+SUMIF('Purchases and Sales Data'!$A$3:$A$146,'GCR Rate and Recovery'!$A89,'Purchases and Sales Data'!J89:J232)</f>
        <v>0</v>
      </c>
      <c r="L89" s="191">
        <f>VLOOKUP($A89,'Purchases and Sales Data'!$A:$R,14,FALSE)</f>
        <v>0</v>
      </c>
      <c r="M89" s="191">
        <f>VLOOKUP($A89,'Purchases and Sales Data'!$A:$R,15,FALSE)</f>
        <v>0</v>
      </c>
      <c r="N89" s="213">
        <f t="shared" si="10"/>
        <v>0</v>
      </c>
    </row>
    <row r="90" spans="1:14" x14ac:dyDescent="0.2">
      <c r="A90" s="149">
        <f t="shared" si="9"/>
        <v>46113</v>
      </c>
      <c r="B90" s="44">
        <f t="shared" si="12"/>
        <v>46113</v>
      </c>
      <c r="C90" s="33">
        <f>VLOOKUP($A90,'Purchases and Sales Data'!$A:$K,11,FALSE)</f>
        <v>0</v>
      </c>
      <c r="E90" s="208"/>
      <c r="F90" s="210"/>
      <c r="G90" s="222" t="str">
        <f t="shared" si="7"/>
        <v/>
      </c>
      <c r="H90" s="222"/>
      <c r="I90" s="191">
        <f t="shared" si="8"/>
        <v>0</v>
      </c>
      <c r="J90" s="188">
        <f>SUMIF('Purchases and Sales Data'!$A$3:$A$146,'GCR Rate and Recovery'!$A90,'Purchases and Sales Data'!$H$3:$H$146)+SUMIF('Purchases and Sales Data'!$A$3:$A$146,'GCR Rate and Recovery'!$A90,'Purchases and Sales Data'!J90:J233)</f>
        <v>0</v>
      </c>
      <c r="L90" s="191">
        <f>VLOOKUP($A90,'Purchases and Sales Data'!$A:$R,14,FALSE)</f>
        <v>0</v>
      </c>
      <c r="M90" s="191">
        <f>VLOOKUP($A90,'Purchases and Sales Data'!$A:$R,15,FALSE)</f>
        <v>0</v>
      </c>
      <c r="N90" s="213">
        <f t="shared" si="10"/>
        <v>0</v>
      </c>
    </row>
    <row r="91" spans="1:14" x14ac:dyDescent="0.2">
      <c r="A91" s="149">
        <f t="shared" si="9"/>
        <v>46143</v>
      </c>
      <c r="B91" s="44">
        <f t="shared" si="12"/>
        <v>46143</v>
      </c>
      <c r="C91" s="33">
        <f>VLOOKUP($A91,'Purchases and Sales Data'!$A:$K,11,FALSE)</f>
        <v>0</v>
      </c>
      <c r="E91" s="208"/>
      <c r="F91" s="210"/>
      <c r="G91" s="222" t="str">
        <f t="shared" si="7"/>
        <v/>
      </c>
      <c r="H91" s="222"/>
      <c r="I91" s="191">
        <f t="shared" si="8"/>
        <v>0</v>
      </c>
      <c r="J91" s="188">
        <f>SUMIF('Purchases and Sales Data'!$A$3:$A$146,'GCR Rate and Recovery'!$A91,'Purchases and Sales Data'!$H$3:$H$146)+SUMIF('Purchases and Sales Data'!$A$3:$A$146,'GCR Rate and Recovery'!$A91,'Purchases and Sales Data'!J91:J234)</f>
        <v>0</v>
      </c>
      <c r="L91" s="191">
        <f>VLOOKUP($A91,'Purchases and Sales Data'!$A:$R,14,FALSE)</f>
        <v>0</v>
      </c>
      <c r="M91" s="191">
        <f>VLOOKUP($A91,'Purchases and Sales Data'!$A:$R,15,FALSE)</f>
        <v>0</v>
      </c>
      <c r="N91" s="213">
        <f t="shared" si="10"/>
        <v>0</v>
      </c>
    </row>
    <row r="92" spans="1:14" x14ac:dyDescent="0.2">
      <c r="A92" s="149">
        <f t="shared" si="9"/>
        <v>46174</v>
      </c>
      <c r="B92" s="44">
        <f t="shared" si="12"/>
        <v>46174</v>
      </c>
      <c r="C92" s="33">
        <f>VLOOKUP($A92,'Purchases and Sales Data'!$A:$K,11,FALSE)</f>
        <v>0</v>
      </c>
      <c r="E92" s="208"/>
      <c r="F92" s="210"/>
      <c r="G92" s="222" t="str">
        <f t="shared" si="7"/>
        <v/>
      </c>
      <c r="H92" s="222"/>
      <c r="I92" s="191">
        <f t="shared" si="8"/>
        <v>0</v>
      </c>
      <c r="J92" s="188">
        <f>SUMIF('Purchases and Sales Data'!$A$3:$A$146,'GCR Rate and Recovery'!$A92,'Purchases and Sales Data'!$H$3:$H$146)+SUMIF('Purchases and Sales Data'!$A$3:$A$146,'GCR Rate and Recovery'!$A92,'Purchases and Sales Data'!J92:J235)</f>
        <v>0</v>
      </c>
      <c r="L92" s="191">
        <f>VLOOKUP($A92,'Purchases and Sales Data'!$A:$R,14,FALSE)</f>
        <v>0</v>
      </c>
      <c r="M92" s="191">
        <f>VLOOKUP($A92,'Purchases and Sales Data'!$A:$R,15,FALSE)</f>
        <v>0</v>
      </c>
      <c r="N92" s="213">
        <f t="shared" si="10"/>
        <v>0</v>
      </c>
    </row>
    <row r="93" spans="1:14" x14ac:dyDescent="0.2">
      <c r="A93" s="149">
        <f t="shared" si="9"/>
        <v>46204</v>
      </c>
      <c r="B93" s="44">
        <f t="shared" si="12"/>
        <v>46204</v>
      </c>
      <c r="C93" s="33">
        <f>VLOOKUP($A93,'Purchases and Sales Data'!$A:$K,11,FALSE)</f>
        <v>0</v>
      </c>
      <c r="E93" s="208"/>
      <c r="F93" s="210"/>
      <c r="G93" s="222" t="str">
        <f t="shared" si="7"/>
        <v/>
      </c>
      <c r="H93" s="222"/>
      <c r="I93" s="191">
        <f t="shared" si="8"/>
        <v>0</v>
      </c>
      <c r="J93" s="188">
        <f>SUMIF('Purchases and Sales Data'!$A$3:$A$146,'GCR Rate and Recovery'!$A93,'Purchases and Sales Data'!$H$3:$H$146)+SUMIF('Purchases and Sales Data'!$A$3:$A$146,'GCR Rate and Recovery'!$A93,'Purchases and Sales Data'!J93:J236)</f>
        <v>0</v>
      </c>
      <c r="L93" s="191">
        <f>VLOOKUP($A93,'Purchases and Sales Data'!$A:$R,14,FALSE)</f>
        <v>0</v>
      </c>
      <c r="M93" s="191">
        <f>VLOOKUP($A93,'Purchases and Sales Data'!$A:$R,15,FALSE)</f>
        <v>0</v>
      </c>
      <c r="N93" s="213">
        <f t="shared" si="10"/>
        <v>0</v>
      </c>
    </row>
    <row r="94" spans="1:14" x14ac:dyDescent="0.2">
      <c r="A94" s="149">
        <f t="shared" si="9"/>
        <v>46235</v>
      </c>
      <c r="B94" s="44">
        <f t="shared" si="12"/>
        <v>46235</v>
      </c>
      <c r="C94" s="33">
        <f>VLOOKUP($A94,'Purchases and Sales Data'!$A:$K,11,FALSE)</f>
        <v>0</v>
      </c>
      <c r="E94" s="208"/>
      <c r="F94" s="210"/>
      <c r="G94" s="222" t="str">
        <f t="shared" si="7"/>
        <v/>
      </c>
      <c r="H94" s="222"/>
      <c r="I94" s="191">
        <f t="shared" si="8"/>
        <v>0</v>
      </c>
      <c r="J94" s="188">
        <f>SUMIF('Purchases and Sales Data'!$A$3:$A$146,'GCR Rate and Recovery'!$A94,'Purchases and Sales Data'!$H$3:$H$146)+SUMIF('Purchases and Sales Data'!$A$3:$A$146,'GCR Rate and Recovery'!$A94,'Purchases and Sales Data'!J94:J237)</f>
        <v>0</v>
      </c>
      <c r="L94" s="191">
        <f>VLOOKUP($A94,'Purchases and Sales Data'!$A:$R,14,FALSE)</f>
        <v>0</v>
      </c>
      <c r="M94" s="191">
        <f>VLOOKUP($A94,'Purchases and Sales Data'!$A:$R,15,FALSE)</f>
        <v>0</v>
      </c>
      <c r="N94" s="213">
        <f t="shared" si="10"/>
        <v>0</v>
      </c>
    </row>
    <row r="95" spans="1:14" x14ac:dyDescent="0.2">
      <c r="A95" s="149">
        <f t="shared" si="9"/>
        <v>46266</v>
      </c>
      <c r="B95" s="44">
        <f t="shared" si="12"/>
        <v>46266</v>
      </c>
      <c r="C95" s="33">
        <f>VLOOKUP($A95,'Purchases and Sales Data'!$A:$K,11,FALSE)</f>
        <v>0</v>
      </c>
      <c r="E95" s="208"/>
      <c r="F95" s="210"/>
      <c r="G95" s="222" t="str">
        <f t="shared" si="7"/>
        <v/>
      </c>
      <c r="H95" s="222"/>
      <c r="I95" s="191">
        <f t="shared" si="8"/>
        <v>0</v>
      </c>
      <c r="J95" s="188">
        <f>SUMIF('Purchases and Sales Data'!$A$3:$A$146,'GCR Rate and Recovery'!$A95,'Purchases and Sales Data'!$H$3:$H$146)+SUMIF('Purchases and Sales Data'!$A$3:$A$146,'GCR Rate and Recovery'!$A95,'Purchases and Sales Data'!J95:J238)</f>
        <v>0</v>
      </c>
      <c r="L95" s="191">
        <f>VLOOKUP($A95,'Purchases and Sales Data'!$A:$R,14,FALSE)</f>
        <v>0</v>
      </c>
      <c r="M95" s="191">
        <f>VLOOKUP($A95,'Purchases and Sales Data'!$A:$R,15,FALSE)</f>
        <v>0</v>
      </c>
      <c r="N95" s="213">
        <f t="shared" si="10"/>
        <v>0</v>
      </c>
    </row>
    <row r="96" spans="1:14" x14ac:dyDescent="0.2">
      <c r="A96" s="149">
        <f t="shared" si="9"/>
        <v>46296</v>
      </c>
      <c r="B96" s="44">
        <f t="shared" si="12"/>
        <v>46296</v>
      </c>
      <c r="C96" s="33">
        <f>VLOOKUP($A96,'Purchases and Sales Data'!$A:$K,11,FALSE)</f>
        <v>0</v>
      </c>
      <c r="E96" s="208"/>
      <c r="F96" s="210"/>
      <c r="G96" s="222" t="str">
        <f t="shared" si="7"/>
        <v/>
      </c>
      <c r="H96" s="222"/>
      <c r="I96" s="191">
        <f t="shared" si="8"/>
        <v>0</v>
      </c>
      <c r="J96" s="188">
        <f>SUMIF('Purchases and Sales Data'!$A$3:$A$146,'GCR Rate and Recovery'!$A96,'Purchases and Sales Data'!$H$3:$H$146)+SUMIF('Purchases and Sales Data'!$A$3:$A$146,'GCR Rate and Recovery'!$A96,'Purchases and Sales Data'!J96:J239)</f>
        <v>0</v>
      </c>
      <c r="L96" s="191">
        <f>VLOOKUP($A96,'Purchases and Sales Data'!$A:$R,14,FALSE)</f>
        <v>0</v>
      </c>
      <c r="M96" s="191">
        <f>VLOOKUP($A96,'Purchases and Sales Data'!$A:$R,15,FALSE)</f>
        <v>0</v>
      </c>
      <c r="N96" s="213">
        <f t="shared" si="10"/>
        <v>0</v>
      </c>
    </row>
    <row r="97" spans="1:14" x14ac:dyDescent="0.2">
      <c r="A97" s="149">
        <f t="shared" si="9"/>
        <v>46327</v>
      </c>
      <c r="B97" s="44">
        <f t="shared" si="12"/>
        <v>46327</v>
      </c>
      <c r="C97" s="33">
        <f>VLOOKUP($A97,'Purchases and Sales Data'!$A:$K,11,FALSE)</f>
        <v>0</v>
      </c>
      <c r="E97" s="208"/>
      <c r="F97" s="210"/>
      <c r="G97" s="222" t="str">
        <f t="shared" si="7"/>
        <v/>
      </c>
      <c r="H97" s="222"/>
      <c r="I97" s="191">
        <f t="shared" si="8"/>
        <v>0</v>
      </c>
      <c r="J97" s="188">
        <f>SUMIF('Purchases and Sales Data'!$A$3:$A$146,'GCR Rate and Recovery'!$A97,'Purchases and Sales Data'!$H$3:$H$146)+SUMIF('Purchases and Sales Data'!$A$3:$A$146,'GCR Rate and Recovery'!$A97,'Purchases and Sales Data'!J97:J240)</f>
        <v>0</v>
      </c>
      <c r="L97" s="191">
        <f>VLOOKUP($A97,'Purchases and Sales Data'!$A:$R,14,FALSE)</f>
        <v>0</v>
      </c>
      <c r="M97" s="191">
        <f>VLOOKUP($A97,'Purchases and Sales Data'!$A:$R,15,FALSE)</f>
        <v>0</v>
      </c>
      <c r="N97" s="213">
        <f t="shared" si="10"/>
        <v>0</v>
      </c>
    </row>
    <row r="98" spans="1:14" x14ac:dyDescent="0.2">
      <c r="A98" s="149">
        <f t="shared" si="9"/>
        <v>46357</v>
      </c>
      <c r="B98" s="44">
        <f t="shared" si="12"/>
        <v>46357</v>
      </c>
      <c r="C98" s="33">
        <f>VLOOKUP($A98,'Purchases and Sales Data'!$A:$K,11,FALSE)</f>
        <v>0</v>
      </c>
      <c r="E98" s="208"/>
      <c r="F98" s="210"/>
      <c r="G98" s="222" t="str">
        <f t="shared" si="7"/>
        <v/>
      </c>
      <c r="H98" s="222"/>
      <c r="I98" s="191">
        <f t="shared" si="8"/>
        <v>0</v>
      </c>
      <c r="J98" s="188">
        <f>SUMIF('Purchases and Sales Data'!$A$3:$A$146,'GCR Rate and Recovery'!$A98,'Purchases and Sales Data'!$H$3:$H$146)+SUMIF('Purchases and Sales Data'!$A$3:$A$146,'GCR Rate and Recovery'!$A98,'Purchases and Sales Data'!J98:J241)</f>
        <v>0</v>
      </c>
      <c r="L98" s="191">
        <f>VLOOKUP($A98,'Purchases and Sales Data'!$A:$R,14,FALSE)</f>
        <v>0</v>
      </c>
      <c r="M98" s="191">
        <f>VLOOKUP($A98,'Purchases and Sales Data'!$A:$R,15,FALSE)</f>
        <v>0</v>
      </c>
      <c r="N98" s="213">
        <f t="shared" si="10"/>
        <v>0</v>
      </c>
    </row>
    <row r="99" spans="1:14" x14ac:dyDescent="0.2">
      <c r="A99" s="149">
        <f t="shared" si="9"/>
        <v>46388</v>
      </c>
      <c r="B99" s="44">
        <f t="shared" si="12"/>
        <v>46388</v>
      </c>
      <c r="C99" s="33">
        <f>VLOOKUP($A99,'Purchases and Sales Data'!$A:$K,11,FALSE)</f>
        <v>0</v>
      </c>
      <c r="E99" s="208"/>
      <c r="F99" s="210"/>
      <c r="G99" s="222" t="str">
        <f t="shared" ref="G99:G130" si="13">IF(E99="","",IF(E99=E98,G98,EDATE(EOMONTH(B99,-1),-3)))</f>
        <v/>
      </c>
      <c r="H99" s="222"/>
      <c r="I99" s="191">
        <f t="shared" ref="I99:I130" si="14">ROUND(C99*F99,2)</f>
        <v>0</v>
      </c>
      <c r="J99" s="188">
        <f>SUMIF('Purchases and Sales Data'!$A$3:$A$146,'GCR Rate and Recovery'!$A99,'Purchases and Sales Data'!$H$3:$H$146)+SUMIF('Purchases and Sales Data'!$A$3:$A$146,'GCR Rate and Recovery'!$A99,'Purchases and Sales Data'!J99:J242)</f>
        <v>0</v>
      </c>
      <c r="L99" s="191">
        <f>VLOOKUP($A99,'Purchases and Sales Data'!$A:$R,14,FALSE)</f>
        <v>0</v>
      </c>
      <c r="M99" s="191">
        <f>VLOOKUP($A99,'Purchases and Sales Data'!$A:$R,15,FALSE)</f>
        <v>0</v>
      </c>
      <c r="N99" s="213">
        <f t="shared" si="10"/>
        <v>0</v>
      </c>
    </row>
    <row r="100" spans="1:14" x14ac:dyDescent="0.2">
      <c r="A100" s="149">
        <f t="shared" si="9"/>
        <v>46419</v>
      </c>
      <c r="B100" s="44">
        <f t="shared" si="12"/>
        <v>46419</v>
      </c>
      <c r="C100" s="33">
        <f>VLOOKUP($A100,'Purchases and Sales Data'!$A:$K,11,FALSE)</f>
        <v>0</v>
      </c>
      <c r="E100" s="208"/>
      <c r="F100" s="210"/>
      <c r="G100" s="222" t="str">
        <f t="shared" si="13"/>
        <v/>
      </c>
      <c r="H100" s="222"/>
      <c r="I100" s="191">
        <f t="shared" si="14"/>
        <v>0</v>
      </c>
      <c r="J100" s="188">
        <f>SUMIF('Purchases and Sales Data'!$A$3:$A$146,'GCR Rate and Recovery'!$A100,'Purchases and Sales Data'!$H$3:$H$146)+SUMIF('Purchases and Sales Data'!$A$3:$A$146,'GCR Rate and Recovery'!$A100,'Purchases and Sales Data'!J100:J243)</f>
        <v>0</v>
      </c>
      <c r="L100" s="191">
        <f>VLOOKUP($A100,'Purchases and Sales Data'!$A:$R,14,FALSE)</f>
        <v>0</v>
      </c>
      <c r="M100" s="191">
        <f>VLOOKUP($A100,'Purchases and Sales Data'!$A:$R,15,FALSE)</f>
        <v>0</v>
      </c>
      <c r="N100" s="213">
        <f t="shared" si="10"/>
        <v>0</v>
      </c>
    </row>
    <row r="101" spans="1:14" x14ac:dyDescent="0.2">
      <c r="A101" s="149">
        <f t="shared" si="9"/>
        <v>46447</v>
      </c>
      <c r="B101" s="44">
        <f t="shared" si="12"/>
        <v>46447</v>
      </c>
      <c r="C101" s="33">
        <f>VLOOKUP($A101,'Purchases and Sales Data'!$A:$K,11,FALSE)</f>
        <v>0</v>
      </c>
      <c r="E101" s="208"/>
      <c r="F101" s="210"/>
      <c r="G101" s="222" t="str">
        <f t="shared" si="13"/>
        <v/>
      </c>
      <c r="H101" s="222"/>
      <c r="I101" s="191">
        <f t="shared" si="14"/>
        <v>0</v>
      </c>
      <c r="J101" s="188">
        <f>SUMIF('Purchases and Sales Data'!$A$3:$A$146,'GCR Rate and Recovery'!$A101,'Purchases and Sales Data'!$H$3:$H$146)+SUMIF('Purchases and Sales Data'!$A$3:$A$146,'GCR Rate and Recovery'!$A101,'Purchases and Sales Data'!J101:J244)</f>
        <v>0</v>
      </c>
      <c r="L101" s="191">
        <f>VLOOKUP($A101,'Purchases and Sales Data'!$A:$R,14,FALSE)</f>
        <v>0</v>
      </c>
      <c r="M101" s="191">
        <f>VLOOKUP($A101,'Purchases and Sales Data'!$A:$R,15,FALSE)</f>
        <v>0</v>
      </c>
      <c r="N101" s="213">
        <f t="shared" si="10"/>
        <v>0</v>
      </c>
    </row>
    <row r="102" spans="1:14" x14ac:dyDescent="0.2">
      <c r="A102" s="149">
        <f t="shared" si="9"/>
        <v>46478</v>
      </c>
      <c r="B102" s="44">
        <f t="shared" si="12"/>
        <v>46478</v>
      </c>
      <c r="C102" s="33">
        <f>VLOOKUP($A102,'Purchases and Sales Data'!$A:$K,11,FALSE)</f>
        <v>0</v>
      </c>
      <c r="E102" s="208"/>
      <c r="F102" s="210"/>
      <c r="G102" s="222" t="str">
        <f t="shared" si="13"/>
        <v/>
      </c>
      <c r="H102" s="222"/>
      <c r="I102" s="191">
        <f t="shared" si="14"/>
        <v>0</v>
      </c>
      <c r="J102" s="188">
        <f>SUMIF('Purchases and Sales Data'!$A$3:$A$146,'GCR Rate and Recovery'!$A102,'Purchases and Sales Data'!$H$3:$H$146)+SUMIF('Purchases and Sales Data'!$A$3:$A$146,'GCR Rate and Recovery'!$A102,'Purchases and Sales Data'!J102:J245)</f>
        <v>0</v>
      </c>
      <c r="L102" s="191">
        <f>VLOOKUP($A102,'Purchases and Sales Data'!$A:$R,14,FALSE)</f>
        <v>0</v>
      </c>
      <c r="M102" s="191">
        <f>VLOOKUP($A102,'Purchases and Sales Data'!$A:$R,15,FALSE)</f>
        <v>0</v>
      </c>
      <c r="N102" s="213">
        <f t="shared" si="10"/>
        <v>0</v>
      </c>
    </row>
    <row r="103" spans="1:14" x14ac:dyDescent="0.2">
      <c r="A103" s="149">
        <f t="shared" si="9"/>
        <v>46508</v>
      </c>
      <c r="B103" s="44">
        <f t="shared" si="12"/>
        <v>46508</v>
      </c>
      <c r="C103" s="33">
        <f>VLOOKUP($A103,'Purchases and Sales Data'!$A:$K,11,FALSE)</f>
        <v>0</v>
      </c>
      <c r="E103" s="208"/>
      <c r="F103" s="210"/>
      <c r="G103" s="222" t="str">
        <f t="shared" si="13"/>
        <v/>
      </c>
      <c r="H103" s="222"/>
      <c r="I103" s="191">
        <f t="shared" si="14"/>
        <v>0</v>
      </c>
      <c r="J103" s="188">
        <f>SUMIF('Purchases and Sales Data'!$A$3:$A$146,'GCR Rate and Recovery'!$A103,'Purchases and Sales Data'!$H$3:$H$146)+SUMIF('Purchases and Sales Data'!$A$3:$A$146,'GCR Rate and Recovery'!$A103,'Purchases and Sales Data'!J103:J246)</f>
        <v>0</v>
      </c>
      <c r="L103" s="191">
        <f>VLOOKUP($A103,'Purchases and Sales Data'!$A:$R,14,FALSE)</f>
        <v>0</v>
      </c>
      <c r="M103" s="191">
        <f>VLOOKUP($A103,'Purchases and Sales Data'!$A:$R,15,FALSE)</f>
        <v>0</v>
      </c>
      <c r="N103" s="213">
        <f t="shared" si="10"/>
        <v>0</v>
      </c>
    </row>
    <row r="104" spans="1:14" x14ac:dyDescent="0.2">
      <c r="A104" s="149">
        <f t="shared" si="9"/>
        <v>46539</v>
      </c>
      <c r="B104" s="44">
        <f t="shared" si="12"/>
        <v>46539</v>
      </c>
      <c r="C104" s="33">
        <f>VLOOKUP($A104,'Purchases and Sales Data'!$A:$K,11,FALSE)</f>
        <v>0</v>
      </c>
      <c r="E104" s="208"/>
      <c r="F104" s="210"/>
      <c r="G104" s="222" t="str">
        <f t="shared" si="13"/>
        <v/>
      </c>
      <c r="H104" s="222"/>
      <c r="I104" s="191">
        <f t="shared" si="14"/>
        <v>0</v>
      </c>
      <c r="J104" s="188">
        <f>SUMIF('Purchases and Sales Data'!$A$3:$A$146,'GCR Rate and Recovery'!$A104,'Purchases and Sales Data'!$H$3:$H$146)+SUMIF('Purchases and Sales Data'!$A$3:$A$146,'GCR Rate and Recovery'!$A104,'Purchases and Sales Data'!J104:J247)</f>
        <v>0</v>
      </c>
      <c r="L104" s="191">
        <f>VLOOKUP($A104,'Purchases and Sales Data'!$A:$R,14,FALSE)</f>
        <v>0</v>
      </c>
      <c r="M104" s="191">
        <f>VLOOKUP($A104,'Purchases and Sales Data'!$A:$R,15,FALSE)</f>
        <v>0</v>
      </c>
      <c r="N104" s="213">
        <f t="shared" si="10"/>
        <v>0</v>
      </c>
    </row>
    <row r="105" spans="1:14" x14ac:dyDescent="0.2">
      <c r="A105" s="149">
        <f t="shared" si="9"/>
        <v>46569</v>
      </c>
      <c r="B105" s="44">
        <f t="shared" si="12"/>
        <v>46569</v>
      </c>
      <c r="C105" s="33">
        <f>VLOOKUP($A105,'Purchases and Sales Data'!$A:$K,11,FALSE)</f>
        <v>0</v>
      </c>
      <c r="E105" s="208"/>
      <c r="F105" s="210"/>
      <c r="G105" s="222" t="str">
        <f t="shared" si="13"/>
        <v/>
      </c>
      <c r="H105" s="222"/>
      <c r="I105" s="191">
        <f t="shared" si="14"/>
        <v>0</v>
      </c>
      <c r="J105" s="188">
        <f>SUMIF('Purchases and Sales Data'!$A$3:$A$146,'GCR Rate and Recovery'!$A105,'Purchases and Sales Data'!$H$3:$H$146)+SUMIF('Purchases and Sales Data'!$A$3:$A$146,'GCR Rate and Recovery'!$A105,'Purchases and Sales Data'!J105:J248)</f>
        <v>0</v>
      </c>
      <c r="L105" s="191">
        <f>VLOOKUP($A105,'Purchases and Sales Data'!$A:$R,14,FALSE)</f>
        <v>0</v>
      </c>
      <c r="M105" s="191">
        <f>VLOOKUP($A105,'Purchases and Sales Data'!$A:$R,15,FALSE)</f>
        <v>0</v>
      </c>
      <c r="N105" s="213">
        <f t="shared" si="10"/>
        <v>0</v>
      </c>
    </row>
    <row r="106" spans="1:14" x14ac:dyDescent="0.2">
      <c r="A106" s="149">
        <f t="shared" si="9"/>
        <v>46600</v>
      </c>
      <c r="B106" s="44">
        <f t="shared" si="12"/>
        <v>46600</v>
      </c>
      <c r="C106" s="33">
        <f>VLOOKUP($A106,'Purchases and Sales Data'!$A:$K,11,FALSE)</f>
        <v>0</v>
      </c>
      <c r="E106" s="208"/>
      <c r="F106" s="210"/>
      <c r="G106" s="222" t="str">
        <f t="shared" si="13"/>
        <v/>
      </c>
      <c r="H106" s="222"/>
      <c r="I106" s="191">
        <f t="shared" si="14"/>
        <v>0</v>
      </c>
      <c r="J106" s="188">
        <f>SUMIF('Purchases and Sales Data'!$A$3:$A$146,'GCR Rate and Recovery'!$A106,'Purchases and Sales Data'!$H$3:$H$146)+SUMIF('Purchases and Sales Data'!$A$3:$A$146,'GCR Rate and Recovery'!$A106,'Purchases and Sales Data'!J106:J249)</f>
        <v>0</v>
      </c>
      <c r="L106" s="191">
        <f>VLOOKUP($A106,'Purchases and Sales Data'!$A:$R,14,FALSE)</f>
        <v>0</v>
      </c>
      <c r="M106" s="191">
        <f>VLOOKUP($A106,'Purchases and Sales Data'!$A:$R,15,FALSE)</f>
        <v>0</v>
      </c>
      <c r="N106" s="213">
        <f t="shared" si="10"/>
        <v>0</v>
      </c>
    </row>
    <row r="107" spans="1:14" x14ac:dyDescent="0.2">
      <c r="A107" s="149">
        <f t="shared" si="9"/>
        <v>46631</v>
      </c>
      <c r="B107" s="44">
        <f t="shared" si="12"/>
        <v>46631</v>
      </c>
      <c r="C107" s="33">
        <f>VLOOKUP($A107,'Purchases and Sales Data'!$A:$K,11,FALSE)</f>
        <v>0</v>
      </c>
      <c r="E107" s="208"/>
      <c r="F107" s="210"/>
      <c r="G107" s="222" t="str">
        <f t="shared" si="13"/>
        <v/>
      </c>
      <c r="H107" s="222"/>
      <c r="I107" s="191">
        <f t="shared" si="14"/>
        <v>0</v>
      </c>
      <c r="J107" s="188">
        <f>SUMIF('Purchases and Sales Data'!$A$3:$A$146,'GCR Rate and Recovery'!$A107,'Purchases and Sales Data'!$H$3:$H$146)+SUMIF('Purchases and Sales Data'!$A$3:$A$146,'GCR Rate and Recovery'!$A107,'Purchases and Sales Data'!J107:J250)</f>
        <v>0</v>
      </c>
      <c r="L107" s="191">
        <f>VLOOKUP($A107,'Purchases and Sales Data'!$A:$R,14,FALSE)</f>
        <v>0</v>
      </c>
      <c r="M107" s="191">
        <f>VLOOKUP($A107,'Purchases and Sales Data'!$A:$R,15,FALSE)</f>
        <v>0</v>
      </c>
      <c r="N107" s="213">
        <f t="shared" si="10"/>
        <v>0</v>
      </c>
    </row>
    <row r="108" spans="1:14" x14ac:dyDescent="0.2">
      <c r="A108" s="149">
        <f t="shared" si="9"/>
        <v>46661</v>
      </c>
      <c r="B108" s="44">
        <f t="shared" si="12"/>
        <v>46661</v>
      </c>
      <c r="C108" s="33">
        <f>VLOOKUP($A108,'Purchases and Sales Data'!$A:$K,11,FALSE)</f>
        <v>0</v>
      </c>
      <c r="E108" s="208"/>
      <c r="F108" s="210"/>
      <c r="G108" s="222" t="str">
        <f t="shared" si="13"/>
        <v/>
      </c>
      <c r="H108" s="222"/>
      <c r="I108" s="191">
        <f t="shared" si="14"/>
        <v>0</v>
      </c>
      <c r="J108" s="188">
        <f>SUMIF('Purchases and Sales Data'!$A$3:$A$146,'GCR Rate and Recovery'!$A108,'Purchases and Sales Data'!$H$3:$H$146)+SUMIF('Purchases and Sales Data'!$A$3:$A$146,'GCR Rate and Recovery'!$A108,'Purchases and Sales Data'!J108:J251)</f>
        <v>0</v>
      </c>
      <c r="L108" s="191">
        <f>VLOOKUP($A108,'Purchases and Sales Data'!$A:$R,14,FALSE)</f>
        <v>0</v>
      </c>
      <c r="M108" s="191">
        <f>VLOOKUP($A108,'Purchases and Sales Data'!$A:$R,15,FALSE)</f>
        <v>0</v>
      </c>
      <c r="N108" s="213">
        <f t="shared" si="10"/>
        <v>0</v>
      </c>
    </row>
    <row r="109" spans="1:14" x14ac:dyDescent="0.2">
      <c r="A109" s="149">
        <f t="shared" si="9"/>
        <v>46692</v>
      </c>
      <c r="B109" s="44">
        <f t="shared" si="12"/>
        <v>46692</v>
      </c>
      <c r="C109" s="33">
        <f>VLOOKUP($A109,'Purchases and Sales Data'!$A:$K,11,FALSE)</f>
        <v>0</v>
      </c>
      <c r="E109" s="208"/>
      <c r="F109" s="210"/>
      <c r="G109" s="222" t="str">
        <f t="shared" si="13"/>
        <v/>
      </c>
      <c r="H109" s="222"/>
      <c r="I109" s="191">
        <f t="shared" si="14"/>
        <v>0</v>
      </c>
      <c r="J109" s="188">
        <f>SUMIF('Purchases and Sales Data'!$A$3:$A$146,'GCR Rate and Recovery'!$A109,'Purchases and Sales Data'!$H$3:$H$146)+SUMIF('Purchases and Sales Data'!$A$3:$A$146,'GCR Rate and Recovery'!$A109,'Purchases and Sales Data'!J109:J252)</f>
        <v>0</v>
      </c>
      <c r="L109" s="191">
        <f>VLOOKUP($A109,'Purchases and Sales Data'!$A:$R,14,FALSE)</f>
        <v>0</v>
      </c>
      <c r="M109" s="191">
        <f>VLOOKUP($A109,'Purchases and Sales Data'!$A:$R,15,FALSE)</f>
        <v>0</v>
      </c>
      <c r="N109" s="213">
        <f t="shared" si="10"/>
        <v>0</v>
      </c>
    </row>
    <row r="110" spans="1:14" x14ac:dyDescent="0.2">
      <c r="A110" s="149">
        <f t="shared" si="9"/>
        <v>46722</v>
      </c>
      <c r="B110" s="44">
        <f t="shared" si="12"/>
        <v>46722</v>
      </c>
      <c r="C110" s="33">
        <f>VLOOKUP($A110,'Purchases and Sales Data'!$A:$K,11,FALSE)</f>
        <v>0</v>
      </c>
      <c r="E110" s="208"/>
      <c r="F110" s="210"/>
      <c r="G110" s="222" t="str">
        <f t="shared" si="13"/>
        <v/>
      </c>
      <c r="H110" s="222"/>
      <c r="I110" s="191">
        <f t="shared" si="14"/>
        <v>0</v>
      </c>
      <c r="J110" s="188">
        <f>SUMIF('Purchases and Sales Data'!$A$3:$A$146,'GCR Rate and Recovery'!$A110,'Purchases and Sales Data'!$H$3:$H$146)+SUMIF('Purchases and Sales Data'!$A$3:$A$146,'GCR Rate and Recovery'!$A110,'Purchases and Sales Data'!J110:J253)</f>
        <v>0</v>
      </c>
      <c r="L110" s="191">
        <f>VLOOKUP($A110,'Purchases and Sales Data'!$A:$R,14,FALSE)</f>
        <v>0</v>
      </c>
      <c r="M110" s="191">
        <f>VLOOKUP($A110,'Purchases and Sales Data'!$A:$R,15,FALSE)</f>
        <v>0</v>
      </c>
      <c r="N110" s="213">
        <f t="shared" si="10"/>
        <v>0</v>
      </c>
    </row>
    <row r="111" spans="1:14" x14ac:dyDescent="0.2">
      <c r="A111" s="149">
        <f t="shared" si="9"/>
        <v>46753</v>
      </c>
      <c r="B111" s="44">
        <f t="shared" si="12"/>
        <v>46753</v>
      </c>
      <c r="C111" s="33">
        <f>VLOOKUP($A111,'Purchases and Sales Data'!$A:$K,11,FALSE)</f>
        <v>0</v>
      </c>
      <c r="E111" s="208"/>
      <c r="F111" s="210"/>
      <c r="G111" s="222" t="str">
        <f t="shared" si="13"/>
        <v/>
      </c>
      <c r="H111" s="222"/>
      <c r="I111" s="191">
        <f t="shared" si="14"/>
        <v>0</v>
      </c>
      <c r="J111" s="188">
        <f>SUMIF('Purchases and Sales Data'!$A$3:$A$146,'GCR Rate and Recovery'!$A111,'Purchases and Sales Data'!$H$3:$H$146)+SUMIF('Purchases and Sales Data'!$A$3:$A$146,'GCR Rate and Recovery'!$A111,'Purchases and Sales Data'!J111:J254)</f>
        <v>0</v>
      </c>
      <c r="L111" s="191">
        <f>VLOOKUP($A111,'Purchases and Sales Data'!$A:$R,14,FALSE)</f>
        <v>0</v>
      </c>
      <c r="M111" s="191">
        <f>VLOOKUP($A111,'Purchases and Sales Data'!$A:$R,15,FALSE)</f>
        <v>0</v>
      </c>
      <c r="N111" s="213">
        <f t="shared" si="10"/>
        <v>0</v>
      </c>
    </row>
    <row r="112" spans="1:14" x14ac:dyDescent="0.2">
      <c r="A112" s="149">
        <f t="shared" si="9"/>
        <v>46784</v>
      </c>
      <c r="B112" s="44">
        <f t="shared" si="12"/>
        <v>46784</v>
      </c>
      <c r="C112" s="33">
        <f>VLOOKUP($A112,'Purchases and Sales Data'!$A:$K,11,FALSE)</f>
        <v>0</v>
      </c>
      <c r="E112" s="208"/>
      <c r="F112" s="210"/>
      <c r="G112" s="222" t="str">
        <f t="shared" si="13"/>
        <v/>
      </c>
      <c r="H112" s="222"/>
      <c r="I112" s="191">
        <f t="shared" si="14"/>
        <v>0</v>
      </c>
      <c r="J112" s="188">
        <f>SUMIF('Purchases and Sales Data'!$A$3:$A$146,'GCR Rate and Recovery'!$A112,'Purchases and Sales Data'!$H$3:$H$146)+SUMIF('Purchases and Sales Data'!$A$3:$A$146,'GCR Rate and Recovery'!$A112,'Purchases and Sales Data'!J112:J255)</f>
        <v>0</v>
      </c>
      <c r="L112" s="191">
        <f>VLOOKUP($A112,'Purchases and Sales Data'!$A:$R,14,FALSE)</f>
        <v>0</v>
      </c>
      <c r="M112" s="191">
        <f>VLOOKUP($A112,'Purchases and Sales Data'!$A:$R,15,FALSE)</f>
        <v>0</v>
      </c>
      <c r="N112" s="213">
        <f t="shared" si="10"/>
        <v>0</v>
      </c>
    </row>
    <row r="113" spans="1:14" x14ac:dyDescent="0.2">
      <c r="A113" s="149">
        <f t="shared" si="9"/>
        <v>46813</v>
      </c>
      <c r="B113" s="44">
        <f t="shared" si="12"/>
        <v>46813</v>
      </c>
      <c r="C113" s="33">
        <f>VLOOKUP($A113,'Purchases and Sales Data'!$A:$K,11,FALSE)</f>
        <v>0</v>
      </c>
      <c r="E113" s="208"/>
      <c r="F113" s="210"/>
      <c r="G113" s="222" t="str">
        <f t="shared" si="13"/>
        <v/>
      </c>
      <c r="H113" s="222"/>
      <c r="I113" s="191">
        <f t="shared" si="14"/>
        <v>0</v>
      </c>
      <c r="J113" s="188">
        <f>SUMIF('Purchases and Sales Data'!$A$3:$A$146,'GCR Rate and Recovery'!$A113,'Purchases and Sales Data'!$H$3:$H$146)+SUMIF('Purchases and Sales Data'!$A$3:$A$146,'GCR Rate and Recovery'!$A113,'Purchases and Sales Data'!J113:J256)</f>
        <v>0</v>
      </c>
      <c r="L113" s="191">
        <f>VLOOKUP($A113,'Purchases and Sales Data'!$A:$R,14,FALSE)</f>
        <v>0</v>
      </c>
      <c r="M113" s="191">
        <f>VLOOKUP($A113,'Purchases and Sales Data'!$A:$R,15,FALSE)</f>
        <v>0</v>
      </c>
      <c r="N113" s="213">
        <f t="shared" si="10"/>
        <v>0</v>
      </c>
    </row>
    <row r="114" spans="1:14" x14ac:dyDescent="0.2">
      <c r="A114" s="149">
        <f t="shared" si="9"/>
        <v>46844</v>
      </c>
      <c r="B114" s="44">
        <f t="shared" si="12"/>
        <v>46844</v>
      </c>
      <c r="C114" s="33">
        <f>VLOOKUP($A114,'Purchases and Sales Data'!$A:$K,11,FALSE)</f>
        <v>0</v>
      </c>
      <c r="E114" s="208"/>
      <c r="F114" s="210"/>
      <c r="G114" s="222" t="str">
        <f t="shared" si="13"/>
        <v/>
      </c>
      <c r="H114" s="222"/>
      <c r="I114" s="191">
        <f t="shared" si="14"/>
        <v>0</v>
      </c>
      <c r="J114" s="188">
        <f>SUMIF('Purchases and Sales Data'!$A$3:$A$146,'GCR Rate and Recovery'!$A114,'Purchases and Sales Data'!$H$3:$H$146)+SUMIF('Purchases and Sales Data'!$A$3:$A$146,'GCR Rate and Recovery'!$A114,'Purchases and Sales Data'!J114:J257)</f>
        <v>0</v>
      </c>
      <c r="L114" s="191">
        <f>VLOOKUP($A114,'Purchases and Sales Data'!$A:$R,14,FALSE)</f>
        <v>0</v>
      </c>
      <c r="M114" s="191">
        <f>VLOOKUP($A114,'Purchases and Sales Data'!$A:$R,15,FALSE)</f>
        <v>0</v>
      </c>
      <c r="N114" s="213">
        <f t="shared" si="10"/>
        <v>0</v>
      </c>
    </row>
    <row r="115" spans="1:14" x14ac:dyDescent="0.2">
      <c r="A115" s="149">
        <f t="shared" si="9"/>
        <v>46874</v>
      </c>
      <c r="B115" s="44">
        <f t="shared" si="12"/>
        <v>46874</v>
      </c>
      <c r="C115" s="33">
        <f>VLOOKUP($A115,'Purchases and Sales Data'!$A:$K,11,FALSE)</f>
        <v>0</v>
      </c>
      <c r="E115" s="208"/>
      <c r="F115" s="210"/>
      <c r="G115" s="222" t="str">
        <f t="shared" si="13"/>
        <v/>
      </c>
      <c r="H115" s="222"/>
      <c r="I115" s="191">
        <f t="shared" si="14"/>
        <v>0</v>
      </c>
      <c r="J115" s="188">
        <f>SUMIF('Purchases and Sales Data'!$A$3:$A$146,'GCR Rate and Recovery'!$A115,'Purchases and Sales Data'!$H$3:$H$146)+SUMIF('Purchases and Sales Data'!$A$3:$A$146,'GCR Rate and Recovery'!$A115,'Purchases and Sales Data'!J115:J258)</f>
        <v>0</v>
      </c>
      <c r="L115" s="191">
        <f>VLOOKUP($A115,'Purchases and Sales Data'!$A:$R,14,FALSE)</f>
        <v>0</v>
      </c>
      <c r="M115" s="191">
        <f>VLOOKUP($A115,'Purchases and Sales Data'!$A:$R,15,FALSE)</f>
        <v>0</v>
      </c>
      <c r="N115" s="213">
        <f t="shared" si="10"/>
        <v>0</v>
      </c>
    </row>
    <row r="116" spans="1:14" x14ac:dyDescent="0.2">
      <c r="A116" s="149">
        <f t="shared" si="9"/>
        <v>46905</v>
      </c>
      <c r="B116" s="44">
        <f t="shared" si="12"/>
        <v>46905</v>
      </c>
      <c r="C116" s="33">
        <f>VLOOKUP($A116,'Purchases and Sales Data'!$A:$K,11,FALSE)</f>
        <v>0</v>
      </c>
      <c r="E116" s="208"/>
      <c r="F116" s="210"/>
      <c r="G116" s="222" t="str">
        <f t="shared" si="13"/>
        <v/>
      </c>
      <c r="H116" s="222"/>
      <c r="I116" s="191">
        <f t="shared" si="14"/>
        <v>0</v>
      </c>
      <c r="J116" s="188">
        <f>SUMIF('Purchases and Sales Data'!$A$3:$A$146,'GCR Rate and Recovery'!$A116,'Purchases and Sales Data'!$H$3:$H$146)+SUMIF('Purchases and Sales Data'!$A$3:$A$146,'GCR Rate and Recovery'!$A116,'Purchases and Sales Data'!J116:J259)</f>
        <v>0</v>
      </c>
      <c r="L116" s="191">
        <f>VLOOKUP($A116,'Purchases and Sales Data'!$A:$R,14,FALSE)</f>
        <v>0</v>
      </c>
      <c r="M116" s="191">
        <f>VLOOKUP($A116,'Purchases and Sales Data'!$A:$R,15,FALSE)</f>
        <v>0</v>
      </c>
      <c r="N116" s="213">
        <f t="shared" si="10"/>
        <v>0</v>
      </c>
    </row>
    <row r="117" spans="1:14" x14ac:dyDescent="0.2">
      <c r="A117" s="149">
        <f t="shared" si="9"/>
        <v>46935</v>
      </c>
      <c r="B117" s="44">
        <f t="shared" si="12"/>
        <v>46935</v>
      </c>
      <c r="C117" s="33">
        <f>VLOOKUP($A117,'Purchases and Sales Data'!$A:$K,11,FALSE)</f>
        <v>0</v>
      </c>
      <c r="E117" s="208"/>
      <c r="F117" s="210"/>
      <c r="G117" s="222" t="str">
        <f t="shared" si="13"/>
        <v/>
      </c>
      <c r="H117" s="222"/>
      <c r="I117" s="191">
        <f t="shared" si="14"/>
        <v>0</v>
      </c>
      <c r="J117" s="188">
        <f>SUMIF('Purchases and Sales Data'!$A$3:$A$146,'GCR Rate and Recovery'!$A117,'Purchases and Sales Data'!$H$3:$H$146)+SUMIF('Purchases and Sales Data'!$A$3:$A$146,'GCR Rate and Recovery'!$A117,'Purchases and Sales Data'!J117:J260)</f>
        <v>0</v>
      </c>
      <c r="L117" s="191">
        <f>VLOOKUP($A117,'Purchases and Sales Data'!$A:$R,14,FALSE)</f>
        <v>0</v>
      </c>
      <c r="M117" s="191">
        <f>VLOOKUP($A117,'Purchases and Sales Data'!$A:$R,15,FALSE)</f>
        <v>0</v>
      </c>
      <c r="N117" s="213">
        <f t="shared" si="10"/>
        <v>0</v>
      </c>
    </row>
    <row r="118" spans="1:14" x14ac:dyDescent="0.2">
      <c r="A118" s="149">
        <f t="shared" si="9"/>
        <v>46966</v>
      </c>
      <c r="B118" s="44">
        <f t="shared" si="12"/>
        <v>46966</v>
      </c>
      <c r="C118" s="33">
        <f>VLOOKUP($A118,'Purchases and Sales Data'!$A:$K,11,FALSE)</f>
        <v>0</v>
      </c>
      <c r="E118" s="208"/>
      <c r="F118" s="210"/>
      <c r="G118" s="222" t="str">
        <f t="shared" si="13"/>
        <v/>
      </c>
      <c r="H118" s="222"/>
      <c r="I118" s="191">
        <f t="shared" si="14"/>
        <v>0</v>
      </c>
      <c r="J118" s="188">
        <f>SUMIF('Purchases and Sales Data'!$A$3:$A$146,'GCR Rate and Recovery'!$A118,'Purchases and Sales Data'!$H$3:$H$146)+SUMIF('Purchases and Sales Data'!$A$3:$A$146,'GCR Rate and Recovery'!$A118,'Purchases and Sales Data'!J118:J261)</f>
        <v>0</v>
      </c>
      <c r="L118" s="191">
        <f>VLOOKUP($A118,'Purchases and Sales Data'!$A:$R,14,FALSE)</f>
        <v>0</v>
      </c>
      <c r="M118" s="191">
        <f>VLOOKUP($A118,'Purchases and Sales Data'!$A:$R,15,FALSE)</f>
        <v>0</v>
      </c>
      <c r="N118" s="213">
        <f t="shared" si="10"/>
        <v>0</v>
      </c>
    </row>
    <row r="119" spans="1:14" x14ac:dyDescent="0.2">
      <c r="A119" s="149">
        <f t="shared" si="9"/>
        <v>46997</v>
      </c>
      <c r="B119" s="44">
        <f t="shared" si="12"/>
        <v>46997</v>
      </c>
      <c r="C119" s="33">
        <f>VLOOKUP($A119,'Purchases and Sales Data'!$A:$K,11,FALSE)</f>
        <v>0</v>
      </c>
      <c r="E119" s="208"/>
      <c r="F119" s="210"/>
      <c r="G119" s="222" t="str">
        <f t="shared" si="13"/>
        <v/>
      </c>
      <c r="H119" s="222"/>
      <c r="I119" s="191">
        <f t="shared" si="14"/>
        <v>0</v>
      </c>
      <c r="J119" s="188">
        <f>SUMIF('Purchases and Sales Data'!$A$3:$A$146,'GCR Rate and Recovery'!$A119,'Purchases and Sales Data'!$H$3:$H$146)+SUMIF('Purchases and Sales Data'!$A$3:$A$146,'GCR Rate and Recovery'!$A119,'Purchases and Sales Data'!J119:J262)</f>
        <v>0</v>
      </c>
      <c r="L119" s="191">
        <f>VLOOKUP($A119,'Purchases and Sales Data'!$A:$R,14,FALSE)</f>
        <v>0</v>
      </c>
      <c r="M119" s="191">
        <f>VLOOKUP($A119,'Purchases and Sales Data'!$A:$R,15,FALSE)</f>
        <v>0</v>
      </c>
      <c r="N119" s="213">
        <f t="shared" si="10"/>
        <v>0</v>
      </c>
    </row>
    <row r="120" spans="1:14" x14ac:dyDescent="0.2">
      <c r="A120" s="149">
        <f t="shared" si="9"/>
        <v>47027</v>
      </c>
      <c r="B120" s="44">
        <f t="shared" si="12"/>
        <v>47027</v>
      </c>
      <c r="C120" s="33">
        <f>VLOOKUP($A120,'Purchases and Sales Data'!$A:$K,11,FALSE)</f>
        <v>0</v>
      </c>
      <c r="E120" s="208"/>
      <c r="F120" s="210"/>
      <c r="G120" s="222" t="str">
        <f t="shared" si="13"/>
        <v/>
      </c>
      <c r="H120" s="222"/>
      <c r="I120" s="191">
        <f t="shared" si="14"/>
        <v>0</v>
      </c>
      <c r="J120" s="188">
        <f>SUMIF('Purchases and Sales Data'!$A$3:$A$146,'GCR Rate and Recovery'!$A120,'Purchases and Sales Data'!$H$3:$H$146)+SUMIF('Purchases and Sales Data'!$A$3:$A$146,'GCR Rate and Recovery'!$A120,'Purchases and Sales Data'!J120:J263)</f>
        <v>0</v>
      </c>
      <c r="L120" s="191">
        <f>VLOOKUP($A120,'Purchases and Sales Data'!$A:$R,14,FALSE)</f>
        <v>0</v>
      </c>
      <c r="M120" s="191">
        <f>VLOOKUP($A120,'Purchases and Sales Data'!$A:$R,15,FALSE)</f>
        <v>0</v>
      </c>
      <c r="N120" s="213">
        <f t="shared" si="10"/>
        <v>0</v>
      </c>
    </row>
    <row r="121" spans="1:14" x14ac:dyDescent="0.2">
      <c r="A121" s="149">
        <f t="shared" si="9"/>
        <v>47058</v>
      </c>
      <c r="B121" s="44">
        <f t="shared" si="12"/>
        <v>47058</v>
      </c>
      <c r="C121" s="33">
        <f>VLOOKUP($A121,'Purchases and Sales Data'!$A:$K,11,FALSE)</f>
        <v>0</v>
      </c>
      <c r="E121" s="208"/>
      <c r="F121" s="210"/>
      <c r="G121" s="222" t="str">
        <f t="shared" si="13"/>
        <v/>
      </c>
      <c r="H121" s="222"/>
      <c r="I121" s="191">
        <f t="shared" si="14"/>
        <v>0</v>
      </c>
      <c r="J121" s="188">
        <f>SUMIF('Purchases and Sales Data'!$A$3:$A$146,'GCR Rate and Recovery'!$A121,'Purchases and Sales Data'!$H$3:$H$146)+SUMIF('Purchases and Sales Data'!$A$3:$A$146,'GCR Rate and Recovery'!$A121,'Purchases and Sales Data'!J121:J264)</f>
        <v>0</v>
      </c>
      <c r="L121" s="191">
        <f>VLOOKUP($A121,'Purchases and Sales Data'!$A:$R,14,FALSE)</f>
        <v>0</v>
      </c>
      <c r="M121" s="191">
        <f>VLOOKUP($A121,'Purchases and Sales Data'!$A:$R,15,FALSE)</f>
        <v>0</v>
      </c>
      <c r="N121" s="213">
        <f t="shared" si="10"/>
        <v>0</v>
      </c>
    </row>
    <row r="122" spans="1:14" x14ac:dyDescent="0.2">
      <c r="A122" s="149">
        <f t="shared" si="9"/>
        <v>47088</v>
      </c>
      <c r="B122" s="44">
        <f t="shared" si="12"/>
        <v>47088</v>
      </c>
      <c r="C122" s="33">
        <f>VLOOKUP($A122,'Purchases and Sales Data'!$A:$K,11,FALSE)</f>
        <v>0</v>
      </c>
      <c r="E122" s="208"/>
      <c r="F122" s="210"/>
      <c r="G122" s="222" t="str">
        <f t="shared" si="13"/>
        <v/>
      </c>
      <c r="H122" s="222"/>
      <c r="I122" s="191">
        <f t="shared" si="14"/>
        <v>0</v>
      </c>
      <c r="J122" s="188">
        <f>SUMIF('Purchases and Sales Data'!$A$3:$A$146,'GCR Rate and Recovery'!$A122,'Purchases and Sales Data'!$H$3:$H$146)+SUMIF('Purchases and Sales Data'!$A$3:$A$146,'GCR Rate and Recovery'!$A122,'Purchases and Sales Data'!J122:J265)</f>
        <v>0</v>
      </c>
      <c r="L122" s="191">
        <f>VLOOKUP($A122,'Purchases and Sales Data'!$A:$R,14,FALSE)</f>
        <v>0</v>
      </c>
      <c r="M122" s="191">
        <f>VLOOKUP($A122,'Purchases and Sales Data'!$A:$R,15,FALSE)</f>
        <v>0</v>
      </c>
      <c r="N122" s="213">
        <f t="shared" si="10"/>
        <v>0</v>
      </c>
    </row>
    <row r="123" spans="1:14" x14ac:dyDescent="0.2">
      <c r="A123" s="149">
        <f t="shared" si="9"/>
        <v>47119</v>
      </c>
      <c r="B123" s="44">
        <f t="shared" si="12"/>
        <v>47119</v>
      </c>
      <c r="C123" s="33">
        <f>VLOOKUP($A123,'Purchases and Sales Data'!$A:$K,11,FALSE)</f>
        <v>0</v>
      </c>
      <c r="E123" s="208"/>
      <c r="F123" s="210"/>
      <c r="G123" s="222" t="str">
        <f t="shared" si="13"/>
        <v/>
      </c>
      <c r="H123" s="222"/>
      <c r="I123" s="191">
        <f t="shared" si="14"/>
        <v>0</v>
      </c>
      <c r="J123" s="188">
        <f>SUMIF('Purchases and Sales Data'!$A$3:$A$146,'GCR Rate and Recovery'!$A123,'Purchases and Sales Data'!$H$3:$H$146)+SUMIF('Purchases and Sales Data'!$A$3:$A$146,'GCR Rate and Recovery'!$A123,'Purchases and Sales Data'!J123:J266)</f>
        <v>0</v>
      </c>
      <c r="L123" s="191">
        <f>VLOOKUP($A123,'Purchases and Sales Data'!$A:$R,14,FALSE)</f>
        <v>0</v>
      </c>
      <c r="M123" s="191">
        <f>VLOOKUP($A123,'Purchases and Sales Data'!$A:$R,15,FALSE)</f>
        <v>0</v>
      </c>
      <c r="N123" s="213">
        <f t="shared" si="10"/>
        <v>0</v>
      </c>
    </row>
    <row r="124" spans="1:14" x14ac:dyDescent="0.2">
      <c r="A124" s="149">
        <f t="shared" si="9"/>
        <v>47150</v>
      </c>
      <c r="B124" s="44">
        <f t="shared" si="12"/>
        <v>47150</v>
      </c>
      <c r="C124" s="33">
        <f>VLOOKUP($A124,'Purchases and Sales Data'!$A:$K,11,FALSE)</f>
        <v>0</v>
      </c>
      <c r="E124" s="208"/>
      <c r="F124" s="210"/>
      <c r="G124" s="222" t="str">
        <f t="shared" si="13"/>
        <v/>
      </c>
      <c r="H124" s="222"/>
      <c r="I124" s="191">
        <f t="shared" si="14"/>
        <v>0</v>
      </c>
      <c r="J124" s="188">
        <f>SUMIF('Purchases and Sales Data'!$A$3:$A$146,'GCR Rate and Recovery'!$A124,'Purchases and Sales Data'!$H$3:$H$146)+SUMIF('Purchases and Sales Data'!$A$3:$A$146,'GCR Rate and Recovery'!$A124,'Purchases and Sales Data'!J124:J267)</f>
        <v>0</v>
      </c>
      <c r="L124" s="191">
        <f>VLOOKUP($A124,'Purchases and Sales Data'!$A:$R,14,FALSE)</f>
        <v>0</v>
      </c>
      <c r="M124" s="191">
        <f>VLOOKUP($A124,'Purchases and Sales Data'!$A:$R,15,FALSE)</f>
        <v>0</v>
      </c>
      <c r="N124" s="213">
        <f t="shared" si="10"/>
        <v>0</v>
      </c>
    </row>
    <row r="125" spans="1:14" x14ac:dyDescent="0.2">
      <c r="A125" s="149">
        <f t="shared" si="9"/>
        <v>47178</v>
      </c>
      <c r="B125" s="44">
        <f t="shared" si="12"/>
        <v>47178</v>
      </c>
      <c r="C125" s="33">
        <f>VLOOKUP($A125,'Purchases and Sales Data'!$A:$K,11,FALSE)</f>
        <v>0</v>
      </c>
      <c r="E125" s="208"/>
      <c r="F125" s="210"/>
      <c r="G125" s="222" t="str">
        <f t="shared" si="13"/>
        <v/>
      </c>
      <c r="H125" s="222"/>
      <c r="I125" s="191">
        <f t="shared" si="14"/>
        <v>0</v>
      </c>
      <c r="J125" s="188">
        <f>SUMIF('Purchases and Sales Data'!$A$3:$A$146,'GCR Rate and Recovery'!$A125,'Purchases and Sales Data'!$H$3:$H$146)+SUMIF('Purchases and Sales Data'!$A$3:$A$146,'GCR Rate and Recovery'!$A125,'Purchases and Sales Data'!J125:J268)</f>
        <v>0</v>
      </c>
      <c r="L125" s="191">
        <f>VLOOKUP($A125,'Purchases and Sales Data'!$A:$R,14,FALSE)</f>
        <v>0</v>
      </c>
      <c r="M125" s="191">
        <f>VLOOKUP($A125,'Purchases and Sales Data'!$A:$R,15,FALSE)</f>
        <v>0</v>
      </c>
      <c r="N125" s="213">
        <f t="shared" si="10"/>
        <v>0</v>
      </c>
    </row>
    <row r="126" spans="1:14" x14ac:dyDescent="0.2">
      <c r="A126" s="149">
        <f t="shared" si="9"/>
        <v>47209</v>
      </c>
      <c r="B126" s="44">
        <f t="shared" si="12"/>
        <v>47209</v>
      </c>
      <c r="C126" s="33">
        <f>VLOOKUP($A126,'Purchases and Sales Data'!$A:$K,11,FALSE)</f>
        <v>0</v>
      </c>
      <c r="E126" s="208"/>
      <c r="F126" s="210"/>
      <c r="G126" s="222" t="str">
        <f t="shared" si="13"/>
        <v/>
      </c>
      <c r="H126" s="222"/>
      <c r="I126" s="191">
        <f t="shared" si="14"/>
        <v>0</v>
      </c>
      <c r="J126" s="188">
        <f>SUMIF('Purchases and Sales Data'!$A$3:$A$146,'GCR Rate and Recovery'!$A126,'Purchases and Sales Data'!$H$3:$H$146)+SUMIF('Purchases and Sales Data'!$A$3:$A$146,'GCR Rate and Recovery'!$A126,'Purchases and Sales Data'!J126:J269)</f>
        <v>0</v>
      </c>
      <c r="L126" s="191">
        <f>VLOOKUP($A126,'Purchases and Sales Data'!$A:$R,14,FALSE)</f>
        <v>0</v>
      </c>
      <c r="M126" s="191">
        <f>VLOOKUP($A126,'Purchases and Sales Data'!$A:$R,15,FALSE)</f>
        <v>0</v>
      </c>
      <c r="N126" s="213">
        <f t="shared" si="10"/>
        <v>0</v>
      </c>
    </row>
    <row r="127" spans="1:14" x14ac:dyDescent="0.2">
      <c r="A127" s="149">
        <f t="shared" si="9"/>
        <v>47239</v>
      </c>
      <c r="B127" s="44">
        <f t="shared" si="12"/>
        <v>47239</v>
      </c>
      <c r="C127" s="33">
        <f>VLOOKUP($A127,'Purchases and Sales Data'!$A:$K,11,FALSE)</f>
        <v>0</v>
      </c>
      <c r="E127" s="208"/>
      <c r="F127" s="210"/>
      <c r="G127" s="222" t="str">
        <f t="shared" si="13"/>
        <v/>
      </c>
      <c r="H127" s="222"/>
      <c r="I127" s="191">
        <f t="shared" si="14"/>
        <v>0</v>
      </c>
      <c r="J127" s="188">
        <f>SUMIF('Purchases and Sales Data'!$A$3:$A$146,'GCR Rate and Recovery'!$A127,'Purchases and Sales Data'!$H$3:$H$146)+SUMIF('Purchases and Sales Data'!$A$3:$A$146,'GCR Rate and Recovery'!$A127,'Purchases and Sales Data'!J127:J270)</f>
        <v>0</v>
      </c>
      <c r="L127" s="191">
        <f>VLOOKUP($A127,'Purchases and Sales Data'!$A:$R,14,FALSE)</f>
        <v>0</v>
      </c>
      <c r="M127" s="191">
        <f>VLOOKUP($A127,'Purchases and Sales Data'!$A:$R,15,FALSE)</f>
        <v>0</v>
      </c>
      <c r="N127" s="213">
        <f t="shared" si="10"/>
        <v>0</v>
      </c>
    </row>
    <row r="128" spans="1:14" x14ac:dyDescent="0.2">
      <c r="A128" s="149">
        <f t="shared" si="9"/>
        <v>47270</v>
      </c>
      <c r="B128" s="44">
        <f t="shared" si="12"/>
        <v>47270</v>
      </c>
      <c r="C128" s="33">
        <f>VLOOKUP($A128,'Purchases and Sales Data'!$A:$K,11,FALSE)</f>
        <v>0</v>
      </c>
      <c r="E128" s="208"/>
      <c r="F128" s="210"/>
      <c r="G128" s="222" t="str">
        <f t="shared" si="13"/>
        <v/>
      </c>
      <c r="H128" s="222"/>
      <c r="I128" s="191">
        <f t="shared" si="14"/>
        <v>0</v>
      </c>
      <c r="J128" s="188">
        <f>SUMIF('Purchases and Sales Data'!$A$3:$A$146,'GCR Rate and Recovery'!$A128,'Purchases and Sales Data'!$H$3:$H$146)+SUMIF('Purchases and Sales Data'!$A$3:$A$146,'GCR Rate and Recovery'!$A128,'Purchases and Sales Data'!J128:J271)</f>
        <v>0</v>
      </c>
      <c r="L128" s="191">
        <f>VLOOKUP($A128,'Purchases and Sales Data'!$A:$R,14,FALSE)</f>
        <v>0</v>
      </c>
      <c r="M128" s="191">
        <f>VLOOKUP($A128,'Purchases and Sales Data'!$A:$R,15,FALSE)</f>
        <v>0</v>
      </c>
      <c r="N128" s="213">
        <f t="shared" si="10"/>
        <v>0</v>
      </c>
    </row>
    <row r="129" spans="1:14" x14ac:dyDescent="0.2">
      <c r="A129" s="149">
        <f t="shared" si="9"/>
        <v>47300</v>
      </c>
      <c r="B129" s="44">
        <f t="shared" si="12"/>
        <v>47300</v>
      </c>
      <c r="C129" s="33">
        <f>VLOOKUP($A129,'Purchases and Sales Data'!$A:$K,11,FALSE)</f>
        <v>0</v>
      </c>
      <c r="E129" s="208"/>
      <c r="F129" s="210"/>
      <c r="G129" s="222" t="str">
        <f t="shared" si="13"/>
        <v/>
      </c>
      <c r="H129" s="222"/>
      <c r="I129" s="191">
        <f t="shared" si="14"/>
        <v>0</v>
      </c>
      <c r="J129" s="188">
        <f>SUMIF('Purchases and Sales Data'!$A$3:$A$146,'GCR Rate and Recovery'!$A129,'Purchases and Sales Data'!$H$3:$H$146)+SUMIF('Purchases and Sales Data'!$A$3:$A$146,'GCR Rate and Recovery'!$A129,'Purchases and Sales Data'!J129:J272)</f>
        <v>0</v>
      </c>
      <c r="L129" s="191">
        <f>VLOOKUP($A129,'Purchases and Sales Data'!$A:$R,14,FALSE)</f>
        <v>0</v>
      </c>
      <c r="M129" s="191">
        <f>VLOOKUP($A129,'Purchases and Sales Data'!$A:$R,15,FALSE)</f>
        <v>0</v>
      </c>
      <c r="N129" s="213">
        <f t="shared" si="10"/>
        <v>0</v>
      </c>
    </row>
    <row r="130" spans="1:14" x14ac:dyDescent="0.2">
      <c r="A130" s="149">
        <f t="shared" si="9"/>
        <v>47331</v>
      </c>
      <c r="B130" s="44">
        <f t="shared" si="12"/>
        <v>47331</v>
      </c>
      <c r="C130" s="33">
        <f>VLOOKUP($A130,'Purchases and Sales Data'!$A:$K,11,FALSE)</f>
        <v>0</v>
      </c>
      <c r="E130" s="208"/>
      <c r="F130" s="210"/>
      <c r="G130" s="222" t="str">
        <f t="shared" si="13"/>
        <v/>
      </c>
      <c r="H130" s="222"/>
      <c r="I130" s="191">
        <f t="shared" si="14"/>
        <v>0</v>
      </c>
      <c r="J130" s="188">
        <f>SUMIF('Purchases and Sales Data'!$A$3:$A$146,'GCR Rate and Recovery'!$A130,'Purchases and Sales Data'!$H$3:$H$146)+SUMIF('Purchases and Sales Data'!$A$3:$A$146,'GCR Rate and Recovery'!$A130,'Purchases and Sales Data'!J130:J273)</f>
        <v>0</v>
      </c>
      <c r="L130" s="191">
        <f>VLOOKUP($A130,'Purchases and Sales Data'!$A:$R,14,FALSE)</f>
        <v>0</v>
      </c>
      <c r="M130" s="191">
        <f>VLOOKUP($A130,'Purchases and Sales Data'!$A:$R,15,FALSE)</f>
        <v>0</v>
      </c>
      <c r="N130" s="213">
        <f t="shared" si="10"/>
        <v>0</v>
      </c>
    </row>
    <row r="131" spans="1:14" x14ac:dyDescent="0.2">
      <c r="A131" s="149">
        <f t="shared" si="9"/>
        <v>47362</v>
      </c>
      <c r="B131" s="44">
        <f t="shared" si="12"/>
        <v>47362</v>
      </c>
      <c r="C131" s="33">
        <f>VLOOKUP($A131,'Purchases and Sales Data'!$A:$K,11,FALSE)</f>
        <v>0</v>
      </c>
      <c r="E131" s="208"/>
      <c r="F131" s="210"/>
      <c r="G131" s="222" t="str">
        <f t="shared" ref="G131:G146" si="15">IF(E131="","",IF(E131=E130,G130,EDATE(EOMONTH(B131,-1),-3)))</f>
        <v/>
      </c>
      <c r="H131" s="222"/>
      <c r="I131" s="191">
        <f t="shared" ref="I131:I146" si="16">ROUND(C131*F131,2)</f>
        <v>0</v>
      </c>
      <c r="J131" s="188">
        <f>SUMIF('Purchases and Sales Data'!$A$3:$A$146,'GCR Rate and Recovery'!$A131,'Purchases and Sales Data'!$H$3:$H$146)+SUMIF('Purchases and Sales Data'!$A$3:$A$146,'GCR Rate and Recovery'!$A131,'Purchases and Sales Data'!J131:J274)</f>
        <v>0</v>
      </c>
      <c r="L131" s="191">
        <f>VLOOKUP($A131,'Purchases and Sales Data'!$A:$R,14,FALSE)</f>
        <v>0</v>
      </c>
      <c r="M131" s="191">
        <f>VLOOKUP($A131,'Purchases and Sales Data'!$A:$R,15,FALSE)</f>
        <v>0</v>
      </c>
      <c r="N131" s="213">
        <f t="shared" si="10"/>
        <v>0</v>
      </c>
    </row>
    <row r="132" spans="1:14" x14ac:dyDescent="0.2">
      <c r="A132" s="149">
        <f t="shared" ref="A132:A146" si="17">EOMONTH((B132),-1)+1</f>
        <v>47392</v>
      </c>
      <c r="B132" s="44">
        <f t="shared" si="12"/>
        <v>47392</v>
      </c>
      <c r="C132" s="33">
        <f>VLOOKUP($A132,'Purchases and Sales Data'!$A:$K,11,FALSE)</f>
        <v>0</v>
      </c>
      <c r="E132" s="208"/>
      <c r="F132" s="210"/>
      <c r="G132" s="222" t="str">
        <f t="shared" si="15"/>
        <v/>
      </c>
      <c r="H132" s="222"/>
      <c r="I132" s="191">
        <f t="shared" si="16"/>
        <v>0</v>
      </c>
      <c r="J132" s="188">
        <f>SUMIF('Purchases and Sales Data'!$A$3:$A$146,'GCR Rate and Recovery'!$A132,'Purchases and Sales Data'!$H$3:$H$146)+SUMIF('Purchases and Sales Data'!$A$3:$A$146,'GCR Rate and Recovery'!$A132,'Purchases and Sales Data'!J132:J275)</f>
        <v>0</v>
      </c>
      <c r="L132" s="191">
        <f>VLOOKUP($A132,'Purchases and Sales Data'!$A:$R,14,FALSE)</f>
        <v>0</v>
      </c>
      <c r="M132" s="191">
        <f>VLOOKUP($A132,'Purchases and Sales Data'!$A:$R,15,FALSE)</f>
        <v>0</v>
      </c>
      <c r="N132" s="213">
        <f t="shared" ref="N132:N146" si="18">SUM(L132+M132)</f>
        <v>0</v>
      </c>
    </row>
    <row r="133" spans="1:14" x14ac:dyDescent="0.2">
      <c r="A133" s="149">
        <f t="shared" si="17"/>
        <v>47423</v>
      </c>
      <c r="B133" s="44">
        <f t="shared" si="12"/>
        <v>47423</v>
      </c>
      <c r="C133" s="33">
        <f>VLOOKUP($A133,'Purchases and Sales Data'!$A:$K,11,FALSE)</f>
        <v>0</v>
      </c>
      <c r="E133" s="208"/>
      <c r="F133" s="210"/>
      <c r="G133" s="222" t="str">
        <f t="shared" si="15"/>
        <v/>
      </c>
      <c r="H133" s="222"/>
      <c r="I133" s="191">
        <f t="shared" si="16"/>
        <v>0</v>
      </c>
      <c r="J133" s="188">
        <f>SUMIF('Purchases and Sales Data'!$A$3:$A$146,'GCR Rate and Recovery'!$A133,'Purchases and Sales Data'!$H$3:$H$146)+SUMIF('Purchases and Sales Data'!$A$3:$A$146,'GCR Rate and Recovery'!$A133,'Purchases and Sales Data'!J133:J276)</f>
        <v>0</v>
      </c>
      <c r="L133" s="191">
        <f>VLOOKUP($A133,'Purchases and Sales Data'!$A:$R,14,FALSE)</f>
        <v>0</v>
      </c>
      <c r="M133" s="191">
        <f>VLOOKUP($A133,'Purchases and Sales Data'!$A:$R,15,FALSE)</f>
        <v>0</v>
      </c>
      <c r="N133" s="213">
        <f t="shared" si="18"/>
        <v>0</v>
      </c>
    </row>
    <row r="134" spans="1:14" x14ac:dyDescent="0.2">
      <c r="A134" s="149">
        <f t="shared" si="17"/>
        <v>47453</v>
      </c>
      <c r="B134" s="44">
        <f t="shared" si="12"/>
        <v>47453</v>
      </c>
      <c r="C134" s="33">
        <f>VLOOKUP($A134,'Purchases and Sales Data'!$A:$K,11,FALSE)</f>
        <v>0</v>
      </c>
      <c r="E134" s="208"/>
      <c r="F134" s="210"/>
      <c r="G134" s="222" t="str">
        <f t="shared" si="15"/>
        <v/>
      </c>
      <c r="H134" s="222"/>
      <c r="I134" s="191">
        <f t="shared" si="16"/>
        <v>0</v>
      </c>
      <c r="J134" s="188">
        <f>SUMIF('Purchases and Sales Data'!$A$3:$A$146,'GCR Rate and Recovery'!$A134,'Purchases and Sales Data'!$H$3:$H$146)+SUMIF('Purchases and Sales Data'!$A$3:$A$146,'GCR Rate and Recovery'!$A134,'Purchases and Sales Data'!J134:J277)</f>
        <v>0</v>
      </c>
      <c r="L134" s="191">
        <f>VLOOKUP($A134,'Purchases and Sales Data'!$A:$R,14,FALSE)</f>
        <v>0</v>
      </c>
      <c r="M134" s="191">
        <f>VLOOKUP($A134,'Purchases and Sales Data'!$A:$R,15,FALSE)</f>
        <v>0</v>
      </c>
      <c r="N134" s="213">
        <f t="shared" si="18"/>
        <v>0</v>
      </c>
    </row>
    <row r="135" spans="1:14" x14ac:dyDescent="0.2">
      <c r="A135" s="149">
        <f t="shared" si="17"/>
        <v>47484</v>
      </c>
      <c r="B135" s="44">
        <f t="shared" si="12"/>
        <v>47484</v>
      </c>
      <c r="C135" s="33">
        <f>VLOOKUP($A135,'Purchases and Sales Data'!$A:$K,11,FALSE)</f>
        <v>0</v>
      </c>
      <c r="E135" s="208"/>
      <c r="F135" s="210"/>
      <c r="G135" s="222" t="str">
        <f t="shared" si="15"/>
        <v/>
      </c>
      <c r="H135" s="222"/>
      <c r="I135" s="191">
        <f t="shared" si="16"/>
        <v>0</v>
      </c>
      <c r="J135" s="188">
        <f>SUMIF('Purchases and Sales Data'!$A$3:$A$146,'GCR Rate and Recovery'!$A135,'Purchases and Sales Data'!$H$3:$H$146)+SUMIF('Purchases and Sales Data'!$A$3:$A$146,'GCR Rate and Recovery'!$A135,'Purchases and Sales Data'!J135:J278)</f>
        <v>0</v>
      </c>
      <c r="L135" s="191">
        <f>VLOOKUP($A135,'Purchases and Sales Data'!$A:$R,14,FALSE)</f>
        <v>0</v>
      </c>
      <c r="M135" s="191">
        <f>VLOOKUP($A135,'Purchases and Sales Data'!$A:$R,15,FALSE)</f>
        <v>0</v>
      </c>
      <c r="N135" s="213">
        <f t="shared" si="18"/>
        <v>0</v>
      </c>
    </row>
    <row r="136" spans="1:14" x14ac:dyDescent="0.2">
      <c r="A136" s="149">
        <f t="shared" si="17"/>
        <v>47515</v>
      </c>
      <c r="B136" s="44">
        <f t="shared" si="12"/>
        <v>47515</v>
      </c>
      <c r="C136" s="33">
        <f>VLOOKUP($A136,'Purchases and Sales Data'!$A:$K,11,FALSE)</f>
        <v>0</v>
      </c>
      <c r="E136" s="208"/>
      <c r="F136" s="210"/>
      <c r="G136" s="222" t="str">
        <f t="shared" si="15"/>
        <v/>
      </c>
      <c r="H136" s="222"/>
      <c r="I136" s="191">
        <f t="shared" si="16"/>
        <v>0</v>
      </c>
      <c r="J136" s="188">
        <f>SUMIF('Purchases and Sales Data'!$A$3:$A$146,'GCR Rate and Recovery'!$A136,'Purchases and Sales Data'!$H$3:$H$146)+SUMIF('Purchases and Sales Data'!$A$3:$A$146,'GCR Rate and Recovery'!$A136,'Purchases and Sales Data'!J136:J279)</f>
        <v>0</v>
      </c>
      <c r="L136" s="191">
        <f>VLOOKUP($A136,'Purchases and Sales Data'!$A:$R,14,FALSE)</f>
        <v>0</v>
      </c>
      <c r="M136" s="191">
        <f>VLOOKUP($A136,'Purchases and Sales Data'!$A:$R,15,FALSE)</f>
        <v>0</v>
      </c>
      <c r="N136" s="213">
        <f t="shared" si="18"/>
        <v>0</v>
      </c>
    </row>
    <row r="137" spans="1:14" x14ac:dyDescent="0.2">
      <c r="A137" s="149">
        <f t="shared" si="17"/>
        <v>47543</v>
      </c>
      <c r="B137" s="44">
        <f t="shared" si="12"/>
        <v>47543</v>
      </c>
      <c r="C137" s="33">
        <f>VLOOKUP($A137,'Purchases and Sales Data'!$A:$K,11,FALSE)</f>
        <v>0</v>
      </c>
      <c r="E137" s="208"/>
      <c r="F137" s="210"/>
      <c r="G137" s="222" t="str">
        <f t="shared" si="15"/>
        <v/>
      </c>
      <c r="H137" s="222"/>
      <c r="I137" s="191">
        <f t="shared" si="16"/>
        <v>0</v>
      </c>
      <c r="J137" s="188">
        <f>SUMIF('Purchases and Sales Data'!$A$3:$A$146,'GCR Rate and Recovery'!$A137,'Purchases and Sales Data'!$H$3:$H$146)+SUMIF('Purchases and Sales Data'!$A$3:$A$146,'GCR Rate and Recovery'!$A137,'Purchases and Sales Data'!J137:J280)</f>
        <v>0</v>
      </c>
      <c r="L137" s="191">
        <f>VLOOKUP($A137,'Purchases and Sales Data'!$A:$R,14,FALSE)</f>
        <v>0</v>
      </c>
      <c r="M137" s="191">
        <f>VLOOKUP($A137,'Purchases and Sales Data'!$A:$R,15,FALSE)</f>
        <v>0</v>
      </c>
      <c r="N137" s="213">
        <f t="shared" si="18"/>
        <v>0</v>
      </c>
    </row>
    <row r="138" spans="1:14" x14ac:dyDescent="0.2">
      <c r="A138" s="149">
        <f t="shared" si="17"/>
        <v>47574</v>
      </c>
      <c r="B138" s="44">
        <f t="shared" si="12"/>
        <v>47574</v>
      </c>
      <c r="C138" s="33">
        <f>VLOOKUP($A138,'Purchases and Sales Data'!$A:$K,11,FALSE)</f>
        <v>0</v>
      </c>
      <c r="E138" s="208"/>
      <c r="F138" s="210"/>
      <c r="G138" s="222" t="str">
        <f t="shared" si="15"/>
        <v/>
      </c>
      <c r="H138" s="222"/>
      <c r="I138" s="191">
        <f t="shared" si="16"/>
        <v>0</v>
      </c>
      <c r="J138" s="188">
        <f>SUMIF('Purchases and Sales Data'!$A$3:$A$146,'GCR Rate and Recovery'!$A138,'Purchases and Sales Data'!$H$3:$H$146)+SUMIF('Purchases and Sales Data'!$A$3:$A$146,'GCR Rate and Recovery'!$A138,'Purchases and Sales Data'!J138:J281)</f>
        <v>0</v>
      </c>
      <c r="L138" s="191">
        <f>VLOOKUP($A138,'Purchases and Sales Data'!$A:$R,14,FALSE)</f>
        <v>0</v>
      </c>
      <c r="M138" s="191">
        <f>VLOOKUP($A138,'Purchases and Sales Data'!$A:$R,15,FALSE)</f>
        <v>0</v>
      </c>
      <c r="N138" s="213">
        <f t="shared" si="18"/>
        <v>0</v>
      </c>
    </row>
    <row r="139" spans="1:14" x14ac:dyDescent="0.2">
      <c r="A139" s="149">
        <f t="shared" si="17"/>
        <v>47604</v>
      </c>
      <c r="B139" s="44">
        <f t="shared" si="12"/>
        <v>47604</v>
      </c>
      <c r="C139" s="33">
        <f>VLOOKUP($A139,'Purchases and Sales Data'!$A:$K,11,FALSE)</f>
        <v>0</v>
      </c>
      <c r="E139" s="208"/>
      <c r="F139" s="210"/>
      <c r="G139" s="222" t="str">
        <f t="shared" si="15"/>
        <v/>
      </c>
      <c r="H139" s="222"/>
      <c r="I139" s="191">
        <f t="shared" si="16"/>
        <v>0</v>
      </c>
      <c r="J139" s="188">
        <f>SUMIF('Purchases and Sales Data'!$A$3:$A$146,'GCR Rate and Recovery'!$A139,'Purchases and Sales Data'!$H$3:$H$146)+SUMIF('Purchases and Sales Data'!$A$3:$A$146,'GCR Rate and Recovery'!$A139,'Purchases and Sales Data'!J139:J282)</f>
        <v>0</v>
      </c>
      <c r="L139" s="191">
        <f>VLOOKUP($A139,'Purchases and Sales Data'!$A:$R,14,FALSE)</f>
        <v>0</v>
      </c>
      <c r="M139" s="191">
        <f>VLOOKUP($A139,'Purchases and Sales Data'!$A:$R,15,FALSE)</f>
        <v>0</v>
      </c>
      <c r="N139" s="213">
        <f t="shared" si="18"/>
        <v>0</v>
      </c>
    </row>
    <row r="140" spans="1:14" x14ac:dyDescent="0.2">
      <c r="A140" s="149">
        <f t="shared" si="17"/>
        <v>47635</v>
      </c>
      <c r="B140" s="44">
        <f t="shared" ref="B140:B146" si="19">EDATE(B139,1)</f>
        <v>47635</v>
      </c>
      <c r="C140" s="33">
        <f>VLOOKUP($A140,'Purchases and Sales Data'!$A:$K,11,FALSE)</f>
        <v>0</v>
      </c>
      <c r="E140" s="208"/>
      <c r="F140" s="210"/>
      <c r="G140" s="222" t="str">
        <f t="shared" si="15"/>
        <v/>
      </c>
      <c r="H140" s="222"/>
      <c r="I140" s="191">
        <f t="shared" si="16"/>
        <v>0</v>
      </c>
      <c r="J140" s="188">
        <f>SUMIF('Purchases and Sales Data'!$A$3:$A$146,'GCR Rate and Recovery'!$A140,'Purchases and Sales Data'!$H$3:$H$146)+SUMIF('Purchases and Sales Data'!$A$3:$A$146,'GCR Rate and Recovery'!$A140,'Purchases and Sales Data'!J140:J283)</f>
        <v>0</v>
      </c>
      <c r="L140" s="191">
        <f>VLOOKUP($A140,'Purchases and Sales Data'!$A:$R,14,FALSE)</f>
        <v>0</v>
      </c>
      <c r="M140" s="191">
        <f>VLOOKUP($A140,'Purchases and Sales Data'!$A:$R,15,FALSE)</f>
        <v>0</v>
      </c>
      <c r="N140" s="213">
        <f t="shared" si="18"/>
        <v>0</v>
      </c>
    </row>
    <row r="141" spans="1:14" x14ac:dyDescent="0.2">
      <c r="A141" s="149">
        <f t="shared" si="17"/>
        <v>47665</v>
      </c>
      <c r="B141" s="44">
        <f t="shared" si="19"/>
        <v>47665</v>
      </c>
      <c r="C141" s="33">
        <f>VLOOKUP($A141,'Purchases and Sales Data'!$A:$K,11,FALSE)</f>
        <v>0</v>
      </c>
      <c r="E141" s="208"/>
      <c r="F141" s="210"/>
      <c r="G141" s="222" t="str">
        <f t="shared" si="15"/>
        <v/>
      </c>
      <c r="H141" s="222"/>
      <c r="I141" s="191">
        <f t="shared" si="16"/>
        <v>0</v>
      </c>
      <c r="J141" s="188">
        <f>SUMIF('Purchases and Sales Data'!$A$3:$A$146,'GCR Rate and Recovery'!$A141,'Purchases and Sales Data'!$H$3:$H$146)+SUMIF('Purchases and Sales Data'!$A$3:$A$146,'GCR Rate and Recovery'!$A141,'Purchases and Sales Data'!J141:J284)</f>
        <v>0</v>
      </c>
      <c r="L141" s="191">
        <f>VLOOKUP($A141,'Purchases and Sales Data'!$A:$R,14,FALSE)</f>
        <v>0</v>
      </c>
      <c r="M141" s="191">
        <f>VLOOKUP($A141,'Purchases and Sales Data'!$A:$R,15,FALSE)</f>
        <v>0</v>
      </c>
      <c r="N141" s="213">
        <f t="shared" si="18"/>
        <v>0</v>
      </c>
    </row>
    <row r="142" spans="1:14" x14ac:dyDescent="0.2">
      <c r="A142" s="149">
        <f t="shared" si="17"/>
        <v>47696</v>
      </c>
      <c r="B142" s="44">
        <f t="shared" si="19"/>
        <v>47696</v>
      </c>
      <c r="C142" s="33">
        <f>VLOOKUP($A142,'Purchases and Sales Data'!$A:$K,11,FALSE)</f>
        <v>0</v>
      </c>
      <c r="E142" s="208"/>
      <c r="F142" s="210"/>
      <c r="G142" s="222" t="str">
        <f t="shared" si="15"/>
        <v/>
      </c>
      <c r="H142" s="222"/>
      <c r="I142" s="191">
        <f t="shared" si="16"/>
        <v>0</v>
      </c>
      <c r="J142" s="188">
        <f>SUMIF('Purchases and Sales Data'!$A$3:$A$146,'GCR Rate and Recovery'!$A142,'Purchases and Sales Data'!$H$3:$H$146)+SUMIF('Purchases and Sales Data'!$A$3:$A$146,'GCR Rate and Recovery'!$A142,'Purchases and Sales Data'!J142:J285)</f>
        <v>0</v>
      </c>
      <c r="L142" s="191">
        <f>VLOOKUP($A142,'Purchases and Sales Data'!$A:$R,14,FALSE)</f>
        <v>0</v>
      </c>
      <c r="M142" s="191">
        <f>VLOOKUP($A142,'Purchases and Sales Data'!$A:$R,15,FALSE)</f>
        <v>0</v>
      </c>
      <c r="N142" s="213">
        <f t="shared" si="18"/>
        <v>0</v>
      </c>
    </row>
    <row r="143" spans="1:14" x14ac:dyDescent="0.2">
      <c r="A143" s="149">
        <f t="shared" si="17"/>
        <v>47727</v>
      </c>
      <c r="B143" s="44">
        <f t="shared" si="19"/>
        <v>47727</v>
      </c>
      <c r="C143" s="33">
        <f>VLOOKUP($A143,'Purchases and Sales Data'!$A:$K,11,FALSE)</f>
        <v>0</v>
      </c>
      <c r="E143" s="208"/>
      <c r="F143" s="210"/>
      <c r="G143" s="222" t="str">
        <f t="shared" si="15"/>
        <v/>
      </c>
      <c r="H143" s="222"/>
      <c r="I143" s="191">
        <f t="shared" si="16"/>
        <v>0</v>
      </c>
      <c r="J143" s="188">
        <f>SUMIF('Purchases and Sales Data'!$A$3:$A$146,'GCR Rate and Recovery'!$A143,'Purchases and Sales Data'!$H$3:$H$146)+SUMIF('Purchases and Sales Data'!$A$3:$A$146,'GCR Rate and Recovery'!$A143,'Purchases and Sales Data'!J143:J286)</f>
        <v>0</v>
      </c>
      <c r="L143" s="191">
        <f>VLOOKUP($A143,'Purchases and Sales Data'!$A:$R,14,FALSE)</f>
        <v>0</v>
      </c>
      <c r="M143" s="191">
        <f>VLOOKUP($A143,'Purchases and Sales Data'!$A:$R,15,FALSE)</f>
        <v>0</v>
      </c>
      <c r="N143" s="213">
        <f t="shared" si="18"/>
        <v>0</v>
      </c>
    </row>
    <row r="144" spans="1:14" x14ac:dyDescent="0.2">
      <c r="A144" s="149">
        <f t="shared" si="17"/>
        <v>47757</v>
      </c>
      <c r="B144" s="44">
        <f t="shared" si="19"/>
        <v>47757</v>
      </c>
      <c r="C144" s="33">
        <f>VLOOKUP($A144,'Purchases and Sales Data'!$A:$K,11,FALSE)</f>
        <v>0</v>
      </c>
      <c r="E144" s="208"/>
      <c r="F144" s="210"/>
      <c r="G144" s="222" t="str">
        <f t="shared" si="15"/>
        <v/>
      </c>
      <c r="H144" s="222"/>
      <c r="I144" s="191">
        <f t="shared" si="16"/>
        <v>0</v>
      </c>
      <c r="J144" s="188">
        <f>SUMIF('Purchases and Sales Data'!$A$3:$A$146,'GCR Rate and Recovery'!$A144,'Purchases and Sales Data'!$H$3:$H$146)+SUMIF('Purchases and Sales Data'!$A$3:$A$146,'GCR Rate and Recovery'!$A144,'Purchases and Sales Data'!J144:J287)</f>
        <v>0</v>
      </c>
      <c r="L144" s="191">
        <f>VLOOKUP($A144,'Purchases and Sales Data'!$A:$R,14,FALSE)</f>
        <v>0</v>
      </c>
      <c r="M144" s="191">
        <f>VLOOKUP($A144,'Purchases and Sales Data'!$A:$R,15,FALSE)</f>
        <v>0</v>
      </c>
      <c r="N144" s="213">
        <f t="shared" si="18"/>
        <v>0</v>
      </c>
    </row>
    <row r="145" spans="1:16" x14ac:dyDescent="0.2">
      <c r="A145" s="149">
        <f t="shared" si="17"/>
        <v>47788</v>
      </c>
      <c r="B145" s="44">
        <f t="shared" si="19"/>
        <v>47788</v>
      </c>
      <c r="C145" s="33">
        <f>VLOOKUP($A145,'Purchases and Sales Data'!$A:$K,11,FALSE)</f>
        <v>0</v>
      </c>
      <c r="E145" s="208"/>
      <c r="F145" s="210"/>
      <c r="G145" s="222" t="str">
        <f t="shared" si="15"/>
        <v/>
      </c>
      <c r="H145" s="222"/>
      <c r="I145" s="191">
        <f t="shared" si="16"/>
        <v>0</v>
      </c>
      <c r="J145" s="188">
        <f>SUMIF('Purchases and Sales Data'!$A$3:$A$146,'GCR Rate and Recovery'!$A145,'Purchases and Sales Data'!$H$3:$H$146)+SUMIF('Purchases and Sales Data'!$A$3:$A$146,'GCR Rate and Recovery'!$A145,'Purchases and Sales Data'!J145:J288)</f>
        <v>0</v>
      </c>
      <c r="L145" s="191">
        <f>VLOOKUP($A145,'Purchases and Sales Data'!$A:$R,14,FALSE)</f>
        <v>0</v>
      </c>
      <c r="M145" s="191">
        <f>VLOOKUP($A145,'Purchases and Sales Data'!$A:$R,15,FALSE)</f>
        <v>0</v>
      </c>
      <c r="N145" s="213">
        <f t="shared" si="18"/>
        <v>0</v>
      </c>
    </row>
    <row r="146" spans="1:16" x14ac:dyDescent="0.2">
      <c r="A146" s="149">
        <f t="shared" si="17"/>
        <v>47818</v>
      </c>
      <c r="B146" s="44">
        <f t="shared" si="19"/>
        <v>47818</v>
      </c>
      <c r="C146" s="33">
        <f>VLOOKUP($A146,'Purchases and Sales Data'!$A:$K,11,FALSE)</f>
        <v>0</v>
      </c>
      <c r="E146" s="208"/>
      <c r="F146" s="210"/>
      <c r="G146" s="222" t="str">
        <f t="shared" si="15"/>
        <v/>
      </c>
      <c r="H146" s="222"/>
      <c r="I146" s="191">
        <f t="shared" si="16"/>
        <v>0</v>
      </c>
      <c r="J146" s="188">
        <f>SUMIF('Purchases and Sales Data'!$A$3:$A$146,'GCR Rate and Recovery'!$A146,'Purchases and Sales Data'!$H$3:$H$146)+SUMIF('Purchases and Sales Data'!$A$3:$A$146,'GCR Rate and Recovery'!$A146,'Purchases and Sales Data'!J146:J289)</f>
        <v>0</v>
      </c>
      <c r="L146" s="191">
        <f>VLOOKUP($A146,'Purchases and Sales Data'!$A:$R,14,FALSE)</f>
        <v>0</v>
      </c>
      <c r="M146" s="191">
        <f>VLOOKUP($A146,'Purchases and Sales Data'!$A:$R,15,FALSE)</f>
        <v>0</v>
      </c>
      <c r="N146" s="213">
        <f t="shared" si="18"/>
        <v>0</v>
      </c>
    </row>
    <row r="147" spans="1:16" x14ac:dyDescent="0.2">
      <c r="A147" s="149"/>
      <c r="B147" s="44"/>
    </row>
    <row r="149" spans="1:16" x14ac:dyDescent="0.2">
      <c r="I149" s="211">
        <f>SUM(I3:I146)</f>
        <v>1215039.9700000004</v>
      </c>
      <c r="J149" s="211">
        <f>SUM(J3:J146)</f>
        <v>1740563.0699999996</v>
      </c>
      <c r="K149" s="213">
        <f>J149-I149</f>
        <v>525523.09999999916</v>
      </c>
      <c r="N149" s="211">
        <f>SUM(N3:N146)</f>
        <v>1143652.3299999998</v>
      </c>
      <c r="P149" s="212">
        <f>I149-N149</f>
        <v>71387.640000000596</v>
      </c>
    </row>
    <row r="151" spans="1:16" x14ac:dyDescent="0.2">
      <c r="F151" s="229" t="s">
        <v>136</v>
      </c>
      <c r="I151" s="211">
        <f>SUM(I63:I83)</f>
        <v>312362.23</v>
      </c>
      <c r="N151" s="211">
        <f>SUM(N63:N83)</f>
        <v>256554.34</v>
      </c>
      <c r="P151" s="212">
        <f>I151-N151</f>
        <v>55807.889999999985</v>
      </c>
    </row>
    <row r="152" spans="1:16" x14ac:dyDescent="0.2">
      <c r="F152" s="230" t="s">
        <v>137</v>
      </c>
      <c r="I152" s="212">
        <f>SUM(I63:I74)</f>
        <v>175364.75999999995</v>
      </c>
      <c r="N152" s="212">
        <f>SUM(N63:N74)</f>
        <v>105621.23</v>
      </c>
      <c r="P152" s="212">
        <f>I152-N152</f>
        <v>69743.529999999955</v>
      </c>
    </row>
    <row r="153" spans="1:16" x14ac:dyDescent="0.2">
      <c r="F153" s="230" t="s">
        <v>138</v>
      </c>
      <c r="I153" s="212">
        <f>SUM(I75:I86)</f>
        <v>136997.47</v>
      </c>
      <c r="N153" s="212">
        <f>SUM(N75:N86)</f>
        <v>150933.11000000002</v>
      </c>
      <c r="P153" s="212">
        <f>I153-N153</f>
        <v>-13935.640000000014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 IV (2)</vt:lpstr>
      <vt:lpstr>Purchases and Sales Data</vt:lpstr>
      <vt:lpstr>GCR Rate and Recovery</vt:lpstr>
    </vt:vector>
  </TitlesOfParts>
  <Company>Kentucky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Kerry Kasey</cp:lastModifiedBy>
  <cp:lastPrinted>2025-11-24T16:57:08Z</cp:lastPrinted>
  <dcterms:created xsi:type="dcterms:W3CDTF">2006-10-26T17:11:15Z</dcterms:created>
  <dcterms:modified xsi:type="dcterms:W3CDTF">2025-11-26T18:04:46Z</dcterms:modified>
</cp:coreProperties>
</file>