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defaultThemeVersion="166925"/>
  <mc:AlternateContent xmlns:mc="http://schemas.openxmlformats.org/markup-compatibility/2006">
    <mc:Choice Requires="x15">
      <x15ac:absPath xmlns:x15ac="http://schemas.microsoft.com/office/spreadsheetml/2010/11/ac" url="F:\Engineering\Business_Development\2024_livingston\livingston DRs\"/>
    </mc:Choice>
  </mc:AlternateContent>
  <xr:revisionPtr revIDLastSave="0" documentId="13_ncr:1_{B4662117-DB1B-4553-BEC0-D1BB453181BE}" xr6:coauthVersionLast="47" xr6:coauthVersionMax="47" xr10:uidLastSave="{00000000-0000-0000-0000-000000000000}"/>
  <bookViews>
    <workbookView xWindow="-120" yWindow="-120" windowWidth="29040" windowHeight="15720" xr2:uid="{5A60A4FE-A6B4-4C8C-AD50-A2A03F9B4B81}"/>
  </bookViews>
  <sheets>
    <sheet name="OCLD" sheetId="6" r:id="rId1"/>
  </sheets>
  <externalReferences>
    <externalReference r:id="rId2"/>
  </externalReferences>
  <definedNames>
    <definedName name="AccountParameters">'[1]Account Parameters'!$A$5:$R$41</definedName>
    <definedName name="BuildingLocations">'[1]Inventory Codes'!$A$20:$C$91</definedName>
    <definedName name="ClassCodes">'[1]Inventory Codes'!$A$4:$C$17</definedName>
    <definedName name="CostIndices">'[1]Cost Indices'!$A$3:$J$2137</definedName>
    <definedName name="IowaCurves">[1]IowaCurves!$A$3:$G$7173</definedName>
    <definedName name="_xlnm.Print_Area" localSheetId="0">OCLD!$A$1:$Y$45</definedName>
    <definedName name="_xlnm.Print_Titles" localSheetId="0">OCLD!$1:$9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6" l="1"/>
  <c r="L29" i="6" s="1"/>
  <c r="M29" i="6" s="1"/>
  <c r="O29" i="6" s="1"/>
  <c r="S29" i="6" s="1"/>
  <c r="U29" i="6" s="1"/>
  <c r="W29" i="6" s="1"/>
  <c r="K30" i="6"/>
  <c r="L30" i="6" s="1"/>
  <c r="M30" i="6" s="1"/>
  <c r="O30" i="6" s="1"/>
  <c r="S30" i="6" s="1"/>
  <c r="U30" i="6" s="1"/>
  <c r="W30" i="6" s="1"/>
  <c r="K28" i="6"/>
  <c r="L28" i="6" s="1"/>
  <c r="M28" i="6" s="1"/>
  <c r="O28" i="6" s="1"/>
  <c r="S28" i="6" s="1"/>
  <c r="L36" i="6"/>
  <c r="M36" i="6" s="1"/>
  <c r="O36" i="6" s="1"/>
  <c r="L41" i="6"/>
  <c r="M41" i="6" s="1"/>
  <c r="O41" i="6" s="1"/>
  <c r="S41" i="6" s="1"/>
  <c r="U41" i="6" s="1"/>
  <c r="W41" i="6" s="1"/>
  <c r="L40" i="6"/>
  <c r="M40" i="6" s="1"/>
  <c r="O40" i="6" s="1"/>
  <c r="S40" i="6" s="1"/>
  <c r="U40" i="6" s="1"/>
  <c r="K24" i="6"/>
  <c r="L24" i="6" s="1"/>
  <c r="M24" i="6" s="1"/>
  <c r="O24" i="6" s="1"/>
  <c r="S24" i="6" s="1"/>
  <c r="U24" i="6" s="1"/>
  <c r="W24" i="6" s="1"/>
  <c r="K20" i="6"/>
  <c r="L20" i="6" s="1"/>
  <c r="M20" i="6" s="1"/>
  <c r="O20" i="6" s="1"/>
  <c r="K23" i="6"/>
  <c r="L23" i="6" s="1"/>
  <c r="M23" i="6" s="1"/>
  <c r="K22" i="6"/>
  <c r="L22" i="6" s="1"/>
  <c r="M22" i="6" s="1"/>
  <c r="O22" i="6" s="1"/>
  <c r="K21" i="6"/>
  <c r="L21" i="6" s="1"/>
  <c r="M21" i="6" s="1"/>
  <c r="K19" i="6"/>
  <c r="L19" i="6" s="1"/>
  <c r="M19" i="6" s="1"/>
  <c r="J15" i="6"/>
  <c r="K15" i="6"/>
  <c r="D43" i="6"/>
  <c r="S42" i="6"/>
  <c r="D37" i="6"/>
  <c r="S35" i="6"/>
  <c r="U35" i="6" s="1"/>
  <c r="W35" i="6" s="1"/>
  <c r="S34" i="6"/>
  <c r="D31" i="6"/>
  <c r="D23" i="6"/>
  <c r="D21" i="6"/>
  <c r="D19" i="6"/>
  <c r="O21" i="6" l="1"/>
  <c r="O23" i="6"/>
  <c r="O19" i="6"/>
  <c r="S19" i="6" s="1"/>
  <c r="U19" i="6" s="1"/>
  <c r="O37" i="6"/>
  <c r="S36" i="6"/>
  <c r="U36" i="6" s="1"/>
  <c r="W36" i="6" s="1"/>
  <c r="O31" i="6"/>
  <c r="O43" i="6"/>
  <c r="L15" i="6"/>
  <c r="M15" i="6" s="1"/>
  <c r="O15" i="6" s="1"/>
  <c r="S15" i="6" s="1"/>
  <c r="S43" i="6"/>
  <c r="W40" i="6"/>
  <c r="U42" i="6"/>
  <c r="W42" i="6" s="1"/>
  <c r="S37" i="6"/>
  <c r="U34" i="6"/>
  <c r="D25" i="6"/>
  <c r="S31" i="6"/>
  <c r="U28" i="6"/>
  <c r="U12" i="6"/>
  <c r="S12" i="6"/>
  <c r="O12" i="6"/>
  <c r="S22" i="6"/>
  <c r="U22" i="6" s="1"/>
  <c r="S20" i="6"/>
  <c r="O25" i="6" l="1"/>
  <c r="S23" i="6"/>
  <c r="U23" i="6" s="1"/>
  <c r="W23" i="6" s="1"/>
  <c r="O16" i="6"/>
  <c r="O45" i="6" s="1"/>
  <c r="S16" i="6"/>
  <c r="U15" i="6"/>
  <c r="W43" i="6"/>
  <c r="U43" i="6"/>
  <c r="U37" i="6"/>
  <c r="W34" i="6"/>
  <c r="W28" i="6"/>
  <c r="U31" i="6"/>
  <c r="U20" i="6"/>
  <c r="W20" i="6" s="1"/>
  <c r="W22" i="6"/>
  <c r="W12" i="6"/>
  <c r="U16" i="6" l="1"/>
  <c r="W15" i="6"/>
  <c r="W16" i="6" s="1"/>
  <c r="W37" i="6"/>
  <c r="W31" i="6"/>
  <c r="W19" i="6"/>
  <c r="S21" i="6" l="1"/>
  <c r="S25" i="6" l="1"/>
  <c r="S45" i="6" s="1"/>
  <c r="U21" i="6"/>
  <c r="U25" i="6" s="1"/>
  <c r="U45" i="6" s="1"/>
  <c r="W21" i="6" l="1"/>
  <c r="W25" i="6" s="1"/>
  <c r="W45" i="6" s="1"/>
</calcChain>
</file>

<file path=xl/sharedStrings.xml><?xml version="1.0" encoding="utf-8"?>
<sst xmlns="http://schemas.openxmlformats.org/spreadsheetml/2006/main" count="110" uniqueCount="78">
  <si>
    <t>Livingston Municipal Water Works</t>
  </si>
  <si>
    <t>Water Transmission &amp; Distribution System</t>
  </si>
  <si>
    <t>Date:</t>
  </si>
  <si>
    <t>Estimated Original Cost Less Depreciation (OCLD) at December 31, 2024</t>
  </si>
  <si>
    <t>A</t>
  </si>
  <si>
    <t>B</t>
  </si>
  <si>
    <t>C</t>
  </si>
  <si>
    <t>D</t>
  </si>
  <si>
    <t>E</t>
  </si>
  <si>
    <t>F</t>
  </si>
  <si>
    <t>G</t>
  </si>
  <si>
    <t>H</t>
  </si>
  <si>
    <t>I</t>
  </si>
  <si>
    <t>J</t>
  </si>
  <si>
    <t>K</t>
  </si>
  <si>
    <t>L</t>
  </si>
  <si>
    <t>M</t>
  </si>
  <si>
    <t>N</t>
  </si>
  <si>
    <t>O</t>
  </si>
  <si>
    <t>P</t>
  </si>
  <si>
    <t>Q</t>
  </si>
  <si>
    <t>R</t>
  </si>
  <si>
    <t>Index Unit Cost to Year Installed</t>
  </si>
  <si>
    <t>NARUC Acct #</t>
  </si>
  <si>
    <t>Description</t>
  </si>
  <si>
    <t>Unit</t>
  </si>
  <si>
    <t>QTY</t>
  </si>
  <si>
    <t>Date In Service</t>
  </si>
  <si>
    <t>Use</t>
  </si>
  <si>
    <t>Current Unit Cost</t>
  </si>
  <si>
    <t>HW Index</t>
  </si>
  <si>
    <t>Year Installed</t>
  </si>
  <si>
    <t>OC Index Factor (H/I)</t>
  </si>
  <si>
    <t>Indexed Unit Cost 
(F*J)</t>
  </si>
  <si>
    <t>Original Cost 
(C*K)</t>
  </si>
  <si>
    <t>Depr. Life</t>
  </si>
  <si>
    <t>Annual Depreciation
(L/M)</t>
  </si>
  <si>
    <t>Accumulated Depreciation</t>
  </si>
  <si>
    <t>OCLD 12/31/24
(L-O)</t>
  </si>
  <si>
    <t>Notes/Assumptions</t>
  </si>
  <si>
    <t>Account 303.40 - Land &amp; Land Rights:</t>
  </si>
  <si>
    <t>1/4 acre at assumed value of $5,000/acre</t>
  </si>
  <si>
    <t>Storage Tank Land</t>
  </si>
  <si>
    <t>LS</t>
  </si>
  <si>
    <t xml:space="preserve">  Total Account 303.40</t>
  </si>
  <si>
    <t>Account 330.40 - Distribution Reservoirs &amp; Standpipes:</t>
  </si>
  <si>
    <t>Steel Standpipe, 120,000-gallon</t>
  </si>
  <si>
    <t>EA</t>
  </si>
  <si>
    <t>W-2-line 23</t>
  </si>
  <si>
    <t>Current cost based on similar KAW tank installed in 2017.</t>
  </si>
  <si>
    <t xml:space="preserve">  Total Account 330.40</t>
  </si>
  <si>
    <t>Account 331.40 - Transmission &amp; Distribution Mains:</t>
  </si>
  <si>
    <t>3" PVC</t>
  </si>
  <si>
    <t>LF</t>
  </si>
  <si>
    <t>W-2-line 38</t>
  </si>
  <si>
    <t>Water main size, material, length, and installation date obtained from the KIA WRIS portal. Information regarding the number and size of valves was not provided, therefore valve costs are assumed to be included in the water main costs.</t>
  </si>
  <si>
    <t>4" PVC</t>
  </si>
  <si>
    <t>5" PVC</t>
  </si>
  <si>
    <t>6" PVC</t>
  </si>
  <si>
    <t>6" Unknown</t>
  </si>
  <si>
    <t>W-2-line 34</t>
  </si>
  <si>
    <t xml:space="preserve">  Total Account 331.40</t>
  </si>
  <si>
    <t>Account 333.40 - Services:</t>
  </si>
  <si>
    <t>Services (Company Service Line)</t>
  </si>
  <si>
    <t>W-2-line 39</t>
  </si>
  <si>
    <t>Allocated 162 service installation dates relative to pipe installation dates.</t>
  </si>
  <si>
    <t xml:space="preserve">  Total Account 333.40</t>
  </si>
  <si>
    <t>Account 334.40 - Meters &amp; Meter Installations:</t>
  </si>
  <si>
    <t>Meters</t>
  </si>
  <si>
    <t>W-2-line 40</t>
  </si>
  <si>
    <t>162 Meters with assumed install date of 2000.</t>
  </si>
  <si>
    <t xml:space="preserve">  Total Account 334.40</t>
  </si>
  <si>
    <t>Account 335.40 - Fire Hydrants:</t>
  </si>
  <si>
    <t>Fire Hydrants</t>
  </si>
  <si>
    <t>W-2-line 42</t>
  </si>
  <si>
    <t>16 Hydrants based on mapping provided by Livingston. Assumed all hydrants are on 6" mains. Hydrant install dates were assumed relative to install dates for 6" mains.</t>
  </si>
  <si>
    <t xml:space="preserve">  Total Account 335.40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</si>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</sst>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_);\(0.0\)"/>
    <numFmt numFmtId="165" formatCode="#,##0.0_);\(#,##0.0\)"/>
    <numFmt numFmtId="166" formatCode="#,##0.0000_);\(#,##0.0000\)"/>
  </numFmts>
  <fonts count="8">
    <font>
      <sz val="11"/>
      <color theme="1"/>
      <name val="Calibri"/>
      <family val="2"/>
      <scheme val="minor"/>
    </font>
    <font>
      <sz val="11"/>
      <color theme="1"/>
      <name val="Calibri"/>
      <family val="2"/>
      <scheme val="minor"/>
    </font>
    <font>
      <b/>
      <sz val="10"/>
      <name val="Arial"/>
      <family val="2"/>
    </font>
    <font>
      <sz val="9"/>
      <name val="Arial"/>
      <family val="2"/>
    </font>
    <font>
      <sz val="10"/>
      <name val="Arial"/>
      <family val="2"/>
    </font>
    <font>
      <sz val="10"/>
      <color theme="1"/>
      <name val="Arial"/>
      <family val="2"/>
    </font>
    <font>
      <sz val="10"/>
      <color rgb="FF1A1A1A"/>
      <name val="Arial"/>
      <family val="2"/>
    </font>
    <font>
      <b/>
      <u/>
      <sz val="10"/>
      <name val="Arial"/>
      <family val="2"/>
    </font>
  </fonts>
  <fills count="2">
    <fill>
      <patternFill patternType="none"/>
    </fill>
    <fill>
      <patternFill patternType="gray125"/>
    </fill>
  </fills>
  <borders count="4">
    <border>
      <left/>
      <right/>
      <top/>
      <bottom/>
      <diagonal/>
    </border>
    <border>
      <left/>
      <right/>
      <top/>
      <bottom style="thin">
        <color auto="1"/>
      </bottom>
      <diagonal/>
    </border>
    <border>
      <left/>
      <right/>
      <top/>
      <bottom style="double">
        <color indexed="64"/>
      </bottom>
      <diagonal/>
    </border>
    <border>
      <left/>
      <right/>
      <top style="thin">
        <color auto="1"/>
      </top>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0" fillId="0" borderId="0" xfId="0" applyAlignment="1">
      <alignment horizontal="center"/>
    </xf>
    <xf numFmtId="0" fontId="0" fillId="0" borderId="1" xfId="0" applyBorder="1"/>
    <xf numFmtId="0" fontId="4" fillId="0" borderId="0" xfId="0" applyFont="1" applyAlignment="1">
      <alignment vertical="top"/>
    </xf>
    <xf numFmtId="0" fontId="4" fillId="0" borderId="1" xfId="0" applyFont="1" applyBorder="1" applyAlignment="1">
      <alignment horizontal="center" wrapText="1"/>
    </xf>
    <xf numFmtId="0" fontId="4" fillId="0" borderId="0" xfId="0" applyFont="1"/>
    <xf numFmtId="0" fontId="4" fillId="0" borderId="0" xfId="0" applyFont="1" applyAlignment="1">
      <alignment horizontal="right"/>
    </xf>
    <xf numFmtId="0" fontId="2" fillId="0" borderId="0" xfId="0" applyFont="1" applyAlignment="1">
      <alignment readingOrder="1"/>
    </xf>
    <xf numFmtId="0" fontId="4" fillId="0" borderId="1" xfId="0" applyFont="1" applyBorder="1" applyAlignment="1">
      <alignment horizontal="center"/>
    </xf>
    <xf numFmtId="0" fontId="4" fillId="0" borderId="1" xfId="0" applyFont="1" applyBorder="1" applyAlignment="1">
      <alignment horizontal="center" wrapText="1" readingOrder="1"/>
    </xf>
    <xf numFmtId="0" fontId="4" fillId="0" borderId="0" xfId="0" applyFont="1" applyAlignment="1">
      <alignment horizontal="center"/>
    </xf>
    <xf numFmtId="0" fontId="5" fillId="0" borderId="0" xfId="0" applyFont="1"/>
    <xf numFmtId="44" fontId="4" fillId="0" borderId="0" xfId="1" applyFont="1" applyFill="1" applyAlignment="1"/>
    <xf numFmtId="43" fontId="4" fillId="0" borderId="0" xfId="1" applyNumberFormat="1" applyFont="1" applyFill="1" applyAlignment="1"/>
    <xf numFmtId="37" fontId="4" fillId="0" borderId="0" xfId="0" applyNumberFormat="1" applyFont="1" applyAlignment="1">
      <alignment horizontal="center"/>
    </xf>
    <xf numFmtId="37" fontId="4" fillId="0" borderId="0" xfId="0" applyNumberFormat="1" applyFont="1"/>
    <xf numFmtId="0" fontId="5" fillId="0" borderId="0" xfId="0" applyFont="1" applyAlignment="1">
      <alignment horizontal="center"/>
    </xf>
    <xf numFmtId="39" fontId="4" fillId="0" borderId="0" xfId="0" applyNumberFormat="1" applyFont="1" applyAlignment="1">
      <alignment horizontal="center"/>
    </xf>
    <xf numFmtId="39" fontId="4" fillId="0" borderId="0" xfId="0" applyNumberFormat="1" applyFont="1" applyAlignment="1">
      <alignment vertical="top"/>
    </xf>
    <xf numFmtId="43" fontId="4" fillId="0" borderId="0" xfId="0" applyNumberFormat="1" applyFont="1"/>
    <xf numFmtId="14" fontId="4" fillId="0" borderId="0" xfId="0" applyNumberFormat="1" applyFont="1" applyAlignment="1">
      <alignment horizontal="center"/>
    </xf>
    <xf numFmtId="44" fontId="4" fillId="0" borderId="0" xfId="0" applyNumberFormat="1" applyFont="1"/>
    <xf numFmtId="44" fontId="4" fillId="0" borderId="3" xfId="0" applyNumberFormat="1" applyFont="1" applyBorder="1"/>
    <xf numFmtId="37" fontId="4" fillId="0" borderId="3" xfId="0" applyNumberFormat="1" applyFont="1" applyBorder="1"/>
    <xf numFmtId="14" fontId="5" fillId="0" borderId="0" xfId="0" applyNumberFormat="1" applyFont="1" applyAlignment="1">
      <alignment horizontal="center"/>
    </xf>
    <xf numFmtId="44" fontId="4" fillId="0" borderId="2" xfId="0" applyNumberFormat="1" applyFont="1" applyBorder="1"/>
    <xf numFmtId="39" fontId="7" fillId="0" borderId="0" xfId="0" applyNumberFormat="1" applyFont="1" applyAlignment="1">
      <alignment vertical="top"/>
    </xf>
    <xf numFmtId="0" fontId="7" fillId="0" borderId="0" xfId="0" applyFont="1" applyAlignment="1">
      <alignment vertical="top"/>
    </xf>
    <xf numFmtId="0" fontId="6" fillId="0" borderId="0" xfId="0" applyFont="1"/>
    <xf numFmtId="5" fontId="4" fillId="0" borderId="0" xfId="0" applyNumberFormat="1" applyFont="1" applyAlignment="1">
      <alignment horizontal="center"/>
    </xf>
    <xf numFmtId="44" fontId="4" fillId="0" borderId="0" xfId="0" applyNumberFormat="1" applyFont="1" applyAlignment="1">
      <alignment horizontal="center"/>
    </xf>
    <xf numFmtId="164" fontId="4" fillId="0" borderId="0" xfId="0" applyNumberFormat="1" applyFont="1"/>
    <xf numFmtId="164" fontId="4" fillId="0" borderId="0" xfId="0" applyNumberFormat="1" applyFont="1" applyAlignment="1">
      <alignment horizontal="center"/>
    </xf>
    <xf numFmtId="165" fontId="4" fillId="0" borderId="0" xfId="0" applyNumberFormat="1" applyFont="1" applyAlignment="1">
      <alignment horizontal="center"/>
    </xf>
    <xf numFmtId="0" fontId="4" fillId="0" borderId="0" xfId="0" applyFont="1" applyAlignment="1">
      <alignment vertical="center"/>
    </xf>
    <xf numFmtId="166" fontId="4" fillId="0" borderId="0" xfId="0" applyNumberFormat="1" applyFont="1" applyAlignment="1">
      <alignment horizontal="center"/>
    </xf>
    <xf numFmtId="7" fontId="4" fillId="0" borderId="0" xfId="0" applyNumberFormat="1" applyFont="1" applyAlignment="1">
      <alignment horizontal="center"/>
    </xf>
    <xf numFmtId="43" fontId="4" fillId="0" borderId="0" xfId="0" applyNumberFormat="1" applyFont="1" applyAlignment="1">
      <alignment horizontal="center"/>
    </xf>
    <xf numFmtId="0" fontId="4" fillId="0" borderId="0" xfId="0" applyFont="1" applyAlignment="1">
      <alignment horizontal="center" vertical="center"/>
    </xf>
    <xf numFmtId="0" fontId="0" fillId="0" borderId="0" xfId="0" applyAlignment="1">
      <alignment horizontal="center" vertical="center"/>
    </xf>
    <xf numFmtId="44" fontId="4" fillId="0" borderId="0" xfId="1" applyFont="1" applyFill="1"/>
    <xf numFmtId="14" fontId="3" fillId="0" borderId="0" xfId="0" applyNumberFormat="1" applyFont="1" applyAlignment="1">
      <alignment horizontal="left"/>
    </xf>
    <xf numFmtId="0" fontId="4" fillId="0" borderId="0" xfId="0" applyFont="1" applyAlignment="1">
      <alignment horizontal="center" vertical="top"/>
    </xf>
    <xf numFmtId="0" fontId="4" fillId="0" borderId="0" xfId="0" applyFont="1" applyAlignment="1">
      <alignment vertical="center" wrapText="1"/>
    </xf>
    <xf numFmtId="0" fontId="4" fillId="0" borderId="0" xfId="0" applyFont="1" applyAlignment="1">
      <alignment horizontal="center" vertical="top"/>
    </xf>
    <xf numFmtId="0" fontId="4" fillId="0" borderId="0" xfId="0" applyFont="1" applyAlignment="1">
      <alignment horizontal="left" vertical="center" wrapText="1"/>
    </xf>
    <xf numFmtId="0" fontId="4" fillId="0" borderId="1" xfId="0" applyFont="1" applyBorder="1" applyAlignment="1">
      <alignment horizontal="center"/>
    </xf>
    <xf numFmtId="0" fontId="2"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center" readingOrder="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ogelssd\OneDrive%20-%20American%20Water\American%20Water%20-%20Personal%20Network%20Drive\McKeesport\AUS%20Appraisal\AUS%20EXCEL%20Models\Updated%20Appraisal%205-16-17\OC%20Development-McKeesport%20Collection%20System%205-16-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Cost Approach Summary"/>
      <sheetName val="McKeesport"/>
      <sheetName val="Duquesne"/>
      <sheetName val="Dravosburg"/>
      <sheetName val="Port Vue"/>
      <sheetName val="CSO Structures"/>
      <sheetName val="Account Parameters"/>
      <sheetName val="Cost Indices"/>
      <sheetName val="IowaCurves"/>
      <sheetName val="Handy-Whitman"/>
      <sheetName val="Average Construction Inflation"/>
      <sheetName val="Force Main Cost"/>
      <sheetName val="McKeesport Property Records"/>
      <sheetName val="Inventory Codes"/>
      <sheetName val="CoStar Land Sales and Offers"/>
      <sheetName val="Land"/>
      <sheetName val="Unit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71A51-3A68-420A-8C4D-E6C5CFB06A62}">
  <sheetPr>
    <pageSetUpPr fitToPage="1"/>
  </sheetPr>
  <dimension ref="A1:AB59"/>
  <sheetViews>
    <sheetView tabSelected="1" workbookViewId="0">
      <selection activeCell="X7" sqref="X7"/>
    </sheetView>
  </sheetViews>
  <sheetFormatPr defaultRowHeight="15"/>
  <cols>
    <col min="1" max="1" width="7.42578125" bestFit="1" customWidth="1"/>
    <col min="2" max="2" width="27.85546875" bestFit="1" customWidth="1"/>
    <col min="3" max="3" width="4.140625" bestFit="1" customWidth="1"/>
    <col min="4" max="4" width="7.28515625" bestFit="1" customWidth="1"/>
    <col min="5" max="5" width="1.28515625" customWidth="1"/>
    <col min="6" max="6" width="8.7109375" customWidth="1"/>
    <col min="7" max="7" width="8.140625" bestFit="1" customWidth="1"/>
    <col min="8" max="8" width="12.28515625" bestFit="1" customWidth="1"/>
    <col min="9" max="9" width="10.42578125" bestFit="1" customWidth="1"/>
    <col min="10" max="11" width="8.7109375" customWidth="1"/>
    <col min="12" max="12" width="9.7109375" customWidth="1"/>
    <col min="13" max="13" width="11.7109375" bestFit="1" customWidth="1"/>
    <col min="14" max="14" width="1.7109375" customWidth="1"/>
    <col min="15" max="15" width="16.85546875" bestFit="1" customWidth="1"/>
    <col min="16" max="16" width="1.7109375" customWidth="1"/>
    <col min="17" max="17" width="8.7109375" customWidth="1"/>
    <col min="18" max="18" width="1.28515625" customWidth="1"/>
    <col min="19" max="19" width="12.42578125" bestFit="1" customWidth="1"/>
    <col min="20" max="20" width="1.28515625" customWidth="1"/>
    <col min="21" max="21" width="14.140625" bestFit="1" customWidth="1"/>
    <col min="22" max="22" width="1.28515625" customWidth="1"/>
    <col min="23" max="23" width="16.28515625" bestFit="1" customWidth="1"/>
    <col min="24" max="24" width="11.7109375" customWidth="1"/>
    <col min="25" max="25" width="32.42578125" customWidth="1"/>
    <col min="26" max="26" width="9.85546875" bestFit="1" customWidth="1"/>
  </cols>
  <sheetData>
    <row r="1" spans="1:28">
      <c r="A1" s="47" t="s">
        <v>0</v>
      </c>
      <c r="B1" s="47"/>
      <c r="C1" s="47"/>
      <c r="D1" s="47"/>
      <c r="E1" s="47"/>
      <c r="F1" s="47"/>
      <c r="G1" s="47"/>
      <c r="H1" s="47"/>
      <c r="I1" s="47"/>
      <c r="J1" s="47"/>
      <c r="K1" s="47"/>
      <c r="L1" s="47"/>
      <c r="M1" s="47"/>
      <c r="N1" s="47"/>
      <c r="O1" s="47"/>
      <c r="P1" s="47"/>
      <c r="Q1" s="47"/>
      <c r="R1" s="47"/>
      <c r="S1" s="47"/>
      <c r="T1" s="47"/>
      <c r="U1" s="47"/>
      <c r="V1" s="47"/>
      <c r="W1" s="47"/>
      <c r="X1" s="47"/>
      <c r="Y1" s="47"/>
    </row>
    <row r="2" spans="1:28">
      <c r="A2" s="48" t="s">
        <v>1</v>
      </c>
      <c r="B2" s="48"/>
      <c r="C2" s="48"/>
      <c r="D2" s="48"/>
      <c r="E2" s="48"/>
      <c r="F2" s="48"/>
      <c r="G2" s="48"/>
      <c r="H2" s="48"/>
      <c r="I2" s="48"/>
      <c r="J2" s="48"/>
      <c r="K2" s="48"/>
      <c r="L2" s="48"/>
      <c r="M2" s="48"/>
      <c r="N2" s="48"/>
      <c r="O2" s="48"/>
      <c r="P2" s="48"/>
      <c r="Q2" s="48"/>
      <c r="R2" s="48"/>
      <c r="S2" s="48"/>
      <c r="T2" s="48"/>
      <c r="U2" s="48"/>
      <c r="V2" s="48"/>
      <c r="W2" s="48"/>
      <c r="X2" s="48"/>
      <c r="Y2" s="48"/>
    </row>
    <row r="3" spans="1:28">
      <c r="A3" s="3"/>
      <c r="B3" s="3"/>
      <c r="C3" s="3"/>
      <c r="D3" s="3"/>
      <c r="E3" s="3"/>
      <c r="F3" s="5"/>
      <c r="G3" s="5"/>
      <c r="H3" s="5"/>
      <c r="I3" s="5"/>
      <c r="J3" s="5"/>
      <c r="K3" s="5"/>
      <c r="L3" s="5"/>
      <c r="M3" s="5"/>
      <c r="N3" s="5"/>
      <c r="O3" s="5"/>
      <c r="P3" s="5"/>
      <c r="Q3" s="5"/>
      <c r="R3" s="5"/>
      <c r="S3" s="5"/>
      <c r="T3" s="5"/>
      <c r="U3" s="5"/>
      <c r="V3" s="5"/>
      <c r="W3" s="5"/>
      <c r="X3" s="6" t="s">
        <v>2</v>
      </c>
      <c r="Y3" s="41">
        <v>45747</v>
      </c>
    </row>
    <row r="4" spans="1:28">
      <c r="A4" s="48" t="s">
        <v>3</v>
      </c>
      <c r="B4" s="48"/>
      <c r="C4" s="48"/>
      <c r="D4" s="48"/>
      <c r="E4" s="48"/>
      <c r="F4" s="48"/>
      <c r="G4" s="48"/>
      <c r="H4" s="48"/>
      <c r="I4" s="48"/>
      <c r="J4" s="48"/>
      <c r="K4" s="48"/>
      <c r="L4" s="48"/>
      <c r="M4" s="48"/>
      <c r="N4" s="48"/>
      <c r="O4" s="48"/>
      <c r="P4" s="48"/>
      <c r="Q4" s="48"/>
      <c r="R4" s="48"/>
      <c r="S4" s="48"/>
      <c r="T4" s="48"/>
      <c r="U4" s="48"/>
      <c r="V4" s="48"/>
      <c r="W4" s="48"/>
      <c r="X4" s="48"/>
      <c r="Y4" s="48"/>
    </row>
    <row r="5" spans="1:28">
      <c r="A5" s="3"/>
      <c r="B5" s="3"/>
      <c r="C5" s="3"/>
      <c r="D5" s="3"/>
      <c r="E5" s="3"/>
      <c r="F5" s="5"/>
      <c r="G5" s="5"/>
      <c r="H5" s="5"/>
      <c r="I5" s="5"/>
      <c r="J5" s="5"/>
      <c r="K5" s="5"/>
      <c r="L5" s="5"/>
      <c r="M5" s="5"/>
      <c r="N5" s="5"/>
      <c r="O5" s="5"/>
      <c r="P5" s="5"/>
      <c r="Q5" s="5"/>
      <c r="R5" s="5"/>
      <c r="S5" s="5"/>
      <c r="T5" s="5"/>
      <c r="U5" s="5"/>
      <c r="V5" s="5"/>
      <c r="W5" s="5"/>
      <c r="X5" s="5"/>
      <c r="Y5" s="3"/>
    </row>
    <row r="6" spans="1:28">
      <c r="A6" s="42" t="s">
        <v>4</v>
      </c>
      <c r="B6" s="42" t="s">
        <v>5</v>
      </c>
      <c r="C6" s="42" t="s">
        <v>6</v>
      </c>
      <c r="D6" s="42" t="s">
        <v>7</v>
      </c>
      <c r="E6" s="42"/>
      <c r="F6" s="42" t="s">
        <v>8</v>
      </c>
      <c r="G6" s="42" t="s">
        <v>9</v>
      </c>
      <c r="H6" s="42" t="s">
        <v>10</v>
      </c>
      <c r="I6" s="42" t="s">
        <v>11</v>
      </c>
      <c r="J6" s="42" t="s">
        <v>12</v>
      </c>
      <c r="K6" s="42" t="s">
        <v>13</v>
      </c>
      <c r="L6" s="42" t="s">
        <v>14</v>
      </c>
      <c r="M6" s="42" t="s">
        <v>15</v>
      </c>
      <c r="N6" s="42"/>
      <c r="O6" s="42" t="s">
        <v>16</v>
      </c>
      <c r="P6" s="42"/>
      <c r="Q6" s="42" t="s">
        <v>17</v>
      </c>
      <c r="R6" s="42"/>
      <c r="S6" s="42" t="s">
        <v>18</v>
      </c>
      <c r="T6" s="42"/>
      <c r="U6" s="42" t="s">
        <v>19</v>
      </c>
      <c r="V6" s="42"/>
      <c r="W6" s="42" t="s">
        <v>20</v>
      </c>
      <c r="X6" s="44" t="s">
        <v>21</v>
      </c>
      <c r="Y6" s="44"/>
    </row>
    <row r="7" spans="1:28">
      <c r="A7" s="3"/>
      <c r="B7" s="7"/>
      <c r="C7" s="7"/>
      <c r="D7" s="7"/>
      <c r="E7" s="7"/>
      <c r="F7" s="7"/>
      <c r="G7" s="7"/>
      <c r="H7" s="7"/>
      <c r="I7" s="49" t="s">
        <v>22</v>
      </c>
      <c r="J7" s="49"/>
      <c r="K7" s="49"/>
      <c r="L7" s="49"/>
      <c r="M7" s="49"/>
      <c r="N7" s="7"/>
      <c r="O7" s="7"/>
      <c r="P7" s="7"/>
      <c r="Q7" s="7"/>
      <c r="R7" s="7"/>
      <c r="S7" s="7"/>
      <c r="T7" s="7"/>
      <c r="U7" s="7"/>
      <c r="V7" s="7"/>
      <c r="W7" s="7"/>
      <c r="X7" s="7"/>
      <c r="Y7" s="3"/>
    </row>
    <row r="8" spans="1:28" ht="39">
      <c r="A8" s="4" t="s">
        <v>23</v>
      </c>
      <c r="B8" s="8" t="s">
        <v>24</v>
      </c>
      <c r="C8" s="8" t="s">
        <v>25</v>
      </c>
      <c r="D8" s="8" t="s">
        <v>26</v>
      </c>
      <c r="E8" s="8"/>
      <c r="F8" s="9" t="s">
        <v>27</v>
      </c>
      <c r="G8" s="9" t="s">
        <v>28</v>
      </c>
      <c r="H8" s="9" t="s">
        <v>29</v>
      </c>
      <c r="I8" s="9" t="s">
        <v>30</v>
      </c>
      <c r="J8" s="9" t="s">
        <v>31</v>
      </c>
      <c r="K8" s="9">
        <v>2024</v>
      </c>
      <c r="L8" s="9" t="s">
        <v>32</v>
      </c>
      <c r="M8" s="9" t="s">
        <v>33</v>
      </c>
      <c r="N8" s="2"/>
      <c r="O8" s="9" t="s">
        <v>34</v>
      </c>
      <c r="P8" s="9"/>
      <c r="Q8" s="4" t="s">
        <v>35</v>
      </c>
      <c r="R8" s="8"/>
      <c r="S8" s="9" t="s">
        <v>36</v>
      </c>
      <c r="T8" s="9"/>
      <c r="U8" s="9" t="s">
        <v>37</v>
      </c>
      <c r="V8" s="9"/>
      <c r="W8" s="9" t="s">
        <v>38</v>
      </c>
      <c r="X8" s="46" t="s">
        <v>39</v>
      </c>
      <c r="Y8" s="46"/>
    </row>
    <row r="9" spans="1:28">
      <c r="A9" s="3"/>
      <c r="B9" s="5"/>
      <c r="C9" s="5"/>
      <c r="D9" s="5"/>
      <c r="E9" s="5"/>
      <c r="F9" s="5"/>
      <c r="G9" s="5"/>
      <c r="H9" s="5"/>
      <c r="I9" s="5"/>
      <c r="J9" s="5"/>
      <c r="K9" s="5"/>
      <c r="L9" s="5"/>
      <c r="M9" s="5"/>
      <c r="O9" s="5"/>
      <c r="P9" s="5"/>
      <c r="Q9" s="5"/>
      <c r="R9" s="5"/>
      <c r="S9" s="5"/>
      <c r="T9" s="5"/>
      <c r="U9" s="5"/>
      <c r="V9" s="5"/>
      <c r="W9" s="5"/>
      <c r="X9" s="5"/>
      <c r="Y9" s="3"/>
    </row>
    <row r="10" spans="1:28">
      <c r="A10" s="27" t="s">
        <v>40</v>
      </c>
      <c r="B10" s="5"/>
      <c r="C10" s="5"/>
      <c r="D10" s="5"/>
      <c r="E10" s="5"/>
      <c r="F10" s="5"/>
      <c r="G10" s="5"/>
      <c r="H10" s="5"/>
      <c r="I10" s="5"/>
      <c r="J10" s="5"/>
      <c r="K10" s="5"/>
      <c r="L10" s="5"/>
      <c r="M10" s="5"/>
      <c r="O10" s="5"/>
      <c r="P10" s="5"/>
      <c r="Q10" s="5"/>
      <c r="R10" s="5"/>
      <c r="S10" s="5"/>
      <c r="T10" s="5"/>
      <c r="U10" s="5"/>
      <c r="V10" s="5"/>
      <c r="W10" s="5"/>
      <c r="X10" s="45" t="s">
        <v>41</v>
      </c>
      <c r="Y10" s="45"/>
    </row>
    <row r="11" spans="1:28" ht="15" customHeight="1">
      <c r="A11" s="17">
        <v>303.39999999999998</v>
      </c>
      <c r="B11" s="28" t="s">
        <v>42</v>
      </c>
      <c r="C11" s="28" t="s">
        <v>43</v>
      </c>
      <c r="D11" s="5">
        <v>1</v>
      </c>
      <c r="E11" s="5"/>
      <c r="F11" s="10">
        <v>2008</v>
      </c>
      <c r="G11" s="20">
        <v>39448</v>
      </c>
      <c r="H11" s="21"/>
      <c r="I11" s="31"/>
      <c r="J11" s="32"/>
      <c r="K11" s="32"/>
      <c r="L11" s="33"/>
      <c r="M11" s="30"/>
      <c r="O11" s="21"/>
      <c r="P11" s="21"/>
      <c r="Q11" s="5"/>
      <c r="R11" s="5"/>
      <c r="S11" s="12"/>
      <c r="T11" s="21"/>
      <c r="U11" s="21"/>
      <c r="V11" s="21"/>
      <c r="W11" s="21">
        <v>1250</v>
      </c>
      <c r="X11" s="45"/>
      <c r="Y11" s="45"/>
      <c r="Z11" s="11"/>
      <c r="AA11" s="11"/>
      <c r="AB11" s="11"/>
    </row>
    <row r="12" spans="1:28">
      <c r="A12" s="17"/>
      <c r="B12" s="5" t="s">
        <v>44</v>
      </c>
      <c r="C12" s="5"/>
      <c r="D12" s="5"/>
      <c r="E12" s="5"/>
      <c r="F12" s="10"/>
      <c r="G12" s="10"/>
      <c r="H12" s="21"/>
      <c r="I12" s="31"/>
      <c r="J12" s="32"/>
      <c r="K12" s="32"/>
      <c r="L12" s="33"/>
      <c r="M12" s="30"/>
      <c r="O12" s="22">
        <f>SUM(O11:O11)</f>
        <v>0</v>
      </c>
      <c r="P12" s="21"/>
      <c r="Q12" s="5"/>
      <c r="R12" s="5"/>
      <c r="S12" s="22">
        <f>SUM(S11:S11)</f>
        <v>0</v>
      </c>
      <c r="T12" s="5"/>
      <c r="U12" s="22">
        <f>SUM(U11:U11)</f>
        <v>0</v>
      </c>
      <c r="V12" s="5"/>
      <c r="W12" s="22">
        <f>SUM(W11:W11)</f>
        <v>1250</v>
      </c>
      <c r="X12" s="38"/>
      <c r="Y12" s="39"/>
      <c r="Z12" s="11"/>
      <c r="AA12" s="11"/>
      <c r="AB12" s="11"/>
    </row>
    <row r="13" spans="1:28">
      <c r="A13" s="18"/>
      <c r="B13" s="5"/>
      <c r="C13" s="5"/>
      <c r="D13" s="5"/>
      <c r="E13" s="5"/>
      <c r="F13" s="5"/>
      <c r="G13" s="5"/>
      <c r="H13" s="5"/>
      <c r="I13" s="31"/>
      <c r="J13" s="32"/>
      <c r="K13" s="32"/>
      <c r="L13" s="33"/>
      <c r="M13" s="10"/>
      <c r="O13" s="5"/>
      <c r="P13" s="5"/>
      <c r="Q13" s="5"/>
      <c r="R13" s="5"/>
      <c r="S13" s="5"/>
      <c r="T13" s="5"/>
      <c r="U13" s="5"/>
      <c r="V13" s="5"/>
      <c r="W13" s="5"/>
      <c r="X13" s="38"/>
      <c r="Y13" s="39"/>
      <c r="Z13" s="11"/>
      <c r="AA13" s="11"/>
      <c r="AB13" s="11"/>
    </row>
    <row r="14" spans="1:28">
      <c r="A14" s="27" t="s">
        <v>45</v>
      </c>
      <c r="B14" s="5"/>
      <c r="C14" s="5"/>
      <c r="D14" s="5"/>
      <c r="E14" s="5"/>
      <c r="F14" s="5"/>
      <c r="G14" s="5"/>
      <c r="H14" s="5"/>
      <c r="I14" s="31"/>
      <c r="J14" s="32"/>
      <c r="K14" s="32"/>
      <c r="L14" s="33"/>
      <c r="M14" s="10"/>
      <c r="O14" s="5"/>
      <c r="P14" s="5"/>
      <c r="Q14" s="5"/>
      <c r="R14" s="5"/>
      <c r="S14" s="5"/>
      <c r="T14" s="5"/>
      <c r="U14" s="5"/>
      <c r="V14" s="5"/>
      <c r="W14" s="5"/>
      <c r="X14" s="38"/>
      <c r="Y14" s="39"/>
      <c r="Z14" s="11"/>
      <c r="AA14" s="11"/>
      <c r="AB14" s="11"/>
    </row>
    <row r="15" spans="1:28">
      <c r="A15" s="17">
        <v>330.4</v>
      </c>
      <c r="B15" s="28" t="s">
        <v>46</v>
      </c>
      <c r="C15" s="28" t="s">
        <v>47</v>
      </c>
      <c r="D15" s="5">
        <v>1</v>
      </c>
      <c r="E15" s="5"/>
      <c r="F15" s="10">
        <v>2008</v>
      </c>
      <c r="G15" s="20">
        <v>39448</v>
      </c>
      <c r="H15" s="21">
        <v>275000</v>
      </c>
      <c r="I15" s="32" t="s">
        <v>48</v>
      </c>
      <c r="J15" s="32">
        <f>ROUND((537+722+722+722)/4,1)</f>
        <v>675.8</v>
      </c>
      <c r="K15" s="32">
        <f>ROUND((1232+1281)/2,1)</f>
        <v>1256.5</v>
      </c>
      <c r="L15" s="35">
        <f>ROUND(J15/K15,4)</f>
        <v>0.53779999999999994</v>
      </c>
      <c r="M15" s="36">
        <f>ROUND(H15*L15,2)</f>
        <v>147895</v>
      </c>
      <c r="O15" s="21">
        <f>ROUND(D15*M15,2)</f>
        <v>147895</v>
      </c>
      <c r="P15" s="21"/>
      <c r="Q15" s="10">
        <v>60</v>
      </c>
      <c r="R15" s="5"/>
      <c r="S15" s="12">
        <f t="shared" ref="S15" si="0">IFERROR(O15/Q15,0)</f>
        <v>2464.9166666666665</v>
      </c>
      <c r="T15" s="21"/>
      <c r="U15" s="21">
        <f t="shared" ref="U15" si="1">IF((S15/12)*DATEDIF($G15,$Y$3,"M")&gt;O15,O15,(S15/12)*DATEDIF($G15,$Y$3,"M"))</f>
        <v>42314.402777777774</v>
      </c>
      <c r="V15" s="21"/>
      <c r="W15" s="21">
        <f t="shared" ref="W15" si="2">+O15-U15</f>
        <v>105580.59722222222</v>
      </c>
      <c r="X15" s="45" t="s">
        <v>49</v>
      </c>
      <c r="Y15" s="45"/>
      <c r="Z15" s="11"/>
      <c r="AA15" s="11"/>
      <c r="AB15" s="11"/>
    </row>
    <row r="16" spans="1:28">
      <c r="A16" s="17"/>
      <c r="B16" s="5" t="s">
        <v>50</v>
      </c>
      <c r="C16" s="5"/>
      <c r="D16" s="5"/>
      <c r="E16" s="5"/>
      <c r="F16" s="10"/>
      <c r="G16" s="10"/>
      <c r="H16" s="21"/>
      <c r="I16" s="31"/>
      <c r="J16" s="32"/>
      <c r="K16" s="32"/>
      <c r="L16" s="33"/>
      <c r="M16" s="30"/>
      <c r="O16" s="22">
        <f>SUM(O15:O15)</f>
        <v>147895</v>
      </c>
      <c r="P16" s="21"/>
      <c r="Q16" s="5"/>
      <c r="R16" s="5"/>
      <c r="S16" s="22">
        <f>SUM(S15:S15)</f>
        <v>2464.9166666666665</v>
      </c>
      <c r="T16" s="5"/>
      <c r="U16" s="22">
        <f>SUM(U15:U15)</f>
        <v>42314.402777777774</v>
      </c>
      <c r="V16" s="5"/>
      <c r="W16" s="22">
        <f>SUM(W15:W15)</f>
        <v>105580.59722222222</v>
      </c>
      <c r="X16" s="45"/>
      <c r="Y16" s="45"/>
      <c r="Z16" s="11"/>
      <c r="AA16" s="11"/>
      <c r="AB16" s="11"/>
    </row>
    <row r="17" spans="1:28">
      <c r="A17" s="17"/>
      <c r="B17" s="5"/>
      <c r="C17" s="5"/>
      <c r="D17" s="5"/>
      <c r="E17" s="5"/>
      <c r="F17" s="10"/>
      <c r="G17" s="10"/>
      <c r="H17" s="21"/>
      <c r="I17" s="31"/>
      <c r="J17" s="32"/>
      <c r="K17" s="32"/>
      <c r="L17" s="33"/>
      <c r="M17" s="30"/>
      <c r="O17" s="21"/>
      <c r="P17" s="21"/>
      <c r="Q17" s="5"/>
      <c r="R17" s="5"/>
      <c r="S17" s="21"/>
      <c r="T17" s="5"/>
      <c r="U17" s="21"/>
      <c r="V17" s="5"/>
      <c r="W17" s="21"/>
      <c r="X17" s="38"/>
      <c r="Y17" s="39"/>
      <c r="Z17" s="11"/>
      <c r="AA17" s="11"/>
      <c r="AB17" s="11"/>
    </row>
    <row r="18" spans="1:28">
      <c r="A18" s="26" t="s">
        <v>51</v>
      </c>
      <c r="B18" s="5"/>
      <c r="C18" s="5"/>
      <c r="D18" s="5"/>
      <c r="E18" s="5"/>
      <c r="F18" s="5"/>
      <c r="G18" s="5"/>
      <c r="H18" s="29"/>
      <c r="I18" s="32"/>
      <c r="J18" s="32"/>
      <c r="K18" s="32"/>
      <c r="L18" s="33"/>
      <c r="M18" s="29"/>
      <c r="O18" s="5"/>
      <c r="P18" s="5"/>
      <c r="Q18" s="5"/>
      <c r="R18" s="5"/>
      <c r="S18" s="5"/>
      <c r="T18" s="5"/>
      <c r="U18" s="5"/>
      <c r="V18" s="5"/>
      <c r="W18" s="5"/>
      <c r="X18" s="38"/>
      <c r="Y18" s="39"/>
      <c r="Z18" s="11"/>
      <c r="AA18" s="11"/>
      <c r="AB18" s="11"/>
    </row>
    <row r="19" spans="1:28">
      <c r="A19" s="17">
        <v>331.41</v>
      </c>
      <c r="B19" s="5" t="s">
        <v>52</v>
      </c>
      <c r="C19" s="5" t="s">
        <v>53</v>
      </c>
      <c r="D19" s="15">
        <f>667+4801</f>
        <v>5468</v>
      </c>
      <c r="E19" s="14"/>
      <c r="F19" s="16">
        <v>1990</v>
      </c>
      <c r="G19" s="20">
        <v>33055</v>
      </c>
      <c r="H19" s="29">
        <v>100</v>
      </c>
      <c r="I19" s="32" t="s">
        <v>54</v>
      </c>
      <c r="J19" s="32">
        <v>198</v>
      </c>
      <c r="K19" s="32">
        <f>ROUND((524+525)/2,1)</f>
        <v>524.5</v>
      </c>
      <c r="L19" s="35">
        <f>ROUND(J19/K19,4)</f>
        <v>0.3775</v>
      </c>
      <c r="M19" s="36">
        <f t="shared" ref="M19:M24" si="3">ROUND(H19*L19,2)</f>
        <v>37.75</v>
      </c>
      <c r="O19" s="21">
        <f>ROUND(D19*M19,2)</f>
        <v>206417</v>
      </c>
      <c r="P19" s="21"/>
      <c r="Q19" s="10">
        <v>65</v>
      </c>
      <c r="R19" s="21"/>
      <c r="S19" s="12">
        <f t="shared" ref="S19:S24" si="4">IFERROR(O19/Q19,0)</f>
        <v>3175.646153846154</v>
      </c>
      <c r="T19" s="21"/>
      <c r="U19" s="21">
        <f t="shared" ref="U19:U24" si="5">IF((S19/12)*DATEDIF($G19,$Y$3,"M")&gt;O19,O19,(S19/12)*DATEDIF($G19,$Y$3,"M"))</f>
        <v>110089.06666666667</v>
      </c>
      <c r="V19" s="21"/>
      <c r="W19" s="21">
        <f>+O19-U19</f>
        <v>96327.933333333334</v>
      </c>
      <c r="X19" s="45" t="s">
        <v>55</v>
      </c>
      <c r="Y19" s="45"/>
    </row>
    <row r="20" spans="1:28">
      <c r="A20" s="17">
        <v>331.41</v>
      </c>
      <c r="B20" s="5" t="s">
        <v>52</v>
      </c>
      <c r="C20" s="5" t="s">
        <v>53</v>
      </c>
      <c r="D20" s="15">
        <v>688</v>
      </c>
      <c r="E20" s="14"/>
      <c r="F20" s="16">
        <v>2000</v>
      </c>
      <c r="G20" s="20">
        <v>36708</v>
      </c>
      <c r="H20" s="29">
        <v>100</v>
      </c>
      <c r="I20" s="32" t="s">
        <v>54</v>
      </c>
      <c r="J20" s="32">
        <v>205</v>
      </c>
      <c r="K20" s="32">
        <f>ROUND((524+525)/2,1)</f>
        <v>524.5</v>
      </c>
      <c r="L20" s="35">
        <f>ROUND(J20/K20,4)</f>
        <v>0.39079999999999998</v>
      </c>
      <c r="M20" s="36">
        <f t="shared" si="3"/>
        <v>39.08</v>
      </c>
      <c r="O20" s="19">
        <f t="shared" ref="O20:O24" si="6">ROUND(D20*M20,2)</f>
        <v>26887.040000000001</v>
      </c>
      <c r="P20" s="19"/>
      <c r="Q20" s="10">
        <v>65</v>
      </c>
      <c r="R20" s="19"/>
      <c r="S20" s="13">
        <f t="shared" si="4"/>
        <v>413.64676923076922</v>
      </c>
      <c r="T20" s="19"/>
      <c r="U20" s="19">
        <f t="shared" si="5"/>
        <v>10203.286974358974</v>
      </c>
      <c r="V20" s="19"/>
      <c r="W20" s="19">
        <f>+O20-U20</f>
        <v>16683.753025641025</v>
      </c>
      <c r="X20" s="45"/>
      <c r="Y20" s="45"/>
    </row>
    <row r="21" spans="1:28">
      <c r="A21" s="17">
        <v>331.41</v>
      </c>
      <c r="B21" s="5" t="s">
        <v>56</v>
      </c>
      <c r="C21" s="5" t="s">
        <v>53</v>
      </c>
      <c r="D21" s="15">
        <f>2478+3056+3404+2372</f>
        <v>11310</v>
      </c>
      <c r="E21" s="14"/>
      <c r="F21" s="16">
        <v>1990</v>
      </c>
      <c r="G21" s="20">
        <v>33055</v>
      </c>
      <c r="H21" s="29">
        <v>100</v>
      </c>
      <c r="I21" s="32" t="s">
        <v>54</v>
      </c>
      <c r="J21" s="32">
        <v>198</v>
      </c>
      <c r="K21" s="32">
        <f t="shared" ref="K21:K23" si="7">ROUND((524+525)/2,1)</f>
        <v>524.5</v>
      </c>
      <c r="L21" s="35">
        <f t="shared" ref="L21:L23" si="8">ROUND(J21/K21,4)</f>
        <v>0.3775</v>
      </c>
      <c r="M21" s="36">
        <f t="shared" si="3"/>
        <v>37.75</v>
      </c>
      <c r="O21" s="19">
        <f t="shared" si="6"/>
        <v>426952.5</v>
      </c>
      <c r="P21" s="19"/>
      <c r="Q21" s="10">
        <v>65</v>
      </c>
      <c r="R21" s="19"/>
      <c r="S21" s="13">
        <f t="shared" si="4"/>
        <v>6568.5</v>
      </c>
      <c r="T21" s="19"/>
      <c r="U21" s="19">
        <f t="shared" si="5"/>
        <v>227708</v>
      </c>
      <c r="V21" s="19"/>
      <c r="W21" s="19">
        <f>+O21-U21</f>
        <v>199244.5</v>
      </c>
      <c r="X21" s="45"/>
      <c r="Y21" s="45"/>
    </row>
    <row r="22" spans="1:28">
      <c r="A22" s="17">
        <v>331.41</v>
      </c>
      <c r="B22" s="5" t="s">
        <v>57</v>
      </c>
      <c r="C22" s="5" t="s">
        <v>53</v>
      </c>
      <c r="D22" s="15">
        <v>7</v>
      </c>
      <c r="E22" s="14"/>
      <c r="F22" s="16">
        <v>1990</v>
      </c>
      <c r="G22" s="20">
        <v>33055</v>
      </c>
      <c r="H22" s="29">
        <v>110</v>
      </c>
      <c r="I22" s="32" t="s">
        <v>54</v>
      </c>
      <c r="J22" s="32">
        <v>198</v>
      </c>
      <c r="K22" s="32">
        <f t="shared" si="7"/>
        <v>524.5</v>
      </c>
      <c r="L22" s="35">
        <f t="shared" si="8"/>
        <v>0.3775</v>
      </c>
      <c r="M22" s="36">
        <f t="shared" si="3"/>
        <v>41.53</v>
      </c>
      <c r="O22" s="19">
        <f t="shared" si="6"/>
        <v>290.70999999999998</v>
      </c>
      <c r="P22" s="19"/>
      <c r="Q22" s="10">
        <v>65</v>
      </c>
      <c r="R22" s="19"/>
      <c r="S22" s="13">
        <f t="shared" si="4"/>
        <v>4.4724615384615385</v>
      </c>
      <c r="T22" s="19"/>
      <c r="U22" s="19">
        <f t="shared" si="5"/>
        <v>155.04533333333333</v>
      </c>
      <c r="V22" s="19"/>
      <c r="W22" s="19">
        <f t="shared" ref="W22:W23" si="9">+O22-U22</f>
        <v>135.66466666666665</v>
      </c>
      <c r="X22" s="45"/>
      <c r="Y22" s="45"/>
    </row>
    <row r="23" spans="1:28">
      <c r="A23" s="17">
        <v>331.41</v>
      </c>
      <c r="B23" s="5" t="s">
        <v>58</v>
      </c>
      <c r="C23" s="5" t="s">
        <v>53</v>
      </c>
      <c r="D23" s="15">
        <f>6002+17568+24508+1137</f>
        <v>49215</v>
      </c>
      <c r="E23" s="14"/>
      <c r="F23" s="16">
        <v>1990</v>
      </c>
      <c r="G23" s="20">
        <v>33055</v>
      </c>
      <c r="H23" s="29">
        <v>110</v>
      </c>
      <c r="I23" s="32" t="s">
        <v>54</v>
      </c>
      <c r="J23" s="32">
        <v>198</v>
      </c>
      <c r="K23" s="32">
        <f t="shared" si="7"/>
        <v>524.5</v>
      </c>
      <c r="L23" s="35">
        <f t="shared" si="8"/>
        <v>0.3775</v>
      </c>
      <c r="M23" s="36">
        <f t="shared" si="3"/>
        <v>41.53</v>
      </c>
      <c r="O23" s="19">
        <f t="shared" si="6"/>
        <v>2043898.95</v>
      </c>
      <c r="P23" s="19"/>
      <c r="Q23" s="10">
        <v>65</v>
      </c>
      <c r="R23" s="19"/>
      <c r="S23" s="13">
        <f t="shared" si="4"/>
        <v>31444.599230769229</v>
      </c>
      <c r="T23" s="19"/>
      <c r="U23" s="19">
        <f t="shared" si="5"/>
        <v>1090079.44</v>
      </c>
      <c r="V23" s="19"/>
      <c r="W23" s="19">
        <f t="shared" si="9"/>
        <v>953819.51</v>
      </c>
      <c r="X23" s="45"/>
      <c r="Y23" s="45"/>
    </row>
    <row r="24" spans="1:28">
      <c r="A24" s="17">
        <v>331.42</v>
      </c>
      <c r="B24" s="5" t="s">
        <v>59</v>
      </c>
      <c r="C24" s="5" t="s">
        <v>53</v>
      </c>
      <c r="D24" s="15">
        <v>3754</v>
      </c>
      <c r="E24" s="14"/>
      <c r="F24" s="16">
        <v>1960</v>
      </c>
      <c r="G24" s="20">
        <v>22098</v>
      </c>
      <c r="H24" s="29">
        <v>125</v>
      </c>
      <c r="I24" s="32" t="s">
        <v>60</v>
      </c>
      <c r="J24" s="32">
        <v>68</v>
      </c>
      <c r="K24" s="32">
        <f>ROUND((1175+1166)/2,1)</f>
        <v>1170.5</v>
      </c>
      <c r="L24" s="35">
        <f t="shared" ref="L24" si="10">ROUND(J24/K24,4)</f>
        <v>5.8099999999999999E-2</v>
      </c>
      <c r="M24" s="36">
        <f t="shared" si="3"/>
        <v>7.26</v>
      </c>
      <c r="O24" s="19">
        <f t="shared" si="6"/>
        <v>27254.04</v>
      </c>
      <c r="P24" s="19"/>
      <c r="Q24" s="10">
        <v>65</v>
      </c>
      <c r="R24" s="19"/>
      <c r="S24" s="13">
        <f t="shared" si="4"/>
        <v>419.2929230769231</v>
      </c>
      <c r="T24" s="19"/>
      <c r="U24" s="19">
        <f t="shared" si="5"/>
        <v>27114.275692307696</v>
      </c>
      <c r="V24" s="19"/>
      <c r="W24" s="19">
        <f t="shared" ref="W24" si="11">+O24-U24</f>
        <v>139.76430769230501</v>
      </c>
      <c r="X24" s="45"/>
      <c r="Y24" s="45"/>
    </row>
    <row r="25" spans="1:28">
      <c r="A25" s="17"/>
      <c r="B25" s="5" t="s">
        <v>61</v>
      </c>
      <c r="C25" s="5" t="s">
        <v>53</v>
      </c>
      <c r="D25" s="23">
        <f>SUM(D19:D24)</f>
        <v>70442</v>
      </c>
      <c r="E25" s="5"/>
      <c r="F25" s="10"/>
      <c r="G25" s="10"/>
      <c r="H25" s="21"/>
      <c r="I25" s="31"/>
      <c r="J25" s="32"/>
      <c r="K25" s="32"/>
      <c r="L25" s="33"/>
      <c r="M25" s="30"/>
      <c r="O25" s="22">
        <f>SUM(O19:O23)</f>
        <v>2704446.2</v>
      </c>
      <c r="P25" s="21"/>
      <c r="Q25" s="5"/>
      <c r="R25" s="5"/>
      <c r="S25" s="22">
        <f>SUM(S19:S23)</f>
        <v>41606.864615384613</v>
      </c>
      <c r="T25" s="5"/>
      <c r="U25" s="22">
        <f>SUM(U19:U23)</f>
        <v>1438234.838974359</v>
      </c>
      <c r="V25" s="5"/>
      <c r="W25" s="22">
        <f>SUM(W19:W23)</f>
        <v>1266211.361025641</v>
      </c>
      <c r="X25" s="38"/>
      <c r="Y25" s="39"/>
    </row>
    <row r="26" spans="1:28">
      <c r="A26" s="17"/>
      <c r="B26" s="11"/>
      <c r="C26" s="11"/>
      <c r="D26" s="11"/>
      <c r="E26" s="11"/>
      <c r="F26" s="24"/>
      <c r="G26" s="24"/>
      <c r="H26" s="19"/>
      <c r="I26" s="31"/>
      <c r="J26" s="32"/>
      <c r="K26" s="32"/>
      <c r="L26" s="33"/>
      <c r="M26" s="37"/>
      <c r="O26" s="19"/>
      <c r="P26" s="19"/>
      <c r="Q26" s="10"/>
      <c r="R26" s="19"/>
      <c r="S26" s="13"/>
      <c r="T26" s="19"/>
      <c r="U26" s="19"/>
      <c r="V26" s="19"/>
      <c r="W26" s="19"/>
      <c r="X26" s="38"/>
      <c r="Y26" s="39"/>
    </row>
    <row r="27" spans="1:28">
      <c r="A27" s="26" t="s">
        <v>62</v>
      </c>
      <c r="B27" s="5"/>
      <c r="C27" s="5"/>
      <c r="D27" s="5"/>
      <c r="E27" s="5"/>
      <c r="F27" s="5"/>
      <c r="G27" s="5"/>
      <c r="H27" s="5"/>
      <c r="I27" s="31"/>
      <c r="J27" s="32"/>
      <c r="K27" s="32"/>
      <c r="L27" s="33"/>
      <c r="M27" s="10"/>
      <c r="O27" s="5"/>
      <c r="P27" s="5"/>
      <c r="Q27" s="5"/>
      <c r="R27" s="5"/>
      <c r="S27" s="5"/>
      <c r="T27" s="5"/>
      <c r="U27" s="5"/>
      <c r="V27" s="5"/>
      <c r="W27" s="5"/>
      <c r="X27" s="38"/>
      <c r="Y27" s="39"/>
    </row>
    <row r="28" spans="1:28">
      <c r="A28" s="17">
        <v>333.4</v>
      </c>
      <c r="B28" s="5" t="s">
        <v>63</v>
      </c>
      <c r="C28" s="5" t="s">
        <v>47</v>
      </c>
      <c r="D28" s="15">
        <v>9</v>
      </c>
      <c r="E28" s="14"/>
      <c r="F28" s="16">
        <v>1960</v>
      </c>
      <c r="G28" s="20">
        <v>22098</v>
      </c>
      <c r="H28" s="21">
        <v>3500</v>
      </c>
      <c r="I28" s="32" t="s">
        <v>64</v>
      </c>
      <c r="J28" s="32">
        <v>45</v>
      </c>
      <c r="K28" s="32">
        <f>ROUND((747+752)/2,1)</f>
        <v>749.5</v>
      </c>
      <c r="L28" s="35">
        <f t="shared" ref="L28:L30" si="12">ROUND(J28/K28,4)</f>
        <v>0.06</v>
      </c>
      <c r="M28" s="30">
        <f t="shared" ref="M28:M30" si="13">ROUND(H28*L28,2)</f>
        <v>210</v>
      </c>
      <c r="O28" s="21">
        <f>ROUND(D28*M28,2)</f>
        <v>1890</v>
      </c>
      <c r="P28" s="21"/>
      <c r="Q28" s="10">
        <v>55</v>
      </c>
      <c r="R28" s="21"/>
      <c r="S28" s="12">
        <f>IFERROR(O28/Q28,0)</f>
        <v>34.363636363636367</v>
      </c>
      <c r="T28" s="21"/>
      <c r="U28" s="21">
        <f>IF((S28/12)*DATEDIF($G28,$Y$3,"M")&gt;O28,O28,(S28/12)*DATEDIF($G28,$Y$3,"M"))</f>
        <v>1890</v>
      </c>
      <c r="V28" s="21"/>
      <c r="W28" s="21">
        <f>+O28-U28</f>
        <v>0</v>
      </c>
      <c r="X28" s="45" t="s">
        <v>65</v>
      </c>
      <c r="Y28" s="45"/>
    </row>
    <row r="29" spans="1:28">
      <c r="A29" s="17">
        <v>333.4</v>
      </c>
      <c r="B29" s="5" t="s">
        <v>63</v>
      </c>
      <c r="C29" s="5" t="s">
        <v>47</v>
      </c>
      <c r="D29" s="15">
        <v>152</v>
      </c>
      <c r="E29" s="14"/>
      <c r="F29" s="16">
        <v>1990</v>
      </c>
      <c r="G29" s="20">
        <v>33055</v>
      </c>
      <c r="H29" s="21">
        <v>3500</v>
      </c>
      <c r="I29" s="32" t="s">
        <v>64</v>
      </c>
      <c r="J29" s="32">
        <v>227</v>
      </c>
      <c r="K29" s="32">
        <f t="shared" ref="K29:K30" si="14">ROUND((747+752)/2,1)</f>
        <v>749.5</v>
      </c>
      <c r="L29" s="35">
        <f t="shared" si="12"/>
        <v>0.3029</v>
      </c>
      <c r="M29" s="30">
        <f t="shared" si="13"/>
        <v>1060.1500000000001</v>
      </c>
      <c r="O29" s="21">
        <f t="shared" ref="O29:O30" si="15">ROUND(D29*M29,2)</f>
        <v>161142.79999999999</v>
      </c>
      <c r="P29" s="19"/>
      <c r="Q29" s="10">
        <v>55</v>
      </c>
      <c r="R29" s="19"/>
      <c r="S29" s="13">
        <f>IFERROR(O29/Q29,0)</f>
        <v>2929.8690909090906</v>
      </c>
      <c r="T29" s="19"/>
      <c r="U29" s="19">
        <f>IF((S29/12)*DATEDIF($G29,$Y$3,"M")&gt;O29,O29,(S29/12)*DATEDIF($G29,$Y$3,"M"))</f>
        <v>101568.79515151514</v>
      </c>
      <c r="V29" s="19"/>
      <c r="W29" s="19">
        <f>+O29-U29</f>
        <v>59574.004848484852</v>
      </c>
      <c r="X29" s="45"/>
      <c r="Y29" s="45"/>
    </row>
    <row r="30" spans="1:28">
      <c r="A30" s="17">
        <v>333.4</v>
      </c>
      <c r="B30" s="5" t="s">
        <v>63</v>
      </c>
      <c r="C30" s="5" t="s">
        <v>47</v>
      </c>
      <c r="D30" s="15">
        <v>1</v>
      </c>
      <c r="E30" s="14"/>
      <c r="F30" s="16">
        <v>2000</v>
      </c>
      <c r="G30" s="20">
        <v>36708</v>
      </c>
      <c r="H30" s="21">
        <v>3500</v>
      </c>
      <c r="I30" s="32" t="s">
        <v>64</v>
      </c>
      <c r="J30" s="32">
        <v>272</v>
      </c>
      <c r="K30" s="32">
        <f t="shared" si="14"/>
        <v>749.5</v>
      </c>
      <c r="L30" s="35">
        <f t="shared" si="12"/>
        <v>0.3629</v>
      </c>
      <c r="M30" s="30">
        <f t="shared" si="13"/>
        <v>1270.1500000000001</v>
      </c>
      <c r="O30" s="21">
        <f t="shared" si="15"/>
        <v>1270.1500000000001</v>
      </c>
      <c r="P30" s="19"/>
      <c r="Q30" s="10">
        <v>55</v>
      </c>
      <c r="R30" s="19"/>
      <c r="S30" s="13">
        <f>IFERROR(O30/Q30,0)</f>
        <v>23.093636363636364</v>
      </c>
      <c r="T30" s="19"/>
      <c r="U30" s="19">
        <f>IF((S30/12)*DATEDIF($G30,$Y$3,"M")&gt;O30,O30,(S30/12)*DATEDIF($G30,$Y$3,"M"))</f>
        <v>569.64303030303029</v>
      </c>
      <c r="V30" s="19"/>
      <c r="W30" s="19">
        <f t="shared" ref="W30" si="16">+O30-U30</f>
        <v>700.5069696969698</v>
      </c>
      <c r="X30" s="45"/>
      <c r="Y30" s="45"/>
    </row>
    <row r="31" spans="1:28">
      <c r="A31" s="17"/>
      <c r="B31" s="5" t="s">
        <v>66</v>
      </c>
      <c r="C31" s="5" t="s">
        <v>47</v>
      </c>
      <c r="D31" s="23">
        <f>SUM(D28:D30)</f>
        <v>162</v>
      </c>
      <c r="E31" s="5"/>
      <c r="F31" s="10"/>
      <c r="G31" s="10"/>
      <c r="H31" s="21"/>
      <c r="I31" s="31"/>
      <c r="J31" s="32"/>
      <c r="K31" s="32"/>
      <c r="L31" s="33"/>
      <c r="M31" s="30"/>
      <c r="O31" s="22">
        <f>SUM(O28:O30)</f>
        <v>164302.94999999998</v>
      </c>
      <c r="P31" s="21"/>
      <c r="Q31" s="5"/>
      <c r="R31" s="5"/>
      <c r="S31" s="22">
        <f>SUM(S28:S30)</f>
        <v>2987.3263636363636</v>
      </c>
      <c r="T31" s="5"/>
      <c r="U31" s="22">
        <f>SUM(U28:U30)</f>
        <v>104028.43818181817</v>
      </c>
      <c r="V31" s="5"/>
      <c r="W31" s="22">
        <f>SUM(W28:W30)</f>
        <v>60274.511818181825</v>
      </c>
      <c r="X31" s="38"/>
      <c r="Y31" s="39"/>
    </row>
    <row r="32" spans="1:28">
      <c r="A32" s="17"/>
      <c r="B32" s="5"/>
      <c r="C32" s="5"/>
      <c r="D32" s="15"/>
      <c r="E32" s="5"/>
      <c r="F32" s="10"/>
      <c r="G32" s="10"/>
      <c r="H32" s="21"/>
      <c r="I32" s="31"/>
      <c r="J32" s="32"/>
      <c r="K32" s="32"/>
      <c r="L32" s="33"/>
      <c r="M32" s="30"/>
      <c r="O32" s="21"/>
      <c r="P32" s="21"/>
      <c r="Q32" s="5"/>
      <c r="R32" s="5"/>
      <c r="S32" s="21"/>
      <c r="T32" s="5"/>
      <c r="U32" s="21"/>
      <c r="V32" s="5"/>
      <c r="W32" s="21"/>
      <c r="X32" s="38"/>
      <c r="Y32" s="39"/>
    </row>
    <row r="33" spans="1:25">
      <c r="A33" s="26" t="s">
        <v>67</v>
      </c>
      <c r="B33" s="5"/>
      <c r="C33" s="5"/>
      <c r="D33" s="5"/>
      <c r="E33" s="5"/>
      <c r="F33" s="5"/>
      <c r="G33" s="5"/>
      <c r="H33" s="5"/>
      <c r="I33" s="31"/>
      <c r="J33" s="32"/>
      <c r="K33" s="32"/>
      <c r="L33" s="33"/>
      <c r="M33" s="10"/>
      <c r="O33" s="5"/>
      <c r="P33" s="5"/>
      <c r="Q33" s="5"/>
      <c r="R33" s="5"/>
      <c r="S33" s="5"/>
      <c r="T33" s="5"/>
      <c r="U33" s="5"/>
      <c r="V33" s="5"/>
      <c r="W33" s="5"/>
      <c r="X33" s="38"/>
      <c r="Y33" s="39"/>
    </row>
    <row r="34" spans="1:25" ht="15" hidden="1" customHeight="1">
      <c r="A34" s="17">
        <v>334.4</v>
      </c>
      <c r="B34" s="5" t="s">
        <v>68</v>
      </c>
      <c r="C34" s="5"/>
      <c r="D34" s="15"/>
      <c r="E34" s="14"/>
      <c r="F34" s="16">
        <v>1960</v>
      </c>
      <c r="G34" s="20">
        <v>22098</v>
      </c>
      <c r="H34" s="21"/>
      <c r="I34" s="32" t="s">
        <v>69</v>
      </c>
      <c r="J34" s="32"/>
      <c r="K34" s="32"/>
      <c r="L34" s="33"/>
      <c r="M34" s="30"/>
      <c r="O34" s="21"/>
      <c r="P34" s="21"/>
      <c r="Q34" s="10"/>
      <c r="R34" s="21"/>
      <c r="S34" s="12">
        <f>IFERROR(O34/Q34,0)</f>
        <v>0</v>
      </c>
      <c r="T34" s="21"/>
      <c r="U34" s="21">
        <f>IF((S34/12)*DATEDIF($G34,$Y$3,"M")&gt;O34,O34,(S34/12)*DATEDIF($G34,$Y$3,"M"))</f>
        <v>0</v>
      </c>
      <c r="V34" s="21"/>
      <c r="W34" s="21">
        <f>+O34-U34</f>
        <v>0</v>
      </c>
      <c r="X34" s="45" t="s">
        <v>70</v>
      </c>
      <c r="Y34" s="45"/>
    </row>
    <row r="35" spans="1:25" ht="15" hidden="1" customHeight="1">
      <c r="A35" s="17">
        <v>334.4</v>
      </c>
      <c r="B35" s="5" t="s">
        <v>68</v>
      </c>
      <c r="C35" s="5"/>
      <c r="D35" s="15"/>
      <c r="E35" s="14"/>
      <c r="F35" s="16">
        <v>1990</v>
      </c>
      <c r="G35" s="20">
        <v>33055</v>
      </c>
      <c r="H35" s="19"/>
      <c r="I35" s="32" t="s">
        <v>69</v>
      </c>
      <c r="J35" s="32"/>
      <c r="K35" s="32"/>
      <c r="L35" s="33"/>
      <c r="M35" s="37"/>
      <c r="O35" s="19"/>
      <c r="P35" s="19"/>
      <c r="Q35" s="10"/>
      <c r="R35" s="19"/>
      <c r="S35" s="13">
        <f>IFERROR(O35/Q35,0)</f>
        <v>0</v>
      </c>
      <c r="T35" s="19"/>
      <c r="U35" s="19">
        <f>IF((S35/12)*DATEDIF($G35,$Y$3,"M")&gt;O35,O35,(S35/12)*DATEDIF($G35,$Y$3,"M"))</f>
        <v>0</v>
      </c>
      <c r="V35" s="19"/>
      <c r="W35" s="19">
        <f>+O35-U35</f>
        <v>0</v>
      </c>
      <c r="X35" s="45"/>
      <c r="Y35" s="45"/>
    </row>
    <row r="36" spans="1:25">
      <c r="A36" s="17">
        <v>334.4</v>
      </c>
      <c r="B36" s="5" t="s">
        <v>68</v>
      </c>
      <c r="C36" s="5" t="s">
        <v>47</v>
      </c>
      <c r="D36" s="15">
        <v>162</v>
      </c>
      <c r="E36" s="14"/>
      <c r="F36" s="16">
        <v>2000</v>
      </c>
      <c r="G36" s="20">
        <v>36708</v>
      </c>
      <c r="H36" s="40">
        <v>450</v>
      </c>
      <c r="I36" s="32" t="s">
        <v>69</v>
      </c>
      <c r="J36" s="32">
        <v>205</v>
      </c>
      <c r="K36" s="32">
        <v>1074</v>
      </c>
      <c r="L36" s="35">
        <f>ROUND(J36/K36,4)</f>
        <v>0.19089999999999999</v>
      </c>
      <c r="M36" s="37">
        <f t="shared" ref="M36" si="17">ROUND(H36*L36,2)</f>
        <v>85.91</v>
      </c>
      <c r="O36" s="19">
        <f>ROUND(D36*M36,2)</f>
        <v>13917.42</v>
      </c>
      <c r="P36" s="19"/>
      <c r="Q36" s="10">
        <v>10</v>
      </c>
      <c r="R36" s="19"/>
      <c r="S36" s="13">
        <f>IFERROR(O36/Q36,0)</f>
        <v>1391.742</v>
      </c>
      <c r="T36" s="19"/>
      <c r="U36" s="19">
        <f>IF((S36/12)*DATEDIF($G36,$Y$3,"M")&gt;O36,O36,(S36/12)*DATEDIF($G36,$Y$3,"M"))</f>
        <v>13917.42</v>
      </c>
      <c r="V36" s="19"/>
      <c r="W36" s="19">
        <f t="shared" ref="W36" si="18">+O36-U36</f>
        <v>0</v>
      </c>
      <c r="X36" s="45"/>
      <c r="Y36" s="45"/>
    </row>
    <row r="37" spans="1:25">
      <c r="A37" s="17"/>
      <c r="B37" s="5" t="s">
        <v>71</v>
      </c>
      <c r="C37" s="5" t="s">
        <v>47</v>
      </c>
      <c r="D37" s="23">
        <f>SUM(D34:D36)</f>
        <v>162</v>
      </c>
      <c r="E37" s="5"/>
      <c r="F37" s="10"/>
      <c r="G37" s="10"/>
      <c r="H37" s="21"/>
      <c r="I37" s="31"/>
      <c r="J37" s="32"/>
      <c r="K37" s="32"/>
      <c r="L37" s="33"/>
      <c r="M37" s="30"/>
      <c r="O37" s="22">
        <f>SUM(O34:O36)</f>
        <v>13917.42</v>
      </c>
      <c r="P37" s="21"/>
      <c r="Q37" s="5"/>
      <c r="R37" s="5"/>
      <c r="S37" s="22">
        <f>SUM(S34:S36)</f>
        <v>1391.742</v>
      </c>
      <c r="T37" s="5"/>
      <c r="U37" s="22">
        <f>SUM(U34:U36)</f>
        <v>13917.42</v>
      </c>
      <c r="V37" s="5"/>
      <c r="W37" s="22">
        <f>SUM(W34:W36)</f>
        <v>0</v>
      </c>
      <c r="X37" s="45"/>
      <c r="Y37" s="45"/>
    </row>
    <row r="38" spans="1:25">
      <c r="A38" s="17"/>
      <c r="B38" s="5"/>
      <c r="C38" s="5"/>
      <c r="D38" s="15"/>
      <c r="E38" s="5"/>
      <c r="F38" s="10"/>
      <c r="G38" s="10"/>
      <c r="H38" s="21"/>
      <c r="I38" s="31"/>
      <c r="J38" s="32"/>
      <c r="K38" s="32"/>
      <c r="L38" s="33"/>
      <c r="M38" s="30"/>
      <c r="O38" s="22"/>
      <c r="P38" s="21"/>
      <c r="Q38" s="5"/>
      <c r="R38" s="5"/>
      <c r="S38" s="22"/>
      <c r="T38" s="5"/>
      <c r="U38" s="22"/>
      <c r="V38" s="5"/>
      <c r="W38" s="22"/>
      <c r="X38" s="38"/>
      <c r="Y38" s="39"/>
    </row>
    <row r="39" spans="1:25">
      <c r="A39" s="26" t="s">
        <v>72</v>
      </c>
      <c r="B39" s="5"/>
      <c r="C39" s="5"/>
      <c r="D39" s="5"/>
      <c r="E39" s="5"/>
      <c r="F39" s="5"/>
      <c r="G39" s="5"/>
      <c r="H39" s="5"/>
      <c r="I39" s="31"/>
      <c r="J39" s="32"/>
      <c r="K39" s="32"/>
      <c r="L39" s="33"/>
      <c r="M39" s="10"/>
      <c r="O39" s="5"/>
      <c r="P39" s="5"/>
      <c r="Q39" s="5"/>
      <c r="R39" s="5"/>
      <c r="S39" s="5"/>
      <c r="T39" s="5"/>
      <c r="U39" s="5"/>
      <c r="V39" s="5"/>
      <c r="W39" s="5"/>
      <c r="X39" s="38"/>
      <c r="Y39" s="39"/>
    </row>
    <row r="40" spans="1:25">
      <c r="A40" s="17">
        <v>335.4</v>
      </c>
      <c r="B40" s="5" t="s">
        <v>73</v>
      </c>
      <c r="C40" s="5" t="s">
        <v>47</v>
      </c>
      <c r="D40" s="15">
        <v>1</v>
      </c>
      <c r="E40" s="14"/>
      <c r="F40" s="16">
        <v>1960</v>
      </c>
      <c r="G40" s="20">
        <v>22098</v>
      </c>
      <c r="H40" s="21">
        <v>5000</v>
      </c>
      <c r="I40" s="32" t="s">
        <v>74</v>
      </c>
      <c r="J40" s="32">
        <v>55</v>
      </c>
      <c r="K40" s="32">
        <v>1428</v>
      </c>
      <c r="L40" s="35">
        <f>ROUND(J40/K40,4)</f>
        <v>3.85E-2</v>
      </c>
      <c r="M40" s="30">
        <f t="shared" ref="M40:M41" si="19">ROUND(H40*L40,2)</f>
        <v>192.5</v>
      </c>
      <c r="O40" s="21">
        <f>ROUND(D40*M40,2)</f>
        <v>192.5</v>
      </c>
      <c r="P40" s="21"/>
      <c r="Q40" s="10">
        <v>65</v>
      </c>
      <c r="R40" s="21"/>
      <c r="S40" s="12">
        <f>IFERROR(O40/Q40,0)</f>
        <v>2.9615384615384617</v>
      </c>
      <c r="T40" s="21"/>
      <c r="U40" s="21">
        <f>IF((S40/12)*DATEDIF($G40,$Y$3,"M")&gt;O40,O40,(S40/12)*DATEDIF($G40,$Y$3,"M"))</f>
        <v>191.51282051282053</v>
      </c>
      <c r="V40" s="21"/>
      <c r="W40" s="21">
        <f>+O40-U40</f>
        <v>0.98717948717947479</v>
      </c>
      <c r="X40" s="43" t="s">
        <v>75</v>
      </c>
      <c r="Y40" s="43"/>
    </row>
    <row r="41" spans="1:25">
      <c r="A41" s="17">
        <v>335.4</v>
      </c>
      <c r="B41" s="5" t="s">
        <v>73</v>
      </c>
      <c r="C41" s="5" t="s">
        <v>47</v>
      </c>
      <c r="D41" s="15">
        <v>15</v>
      </c>
      <c r="E41" s="14"/>
      <c r="F41" s="16">
        <v>1990</v>
      </c>
      <c r="G41" s="20">
        <v>33055</v>
      </c>
      <c r="H41" s="40">
        <v>5000</v>
      </c>
      <c r="I41" s="32" t="s">
        <v>74</v>
      </c>
      <c r="J41" s="32">
        <v>346</v>
      </c>
      <c r="K41" s="32">
        <v>1428</v>
      </c>
      <c r="L41" s="35">
        <f>ROUND(J41/K41,4)</f>
        <v>0.24229999999999999</v>
      </c>
      <c r="M41" s="30">
        <f t="shared" si="19"/>
        <v>1211.5</v>
      </c>
      <c r="O41" s="21">
        <f>ROUND(D41*M41,2)</f>
        <v>18172.5</v>
      </c>
      <c r="P41" s="19"/>
      <c r="Q41" s="10">
        <v>65</v>
      </c>
      <c r="R41" s="19"/>
      <c r="S41" s="13">
        <f>IFERROR(O41/Q41,0)</f>
        <v>279.57692307692309</v>
      </c>
      <c r="T41" s="19"/>
      <c r="U41" s="19">
        <f>IF((S41/12)*DATEDIF($G41,$Y$3,"M")&gt;O41,O41,(S41/12)*DATEDIF($G41,$Y$3,"M"))</f>
        <v>9692</v>
      </c>
      <c r="V41" s="19"/>
      <c r="W41" s="19">
        <f>+O41-U41</f>
        <v>8480.5</v>
      </c>
      <c r="X41" s="43"/>
      <c r="Y41" s="43"/>
    </row>
    <row r="42" spans="1:25" ht="14.45" hidden="1" customHeight="1">
      <c r="A42" s="17">
        <v>335.4</v>
      </c>
      <c r="B42" s="5" t="s">
        <v>73</v>
      </c>
      <c r="C42" s="5"/>
      <c r="D42" s="15"/>
      <c r="E42" s="14"/>
      <c r="F42" s="16">
        <v>2000</v>
      </c>
      <c r="G42" s="20">
        <v>36708</v>
      </c>
      <c r="H42" s="19"/>
      <c r="I42" s="32" t="s">
        <v>74</v>
      </c>
      <c r="J42" s="32"/>
      <c r="K42" s="32"/>
      <c r="L42" s="33"/>
      <c r="M42" s="37"/>
      <c r="O42" s="19"/>
      <c r="P42" s="19"/>
      <c r="Q42" s="10"/>
      <c r="R42" s="19"/>
      <c r="S42" s="13">
        <f>IFERROR(O42/Q42,0)</f>
        <v>0</v>
      </c>
      <c r="T42" s="19"/>
      <c r="U42" s="19">
        <f>IF((S42/12)*DATEDIF($G42,$Y$3,"M")&gt;O42,O42,(S42/12)*DATEDIF($G42,$Y$3,"M"))</f>
        <v>0</v>
      </c>
      <c r="V42" s="19"/>
      <c r="W42" s="19">
        <f t="shared" ref="W42" si="20">+O42-U42</f>
        <v>0</v>
      </c>
      <c r="X42" s="43"/>
      <c r="Y42" s="43"/>
    </row>
    <row r="43" spans="1:25">
      <c r="A43" s="17"/>
      <c r="B43" s="5" t="s">
        <v>76</v>
      </c>
      <c r="C43" s="5" t="s">
        <v>47</v>
      </c>
      <c r="D43" s="23">
        <f>SUM(D40:D42)</f>
        <v>16</v>
      </c>
      <c r="E43" s="5"/>
      <c r="F43" s="10"/>
      <c r="G43" s="10"/>
      <c r="H43" s="21"/>
      <c r="I43" s="31"/>
      <c r="J43" s="32"/>
      <c r="K43" s="32"/>
      <c r="L43" s="33"/>
      <c r="M43" s="30"/>
      <c r="O43" s="22">
        <f>SUM(O40:O42)</f>
        <v>18365</v>
      </c>
      <c r="P43" s="21"/>
      <c r="Q43" s="5"/>
      <c r="R43" s="5"/>
      <c r="S43" s="22">
        <f>SUM(S40:S42)</f>
        <v>282.53846153846155</v>
      </c>
      <c r="T43" s="5"/>
      <c r="U43" s="22">
        <f>SUM(U40:U42)</f>
        <v>9883.5128205128203</v>
      </c>
      <c r="V43" s="5"/>
      <c r="W43" s="22">
        <f>SUM(W40:W42)</f>
        <v>8481.4871794871797</v>
      </c>
      <c r="X43" s="43"/>
      <c r="Y43" s="43"/>
    </row>
    <row r="44" spans="1:25">
      <c r="A44" s="10"/>
      <c r="B44" s="5"/>
      <c r="C44" s="5"/>
      <c r="D44" s="5"/>
      <c r="E44" s="5"/>
      <c r="F44" s="10"/>
      <c r="G44" s="10"/>
      <c r="H44" s="21"/>
      <c r="I44" s="31"/>
      <c r="J44" s="32"/>
      <c r="K44" s="32"/>
      <c r="L44" s="33"/>
      <c r="M44" s="30"/>
      <c r="O44" s="22"/>
      <c r="P44" s="21"/>
      <c r="Q44" s="5"/>
      <c r="R44" s="5"/>
      <c r="S44" s="22"/>
      <c r="T44" s="5"/>
      <c r="U44" s="22"/>
      <c r="V44" s="5"/>
      <c r="W44" s="22"/>
      <c r="X44" s="43"/>
      <c r="Y44" s="43"/>
    </row>
    <row r="45" spans="1:25" ht="15.75" thickBot="1">
      <c r="A45" s="10"/>
      <c r="B45" s="5" t="s">
        <v>77</v>
      </c>
      <c r="C45" s="5"/>
      <c r="D45" s="5"/>
      <c r="E45" s="5"/>
      <c r="F45" s="10"/>
      <c r="G45" s="10"/>
      <c r="H45" s="21"/>
      <c r="I45" s="31"/>
      <c r="J45" s="32"/>
      <c r="K45" s="32"/>
      <c r="L45" s="33"/>
      <c r="M45" s="30"/>
      <c r="O45" s="25">
        <f>+O12+O16+O25+O31+O37+O43</f>
        <v>3048926.5700000003</v>
      </c>
      <c r="P45" s="21"/>
      <c r="Q45" s="5"/>
      <c r="R45" s="5"/>
      <c r="S45" s="25">
        <f>+S12+S16+S25+S31+S37+S43</f>
        <v>48733.388107226099</v>
      </c>
      <c r="T45" s="5"/>
      <c r="U45" s="25">
        <f>+U12+U16+U25+U31+U37+U43</f>
        <v>1608378.6127544676</v>
      </c>
      <c r="V45" s="5"/>
      <c r="W45" s="25">
        <f>+W12+W16+W25+W31+W37+W43</f>
        <v>1441797.9572455322</v>
      </c>
      <c r="Y45" s="34"/>
    </row>
    <row r="46" spans="1:25" ht="15.75" thickTop="1">
      <c r="A46" s="10"/>
      <c r="B46" s="5"/>
      <c r="C46" s="5"/>
      <c r="D46" s="5"/>
      <c r="E46" s="5"/>
      <c r="F46" s="10"/>
      <c r="G46" s="10"/>
      <c r="H46" s="21"/>
      <c r="I46" s="31"/>
      <c r="J46" s="32"/>
      <c r="K46" s="32"/>
      <c r="L46" s="33"/>
      <c r="M46" s="30"/>
      <c r="O46" s="21"/>
      <c r="P46" s="21"/>
      <c r="Q46" s="5"/>
      <c r="R46" s="5"/>
      <c r="S46" s="21"/>
      <c r="T46" s="5"/>
      <c r="U46" s="21"/>
      <c r="V46" s="5"/>
      <c r="W46" s="21"/>
    </row>
    <row r="47" spans="1:25">
      <c r="J47" s="1"/>
      <c r="K47" s="1"/>
      <c r="L47" s="1"/>
      <c r="M47" s="1"/>
    </row>
    <row r="48" spans="1:25">
      <c r="J48" s="1"/>
      <c r="K48" s="1"/>
      <c r="L48" s="1"/>
      <c r="M48" s="1"/>
    </row>
    <row r="49" spans="10:13">
      <c r="J49" s="1"/>
      <c r="K49" s="1"/>
      <c r="L49" s="1"/>
      <c r="M49" s="1"/>
    </row>
    <row r="50" spans="10:13">
      <c r="J50" s="1"/>
      <c r="K50" s="1"/>
      <c r="L50" s="1"/>
      <c r="M50" s="1"/>
    </row>
    <row r="51" spans="10:13">
      <c r="J51" s="1"/>
      <c r="K51" s="1"/>
      <c r="L51" s="1"/>
      <c r="M51" s="1"/>
    </row>
    <row r="52" spans="10:13">
      <c r="J52" s="1"/>
      <c r="K52" s="1"/>
      <c r="L52" s="1"/>
      <c r="M52" s="1"/>
    </row>
    <row r="53" spans="10:13">
      <c r="J53" s="1"/>
      <c r="K53" s="1"/>
      <c r="L53" s="1"/>
      <c r="M53" s="1"/>
    </row>
    <row r="54" spans="10:13">
      <c r="J54" s="1"/>
      <c r="K54" s="1"/>
      <c r="L54" s="1"/>
      <c r="M54" s="1"/>
    </row>
    <row r="55" spans="10:13">
      <c r="J55" s="1"/>
      <c r="K55" s="1"/>
      <c r="L55" s="1"/>
      <c r="M55" s="1"/>
    </row>
    <row r="56" spans="10:13">
      <c r="J56" s="1"/>
      <c r="K56" s="1"/>
      <c r="L56" s="1"/>
      <c r="M56" s="1"/>
    </row>
    <row r="57" spans="10:13">
      <c r="J57" s="1"/>
      <c r="K57" s="1"/>
      <c r="L57" s="1"/>
      <c r="M57" s="1"/>
    </row>
    <row r="58" spans="10:13">
      <c r="J58" s="1"/>
      <c r="K58" s="1"/>
      <c r="L58" s="1"/>
      <c r="M58" s="1"/>
    </row>
    <row r="59" spans="10:13">
      <c r="J59" s="1"/>
      <c r="K59" s="1"/>
      <c r="L59" s="1"/>
      <c r="M59" s="1"/>
    </row>
  </sheetData>
  <mergeCells count="12">
    <mergeCell ref="A1:Y1"/>
    <mergeCell ref="A2:Y2"/>
    <mergeCell ref="A4:Y4"/>
    <mergeCell ref="I7:M7"/>
    <mergeCell ref="X15:Y16"/>
    <mergeCell ref="X40:Y44"/>
    <mergeCell ref="X6:Y6"/>
    <mergeCell ref="X34:Y37"/>
    <mergeCell ref="X8:Y8"/>
    <mergeCell ref="X19:Y24"/>
    <mergeCell ref="X28:Y30"/>
    <mergeCell ref="X10:Y11"/>
  </mergeCells>
  <printOptions horizontalCentered="1"/>
  <pageMargins left="0.2" right="0.2" top="0.5" bottom="0.5" header="0.3" footer="0.3"/>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nternal_x0020_Due_x0020_Date xmlns="00c1cf47-8665-4c73-8994-ff3a5e26da0f" xsi:nil="true"/>
    <Series xmlns="1C2D6F36-EFDD-473D-B6BF-79AEB9476004" xsi:nil="true"/>
    <WorkflowStatus xmlns="1c2d6f36-efdd-473d-b6bf-79aeb9476004">Completed</WorkflowStatus>
    <Final_x0020_Due_x0020_Date xmlns="00c1cf47-8665-4c73-8994-ff3a5e26da0f" xsi:nil="true"/>
    <Docket_x0020_Number xmlns="00c1cf47-8665-4c73-8994-ff3a5e26da0f">2025-00364 - Livingston Acquisition</Docket_x0020_Number>
    <Preparer xmlns="00c1cf47-8665-4c73-8994-ff3a5e26da0f" xsi:nil="true"/>
    <Document_x0020_Type xmlns="00c1cf47-8665-4c73-8994-ff3a5e26da0f">Discovery</Document_x0020_Type>
    <SendDocumentforApproval xmlns="1c2d6f36-efdd-473d-b6bf-79aeb9476004">
      <Url xsi:nil="true"/>
      <Description xsi:nil="true"/>
    </SendDocumentforApproval>
    <Party xmlns="00c1cf47-8665-4c73-8994-ff3a5e26da0f" xsi:nil="true"/>
    <Responsible_x0020_Witness xmlns="00c1cf47-8665-4c73-8994-ff3a5e26da0f" xsi:nil="true"/>
    <_dlc_DocId xmlns="00c1cf47-8665-4c73-8994-ff3a5e26da0f">4QVSNHSJP2QR-1268407049-342</_dlc_DocId>
    <_dlc_DocIdUrl xmlns="00c1cf47-8665-4c73-8994-ff3a5e26da0f">
      <Url>https://amwater.sharepoint.com/sites/sers/KY/_layouts/15/DocIdRedir.aspx?ID=4QVSNHSJP2QR-1268407049-342</Url>
      <Description>4QVSNHSJP2QR-1268407049-342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587CA4D846D404DBE92A0A8993CFECD" ma:contentTypeVersion="7" ma:contentTypeDescription="Create a new document." ma:contentTypeScope="" ma:versionID="6ac2a02155c4acda36d38de5e0e957ab">
  <xsd:schema xmlns:xsd="http://www.w3.org/2001/XMLSchema" xmlns:xs="http://www.w3.org/2001/XMLSchema" xmlns:p="http://schemas.microsoft.com/office/2006/metadata/properties" xmlns:ns2="1C2D6F36-EFDD-473D-B6BF-79AEB9476004" xmlns:ns3="00c1cf47-8665-4c73-8994-ff3a5e26da0f" xmlns:ns5="1c2d6f36-efdd-473d-b6bf-79aeb9476004" targetNamespace="http://schemas.microsoft.com/office/2006/metadata/properties" ma:root="true" ma:fieldsID="5b175327752e565d9ff753912a49a620" ns2:_="" ns3:_="" ns5:_="">
    <xsd:import namespace="1C2D6F36-EFDD-473D-B6BF-79AEB9476004"/>
    <xsd:import namespace="00c1cf47-8665-4c73-8994-ff3a5e26da0f"/>
    <xsd:import namespace="1c2d6f36-efdd-473d-b6bf-79aeb9476004"/>
    <xsd:element name="properties">
      <xsd:complexType>
        <xsd:sequence>
          <xsd:element name="documentManagement">
            <xsd:complexType>
              <xsd:all>
                <xsd:element ref="ns2:MediaServiceMetadata" minOccurs="0"/>
                <xsd:element ref="ns2:MediaServiceFastMetadata" minOccurs="0"/>
                <xsd:element ref="ns3:Docket_x0020_Number"/>
                <xsd:element ref="ns3:Party" minOccurs="0"/>
                <xsd:element ref="ns3:Preparer" minOccurs="0"/>
                <xsd:element ref="ns3:Responsible_x0020_Witness" minOccurs="0"/>
                <xsd:element ref="ns3:Internal_x0020_Due_x0020_Date" minOccurs="0"/>
                <xsd:element ref="ns3:Final_x0020_Due_x0020_Date" minOccurs="0"/>
                <xsd:element ref="ns3:Document_x0020_Type"/>
                <xsd:element ref="ns2:Series" minOccurs="0"/>
                <xsd:element ref="ns5:WorkflowStatus" minOccurs="0"/>
                <xsd:element ref="ns3:_dlc_DocId" minOccurs="0"/>
                <xsd:element ref="ns3:_dlc_DocIdUrl" minOccurs="0"/>
                <xsd:element ref="ns3:_dlc_DocIdPersistId" minOccurs="0"/>
                <xsd:element ref="ns5:SendDocumentfor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2D6F36-EFDD-473D-B6BF-79AEB9476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eries" ma:index="19" nillable="true" ma:displayName="Series" ma:internalName="Seri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c1cf47-8665-4c73-8994-ff3a5e26da0f" elementFormDefault="qualified">
    <xsd:import namespace="http://schemas.microsoft.com/office/2006/documentManagement/types"/>
    <xsd:import namespace="http://schemas.microsoft.com/office/infopath/2007/PartnerControls"/>
    <xsd:element name="Docket_x0020_Number" ma:index="11" ma:displayName="Docket Number" ma:internalName="Docket_x0020_Number" ma:readOnly="false">
      <xsd:simpleType>
        <xsd:restriction base="dms:Text">
          <xsd:maxLength value="255"/>
        </xsd:restriction>
      </xsd:simpleType>
    </xsd:element>
    <xsd:element name="Party" ma:index="12" nillable="true" ma:displayName="Party" ma:format="Dropdown" ma:internalName="Party" ma:readOnly="false">
      <xsd:simpleType>
        <xsd:union memberTypes="dms:Text">
          <xsd:simpleType>
            <xsd:restriction base="dms:Choice">
              <xsd:enumeration value="Board of Public Utilities"/>
              <xsd:enumeration value="California American Water"/>
              <xsd:enumeration value="California Utilities Commission"/>
              <xsd:enumeration value="Cities &amp; Villages"/>
              <xsd:enumeration value="Commission Staff"/>
              <xsd:enumeration value="City of Chattanooga"/>
              <xsd:enumeration value="Community Action Counsel"/>
              <xsd:enumeration value="Consumer Advocate Division"/>
              <xsd:enumeration value="Division of Rate Counsel"/>
              <xsd:enumeration value="Division of Ratepayer Advocates"/>
              <xsd:enumeration value="Federal Executive Agency"/>
              <xsd:enumeration value="Hawaii American Water"/>
              <xsd:enumeration value="Hopewell Committee for Fair Utility Rates"/>
              <xsd:enumeration value="Illinois American Water"/>
              <xsd:enumeration value="ICC Staff"/>
              <xsd:enumeration value="Illinois Industrial Water Consumers"/>
              <xsd:enumeration value="Indiana American Water"/>
              <xsd:enumeration value="Indiana Office of Utility Consumer Counselor"/>
              <xsd:enumeration value="Iowa American Water"/>
              <xsd:enumeration value="Iowa Utilities Board"/>
              <xsd:enumeration value="Kentucky American Water"/>
              <xsd:enumeration value="Lexington Fayette Urban County Government"/>
              <xsd:enumeration value="Long Island American Water"/>
              <xsd:enumeration value="Maryland American Water"/>
              <xsd:enumeration value="Missouri American Water"/>
              <xsd:enumeration value="New Jersey American Water"/>
              <xsd:enumeration value="North Star"/>
              <xsd:enumeration value="NYS Dept of Public Service"/>
              <xsd:enumeration value="Office of Consumer Advocate"/>
              <xsd:enumeration value="Office of Public Counsel"/>
              <xsd:enumeration value="Office of Small Business Advocate"/>
              <xsd:enumeration value="Office of Trial Staff"/>
              <xsd:enumeration value="Overland Consulting"/>
              <xsd:enumeration value="Pennsylvania American Water"/>
              <xsd:enumeration value="Public Service Commission"/>
              <xsd:enumeration value="Public Utilities Commission of Ohio"/>
              <xsd:enumeration value="Public Utility Commission"/>
              <xsd:enumeration value="Public Works Commission"/>
              <xsd:enumeration value="Staff of the Attorney General"/>
              <xsd:enumeration value="Staff Information Request"/>
              <xsd:enumeration value="State Corporation Commission"/>
              <xsd:enumeration value="Tennessee American Water"/>
              <xsd:enumeration value="Tennessee Regulatory Authority"/>
              <xsd:enumeration value="The Utility Reform Network"/>
              <xsd:enumeration value="Utility Intervention Unit"/>
              <xsd:enumeration value="Utility Workers Union of America"/>
              <xsd:enumeration value="Village of Bolingbrook"/>
              <xsd:enumeration value="Virginia American Water"/>
              <xsd:enumeration value="West Lafayette"/>
              <xsd:enumeration value="West Virginia American Water"/>
              <xsd:enumeration value="West Virginia Consumer Advocate Division"/>
              <xsd:enumeration value="N/A"/>
            </xsd:restriction>
          </xsd:simpleType>
        </xsd:union>
      </xsd:simpleType>
    </xsd:element>
    <xsd:element name="Preparer" ma:index="13" nillable="true" ma:displayName="Preparer" ma:internalName="Preparer" ma:readOnly="false">
      <xsd:simpleType>
        <xsd:restriction base="dms:Text">
          <xsd:maxLength value="255"/>
        </xsd:restriction>
      </xsd:simpleType>
    </xsd:element>
    <xsd:element name="Responsible_x0020_Witness" ma:index="14" nillable="true" ma:displayName="Witness" ma:internalName="Responsible_x0020_Witness" ma:readOnly="false">
      <xsd:simpleType>
        <xsd:restriction base="dms:Text">
          <xsd:maxLength value="255"/>
        </xsd:restriction>
      </xsd:simpleType>
    </xsd:element>
    <xsd:element name="Internal_x0020_Due_x0020_Date" ma:index="16" nillable="true" ma:displayName="Int'l Due Date" ma:format="DateOnly" ma:internalName="Internal_x0020_Due_x0020_Date" ma:readOnly="false">
      <xsd:simpleType>
        <xsd:restriction base="dms:DateTime"/>
      </xsd:simpleType>
    </xsd:element>
    <xsd:element name="Final_x0020_Due_x0020_Date" ma:index="17" nillable="true" ma:displayName="Final Due Date" ma:format="DateOnly" ma:internalName="Final_x0020_Due_x0020_Date" ma:readOnly="false">
      <xsd:simpleType>
        <xsd:restriction base="dms:DateTime"/>
      </xsd:simpleType>
    </xsd:element>
    <xsd:element name="Document_x0020_Type" ma:index="18" ma:displayName="Doc Type" ma:format="Dropdown" ma:internalName="Document_x0020_Type" ma:readOnly="false">
      <xsd:simpleType>
        <xsd:restriction base="dms:Choice">
          <xsd:enumeration value="Administrative"/>
          <xsd:enumeration value="Briefs"/>
          <xsd:enumeration value="Discovery"/>
          <xsd:enumeration value="Motions"/>
          <xsd:enumeration value="Orders/Decisions"/>
          <xsd:enumeration value="Petition"/>
          <xsd:enumeration value="RRD"/>
          <xsd:enumeration value="Testimony"/>
          <xsd:enumeration value="Transcripts"/>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c2d6f36-efdd-473d-b6bf-79aeb9476004" elementFormDefault="qualified">
    <xsd:import namespace="http://schemas.microsoft.com/office/2006/documentManagement/types"/>
    <xsd:import namespace="http://schemas.microsoft.com/office/infopath/2007/PartnerControls"/>
    <xsd:element name="WorkflowStatus" ma:index="20" nillable="true" ma:displayName="WorkflowStatus" ma:internalName="WorkflowStatus">
      <xsd:simpleType>
        <xsd:restriction base="dms:Text"/>
      </xsd:simpleType>
    </xsd:element>
    <xsd:element name="SendDocumentforApproval" ma:index="24" nillable="true" ma:displayName="Send Document for Approval" ma:format="Hyperlink" ma:internalName="SendDocumentforApprova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D33C80-040D-4132-863C-7406B67D4AB1}"/>
</file>

<file path=customXml/itemProps2.xml><?xml version="1.0" encoding="utf-8"?>
<ds:datastoreItem xmlns:ds="http://schemas.openxmlformats.org/officeDocument/2006/customXml" ds:itemID="{DD37BE19-A8F0-4B13-8F60-8984911F0D9A}"/>
</file>

<file path=customXml/itemProps3.xml><?xml version="1.0" encoding="utf-8"?>
<ds:datastoreItem xmlns:ds="http://schemas.openxmlformats.org/officeDocument/2006/customXml" ds:itemID="{CAC02122-3FAB-41C7-AB70-A88CDE7EBEDB}"/>
</file>

<file path=customXml/itemProps4.xml><?xml version="1.0" encoding="utf-8"?>
<ds:datastoreItem xmlns:ds="http://schemas.openxmlformats.org/officeDocument/2006/customXml" ds:itemID="{72210D38-59A5-4C05-AC01-2B5C40C442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D Fogelsanger</dc:creator>
  <cp:keywords/>
  <dc:description/>
  <cp:lastModifiedBy>Anne E Trout</cp:lastModifiedBy>
  <cp:revision/>
  <dcterms:created xsi:type="dcterms:W3CDTF">2021-12-13T13:56:58Z</dcterms:created>
  <dcterms:modified xsi:type="dcterms:W3CDTF">2025-12-29T16:51:05Z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6c87f6-c46e-48eb-b7ce-d3a4a7d30611_Enabled">
    <vt:lpwstr>True</vt:lpwstr>
  </property>
  <property fmtid="{D5CDD505-2E9C-101B-9397-08002B2CF9AE}" pid="3" name="MSIP_Label_846c87f6-c46e-48eb-b7ce-d3a4a7d30611_SiteId">
    <vt:lpwstr>35378cf9-dac0-45f0-84c7-1bfb98207b59</vt:lpwstr>
  </property>
  <property fmtid="{D5CDD505-2E9C-101B-9397-08002B2CF9AE}" pid="4" name="MSIP_Label_846c87f6-c46e-48eb-b7ce-d3a4a7d30611_Owner">
    <vt:lpwstr>Scott.Fogelsanger@amwater.com</vt:lpwstr>
  </property>
  <property fmtid="{D5CDD505-2E9C-101B-9397-08002B2CF9AE}" pid="5" name="MSIP_Label_846c87f6-c46e-48eb-b7ce-d3a4a7d30611_SetDate">
    <vt:lpwstr>2021-12-13T20:56:55.8306614Z</vt:lpwstr>
  </property>
  <property fmtid="{D5CDD505-2E9C-101B-9397-08002B2CF9AE}" pid="6" name="MSIP_Label_846c87f6-c46e-48eb-b7ce-d3a4a7d30611_Name">
    <vt:lpwstr>General</vt:lpwstr>
  </property>
  <property fmtid="{D5CDD505-2E9C-101B-9397-08002B2CF9AE}" pid="7" name="MSIP_Label_846c87f6-c46e-48eb-b7ce-d3a4a7d30611_Application">
    <vt:lpwstr>Microsoft Azure Information Protection</vt:lpwstr>
  </property>
  <property fmtid="{D5CDD505-2E9C-101B-9397-08002B2CF9AE}" pid="8" name="MSIP_Label_846c87f6-c46e-48eb-b7ce-d3a4a7d30611_ActionId">
    <vt:lpwstr>04638ba7-3c45-4e4d-adf2-b05733b27f42</vt:lpwstr>
  </property>
  <property fmtid="{D5CDD505-2E9C-101B-9397-08002B2CF9AE}" pid="9" name="MSIP_Label_846c87f6-c46e-48eb-b7ce-d3a4a7d30611_Extended_MSFT_Method">
    <vt:lpwstr>Automatic</vt:lpwstr>
  </property>
  <property fmtid="{D5CDD505-2E9C-101B-9397-08002B2CF9AE}" pid="10" name="Sensitivity">
    <vt:lpwstr>General</vt:lpwstr>
  </property>
  <property fmtid="{D5CDD505-2E9C-101B-9397-08002B2CF9AE}" pid="11" name="ContentTypeId">
    <vt:lpwstr>0x0101004587CA4D846D404DBE92A0A8993CFECD</vt:lpwstr>
  </property>
  <property fmtid="{D5CDD505-2E9C-101B-9397-08002B2CF9AE}" pid="12" name="_dlc_DocIdItemGuid">
    <vt:lpwstr>7a492260-7423-4a1d-b9c0-a625750d49b4</vt:lpwstr>
  </property>
</Properties>
</file>