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7E6BA9C-BFEE-44E1-BC3A-D006A19D1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ge 1" sheetId="1" r:id="rId1"/>
    <sheet name="Page 2" sheetId="2" r:id="rId2"/>
    <sheet name="Page 3" sheetId="5" r:id="rId3"/>
    <sheet name="Page 4" sheetId="4" r:id="rId4"/>
    <sheet name="Page 5" sheetId="3" r:id="rId5"/>
    <sheet name="Page 6" sheetId="8" r:id="rId6"/>
    <sheet name="Page 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9" l="1"/>
  <c r="E7" i="9"/>
  <c r="C7" i="9"/>
  <c r="G7" i="9" s="1"/>
  <c r="D18" i="2"/>
  <c r="C18" i="2"/>
  <c r="B18" i="2"/>
  <c r="H9" i="2" l="1"/>
  <c r="K9" i="2" s="1"/>
  <c r="G9" i="2"/>
  <c r="I9" i="2" s="1"/>
  <c r="E9" i="2"/>
  <c r="J9" i="2" l="1"/>
  <c r="G17" i="1"/>
  <c r="H16" i="2" l="1"/>
  <c r="H15" i="2"/>
  <c r="G16" i="1"/>
  <c r="D14" i="8" l="1"/>
  <c r="E13" i="8"/>
  <c r="E12" i="8"/>
  <c r="E11" i="8"/>
  <c r="E10" i="8"/>
  <c r="E9" i="8"/>
  <c r="E8" i="8"/>
  <c r="E7" i="8"/>
  <c r="C13" i="8"/>
  <c r="C12" i="8"/>
  <c r="C11" i="8"/>
  <c r="C10" i="8"/>
  <c r="C9" i="8"/>
  <c r="C8" i="8"/>
  <c r="C7" i="8"/>
  <c r="E14" i="8" l="1"/>
  <c r="C14" i="8"/>
  <c r="J39" i="1"/>
  <c r="E16" i="2" l="1"/>
  <c r="I16" i="2"/>
  <c r="J16" i="2" s="1"/>
  <c r="K16" i="2"/>
  <c r="E15" i="2"/>
  <c r="E14" i="2"/>
  <c r="E13" i="2"/>
  <c r="E12" i="2"/>
  <c r="E11" i="2"/>
  <c r="E10" i="2"/>
  <c r="E18" i="2" s="1"/>
  <c r="E27" i="2" l="1"/>
  <c r="E26" i="2" l="1"/>
  <c r="E25" i="2"/>
  <c r="H13" i="8" l="1"/>
  <c r="M19" i="1" l="1"/>
  <c r="L19" i="1"/>
  <c r="I15" i="2" l="1"/>
  <c r="J15" i="2" s="1"/>
  <c r="K15" i="2"/>
  <c r="D17" i="9" l="1"/>
  <c r="B17" i="9"/>
  <c r="H12" i="8"/>
  <c r="C13" i="9" l="1"/>
  <c r="C12" i="9"/>
  <c r="C8" i="9"/>
  <c r="C11" i="9"/>
  <c r="C10" i="9"/>
  <c r="C9" i="9"/>
  <c r="E8" i="9"/>
  <c r="H8" i="9" s="1"/>
  <c r="H10" i="2" s="1"/>
  <c r="E13" i="9"/>
  <c r="E9" i="9"/>
  <c r="E12" i="9"/>
  <c r="H12" i="9" s="1"/>
  <c r="H14" i="2" s="1"/>
  <c r="E11" i="9"/>
  <c r="H11" i="9" s="1"/>
  <c r="H13" i="2" s="1"/>
  <c r="E10" i="9"/>
  <c r="H10" i="9" s="1"/>
  <c r="H12" i="2" s="1"/>
  <c r="B14" i="8"/>
  <c r="G11" i="9" l="1"/>
  <c r="G13" i="2" s="1"/>
  <c r="G9" i="9"/>
  <c r="G11" i="2" s="1"/>
  <c r="G10" i="9"/>
  <c r="G12" i="2" s="1"/>
  <c r="C15" i="9"/>
  <c r="G12" i="9"/>
  <c r="G14" i="2" s="1"/>
  <c r="H9" i="9"/>
  <c r="H11" i="2" s="1"/>
  <c r="C17" i="9"/>
  <c r="E17" i="9"/>
  <c r="G8" i="9"/>
  <c r="G10" i="2" s="1"/>
  <c r="E15" i="9"/>
  <c r="D15" i="9"/>
  <c r="B15" i="9"/>
  <c r="G11" i="8" l="1"/>
  <c r="G10" i="8"/>
  <c r="G9" i="8"/>
  <c r="G13" i="1" l="1"/>
  <c r="G14" i="1"/>
  <c r="G15" i="1"/>
  <c r="G7" i="8"/>
  <c r="G8" i="8"/>
  <c r="H10" i="8"/>
  <c r="K13" i="2" s="1"/>
  <c r="H9" i="8"/>
  <c r="K12" i="2" s="1"/>
  <c r="H11" i="8"/>
  <c r="K14" i="2" s="1"/>
  <c r="G37" i="1"/>
  <c r="E37" i="1"/>
  <c r="D37" i="1"/>
  <c r="C37" i="1"/>
  <c r="B37" i="1"/>
  <c r="H8" i="8" l="1"/>
  <c r="K11" i="2" s="1"/>
  <c r="G12" i="1"/>
  <c r="G11" i="1"/>
  <c r="H7" i="8"/>
  <c r="F11" i="1" l="1"/>
  <c r="K10" i="2"/>
  <c r="K18" i="2" s="1"/>
  <c r="H32" i="1"/>
  <c r="F14" i="1" l="1"/>
  <c r="F16" i="1" l="1"/>
  <c r="F13" i="1"/>
  <c r="F15" i="1"/>
  <c r="F12" i="1"/>
  <c r="E19" i="1" l="1"/>
  <c r="E42" i="1" s="1"/>
  <c r="C19" i="1" l="1"/>
  <c r="C42" i="1" s="1"/>
  <c r="D19" i="1"/>
  <c r="D42" i="1" s="1"/>
  <c r="B19" i="1"/>
  <c r="B42" i="1" s="1"/>
  <c r="C29" i="2" l="1"/>
  <c r="B29" i="2" l="1"/>
  <c r="D29" i="2"/>
  <c r="E29" i="2" l="1"/>
  <c r="I27" i="2" l="1"/>
  <c r="J27" i="2" s="1"/>
  <c r="I25" i="2"/>
  <c r="G26" i="2"/>
  <c r="I26" i="2" s="1"/>
  <c r="I23" i="2"/>
  <c r="J25" i="2" l="1"/>
  <c r="I29" i="2"/>
  <c r="J26" i="2"/>
  <c r="J29" i="2" l="1"/>
  <c r="I19" i="1" l="1"/>
  <c r="G42" i="1" s="1"/>
  <c r="F19" i="1" l="1"/>
  <c r="N19" i="1" s="1"/>
  <c r="B1" i="3" l="1"/>
  <c r="B1" i="4"/>
  <c r="B1" i="5"/>
  <c r="I22" i="3"/>
  <c r="I18" i="3"/>
  <c r="I15" i="3"/>
  <c r="A44" i="1"/>
  <c r="L25" i="3"/>
  <c r="B3" i="4"/>
  <c r="B3" i="3" s="1"/>
  <c r="E33" i="1"/>
  <c r="F33" i="1" s="1"/>
  <c r="G33" i="1" s="1"/>
  <c r="B33" i="1"/>
  <c r="C33" i="1" s="1"/>
  <c r="D33" i="1" s="1"/>
  <c r="H9" i="1"/>
  <c r="I9" i="1" s="1"/>
  <c r="A45" i="1"/>
  <c r="C9" i="1"/>
  <c r="D9" i="1" s="1"/>
  <c r="I28" i="3"/>
  <c r="G19" i="1" l="1"/>
  <c r="F28" i="3" l="1"/>
  <c r="D20" i="5" l="1"/>
  <c r="G22" i="3"/>
  <c r="G18" i="3" l="1"/>
  <c r="D17" i="5"/>
  <c r="I10" i="2" l="1"/>
  <c r="I13" i="2"/>
  <c r="I12" i="2"/>
  <c r="I14" i="2"/>
  <c r="C31" i="2"/>
  <c r="I11" i="2"/>
  <c r="I18" i="2" l="1"/>
  <c r="J13" i="2"/>
  <c r="J12" i="2"/>
  <c r="J10" i="2"/>
  <c r="J11" i="2"/>
  <c r="J14" i="2"/>
  <c r="J18" i="2" l="1"/>
  <c r="B31" i="2"/>
  <c r="G28" i="3" l="1"/>
  <c r="H28" i="3" s="1"/>
  <c r="K28" i="3" s="1"/>
  <c r="D23" i="5"/>
  <c r="D31" i="2" l="1"/>
  <c r="E31" i="2"/>
  <c r="G15" i="3" l="1"/>
  <c r="D14" i="5"/>
  <c r="F22" i="3" l="1"/>
  <c r="H22" i="3" s="1"/>
  <c r="K22" i="3" s="1"/>
  <c r="F37" i="1" l="1"/>
  <c r="H19" i="1"/>
  <c r="O19" i="1" l="1"/>
  <c r="F15" i="3" s="1"/>
  <c r="H15" i="3" s="1"/>
  <c r="F42" i="1"/>
  <c r="J37" i="1"/>
  <c r="F18" i="3" s="1"/>
  <c r="H18" i="3" s="1"/>
  <c r="K18" i="3" s="1"/>
  <c r="K25" i="3" s="1"/>
  <c r="K15" i="3" l="1"/>
  <c r="H30" i="3"/>
</calcChain>
</file>

<file path=xl/sharedStrings.xml><?xml version="1.0" encoding="utf-8"?>
<sst xmlns="http://schemas.openxmlformats.org/spreadsheetml/2006/main" count="242" uniqueCount="150">
  <si>
    <t xml:space="preserve">                      Kentucky DSM Rider</t>
  </si>
  <si>
    <t>Comparison of Revenue Requirement to Rider Recovery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</si>
  <si>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</si>
  <si>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</si>
  <si>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</si>
  <si>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</si>
  <si>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</si>
  <si>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</si>
  <si>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</si>
  <si>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</si>
  <si>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</si>
  <si>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</si>
  <si>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Projected Program Costs</t>
  </si>
  <si>
    <t>Program Expenditures</t>
  </si>
  <si>
    <t>(Over)/Under Collection</t>
  </si>
  <si>
    <t>Gas</t>
  </si>
  <si>
    <t>Electric</t>
  </si>
  <si>
    <t>NA</t>
  </si>
  <si>
    <t>Residential Programs</t>
  </si>
  <si>
    <t>Gas (D)</t>
  </si>
  <si>
    <t>Commercial Programs</t>
  </si>
  <si>
    <t>Rider</t>
  </si>
  <si>
    <t>Reconciliation (C)</t>
  </si>
  <si>
    <t>Collection (D)</t>
  </si>
  <si>
    <t>Lost</t>
  </si>
  <si>
    <t>Shared</t>
  </si>
  <si>
    <t>Costs</t>
  </si>
  <si>
    <t>Revenues</t>
  </si>
  <si>
    <t>Savings</t>
  </si>
  <si>
    <t>Total</t>
  </si>
  <si>
    <t>Total Costs, Net Lost Revenues, Shared Savings</t>
  </si>
  <si>
    <t>Program</t>
  </si>
  <si>
    <t>Costs (A)</t>
  </si>
  <si>
    <t>Electric Rider DSM</t>
  </si>
  <si>
    <t>Residential Rate RS</t>
  </si>
  <si>
    <t>DS, DP, DT, GS-FL, EH &amp; SP</t>
  </si>
  <si>
    <t>Gas Rider DSM</t>
  </si>
  <si>
    <t>Summary of Billing Determinants</t>
  </si>
  <si>
    <t xml:space="preserve">Year </t>
  </si>
  <si>
    <t>Rates DS, DP, DT,</t>
  </si>
  <si>
    <t>GS-FL, EH, &amp; SP</t>
  </si>
  <si>
    <t>Rate RS</t>
  </si>
  <si>
    <t>Summary of Calculations</t>
  </si>
  <si>
    <t>Expected</t>
  </si>
  <si>
    <t>Total DSM</t>
  </si>
  <si>
    <t>Estimated</t>
  </si>
  <si>
    <t>Rate Schedule</t>
  </si>
  <si>
    <t>True-Up</t>
  </si>
  <si>
    <t>Revenue</t>
  </si>
  <si>
    <t>Billing</t>
  </si>
  <si>
    <t>DSM Cost</t>
  </si>
  <si>
    <t>Requirements</t>
  </si>
  <si>
    <t>$/kWh</t>
  </si>
  <si>
    <t>Amount (A)</t>
  </si>
  <si>
    <t>Costs (B)</t>
  </si>
  <si>
    <t>Determinants (C)</t>
  </si>
  <si>
    <t>Electric Costs</t>
  </si>
  <si>
    <t>Gas Costs</t>
  </si>
  <si>
    <t>Projected Lost Revenues</t>
  </si>
  <si>
    <t>Projected Shared Savings</t>
  </si>
  <si>
    <t>Lost Revenues</t>
  </si>
  <si>
    <t>Shared Savings</t>
  </si>
  <si>
    <t>(11)</t>
  </si>
  <si>
    <t>(12)</t>
  </si>
  <si>
    <t>(13)</t>
  </si>
  <si>
    <t>(14)</t>
  </si>
  <si>
    <t>Collection (E)</t>
  </si>
  <si>
    <t>Demand Side Management Cost Recovery Rider (DSMR)</t>
  </si>
  <si>
    <t>Recovery Rider (DSMR)</t>
  </si>
  <si>
    <t>Budget (Costs, Lost Revenues, &amp; Shared Savings)</t>
  </si>
  <si>
    <t>Total Rider Recovery</t>
  </si>
  <si>
    <t>Riders</t>
  </si>
  <si>
    <t>Duke Energy Kentucky</t>
  </si>
  <si>
    <t>GS-FL, EH, SP, &amp; TT</t>
  </si>
  <si>
    <t>TT</t>
  </si>
  <si>
    <t>Distribution Level Rates Part A</t>
  </si>
  <si>
    <t>Distribution Level Rates Part B</t>
  </si>
  <si>
    <t>Transmission Level Rates &amp;</t>
  </si>
  <si>
    <t>Distribution Level Rates Total</t>
  </si>
  <si>
    <t>Total Program</t>
  </si>
  <si>
    <t>Projected Annual Electric Sales kWH</t>
  </si>
  <si>
    <t>Projected Annual Gas Sales CCF</t>
  </si>
  <si>
    <t>kWh</t>
  </si>
  <si>
    <t>CCF</t>
  </si>
  <si>
    <t>$/CCF</t>
  </si>
  <si>
    <t>Summary of Calculations for Programs</t>
  </si>
  <si>
    <t xml:space="preserve">                 Program Expenditures (C)</t>
  </si>
  <si>
    <t>Residential Smart $aver®</t>
  </si>
  <si>
    <t>Residential Energy Assessments</t>
  </si>
  <si>
    <t>(Over)/Under</t>
  </si>
  <si>
    <t>ccf</t>
  </si>
  <si>
    <t>Total Residential</t>
  </si>
  <si>
    <t>% of Total Res Sales</t>
  </si>
  <si>
    <t>Total Residential (Rate RS) Sales</t>
  </si>
  <si>
    <t>Elec % of Total % of Sales</t>
  </si>
  <si>
    <t>Gas % of Total % of Sales</t>
  </si>
  <si>
    <t>Allocation of Costs (B)</t>
  </si>
  <si>
    <t>Power Manager®</t>
  </si>
  <si>
    <t>PowerShare®</t>
  </si>
  <si>
    <t>Residential Program Summary (A)</t>
  </si>
  <si>
    <t>NonResidential Program Summary (A)</t>
  </si>
  <si>
    <t xml:space="preserve">Reconciliation  </t>
  </si>
  <si>
    <t>Projected</t>
  </si>
  <si>
    <t>(1)Load Impacts Net of Free Riders at Meter</t>
  </si>
  <si>
    <t>(B) Allocation of program expenditures to gas and electric in accordance with the Commission's Order in Case No. 2014-00388.</t>
  </si>
  <si>
    <t>(1) Load Impacts Net of Free Riders at Meter</t>
  </si>
  <si>
    <t xml:space="preserve">Allocation Factors Projected </t>
  </si>
  <si>
    <t>Revenues collected</t>
  </si>
  <si>
    <t>FORECAST</t>
  </si>
  <si>
    <t>Peak Time Rebate Pilot Program</t>
  </si>
  <si>
    <t>Smart $aver® Non-Residential</t>
  </si>
  <si>
    <t>Business Energy Saver (C)</t>
  </si>
  <si>
    <t>Income Qualified Neighborhood</t>
  </si>
  <si>
    <t>Income Qualified Services</t>
  </si>
  <si>
    <t>(C) Small Business Energy Saver and SmartPath are indiviual sets of measures that are part of a single and larger program referred to as Business Energy Saver beginning July 1, 2023.</t>
  </si>
  <si>
    <t>Total All Programs</t>
  </si>
  <si>
    <t>Electric (D)</t>
  </si>
  <si>
    <t xml:space="preserve">         Rider Collection (E)</t>
  </si>
  <si>
    <t>Gas (F)</t>
  </si>
  <si>
    <t>Electric (G)</t>
  </si>
  <si>
    <t>(E) Column (4) + Column (5) + Column (6) + Column (7) - Column(8)</t>
  </si>
  <si>
    <t>(F) Column (5) + Column (9) - Column(11)</t>
  </si>
  <si>
    <t>(G) Column (6) + Column (7) + Column (8) + Column (10) - Column(12)</t>
  </si>
  <si>
    <t>Kentucky DSM Rider</t>
  </si>
  <si>
    <t>Home Energy Report</t>
  </si>
  <si>
    <t>Business Energy Saver</t>
  </si>
  <si>
    <t>Summary of Load Impacts July 2026 Through June 2027 (1)</t>
  </si>
  <si>
    <t>Summary of Load Impacts July 2024 Through June 2025 (1)</t>
  </si>
  <si>
    <t>For July 2024 Through June 2025</t>
  </si>
  <si>
    <t>Allocation Factors based on July 2024-June 2025</t>
  </si>
  <si>
    <t>July 2024 to June 2025</t>
  </si>
  <si>
    <t>(A) See Appendix C, page 2 of 7</t>
  </si>
  <si>
    <t xml:space="preserve">2026-2027 Projected Program Costs, Lost Revenues, and Shared Savings </t>
  </si>
  <si>
    <t xml:space="preserve"> 2024-2025 Status Update </t>
  </si>
  <si>
    <t>(E) Revenues collected through the DSM Rider between July 1, 2024 and June 30, 2025</t>
  </si>
  <si>
    <t>7/2024 to 6/2025 (A)</t>
  </si>
  <si>
    <t>7/2024 to 6/2025 (B)</t>
  </si>
  <si>
    <t>July 2026 - June 2027</t>
  </si>
  <si>
    <t>July 2026 to June 2027</t>
  </si>
  <si>
    <t>(B) Actual program expenditures, lost revenues (for this period and from prior period DSM measure installations), and shared savings for the period July 1, 2024 through June 30, 2025</t>
  </si>
  <si>
    <t>(D) Revenues collected through the DSM Rider between July 1, 2024 and June 30, 2025</t>
  </si>
  <si>
    <t>(D) Recovery allowed in accordance with the Commission's Order in Case No. 2024-00352</t>
  </si>
  <si>
    <t>(C) Appendix C, page 4</t>
  </si>
  <si>
    <t>(B) Appendix C, page 2</t>
  </si>
  <si>
    <t>Energy Efficiency in Education Program</t>
  </si>
  <si>
    <t>(A) Amounts identified in report filed in Case No. 2024-00264</t>
  </si>
  <si>
    <t>(C) Recovery allowed in accordance with the Commission's Order in Case No. 2024-00352</t>
  </si>
  <si>
    <t>(A) Costs, Lost Revenues (for this period and from prior period DSM measure installations), and Shared Savings for the portfolio.</t>
  </si>
  <si>
    <t>(C) Allocation of program expenditures to gas and electric in accordance with the Commission's Order in Case No. 2014-00388</t>
  </si>
  <si>
    <t>(A) (Over)/Under of Appendix C page 1 multiplied by the average three-month commercial paper rate for 2025 to include interest on over or under-recovery in accordance with the Commission's order in Case No. 95-312. Value 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</si>
</sst>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&quot;$&quot;* #,##0.000000_);_(&quot;$&quot;* \(#,##0.000000\);_(&quot;$&quot;* &quot;-&quot;??_);_(@_)"/>
    <numFmt numFmtId="168" formatCode="0.000000"/>
    <numFmt numFmtId="169" formatCode="0.0000%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color theme="4"/>
      <name val="Arial"/>
      <family val="2"/>
    </font>
    <font>
      <sz val="11"/>
      <color theme="1"/>
      <name val="Cambria"/>
      <family val="2"/>
    </font>
    <font>
      <sz val="10"/>
      <color theme="1"/>
      <name val="Arial"/>
      <family val="2"/>
    </font>
    <font>
      <u/>
      <sz val="11"/>
      <color theme="10"/>
      <name val="Cambria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19" fillId="0" borderId="0" applyNumberForma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5" borderId="12" applyNumberFormat="0" applyAlignment="0" applyProtection="0"/>
    <xf numFmtId="0" fontId="31" fillId="6" borderId="13" applyNumberFormat="0" applyAlignment="0" applyProtection="0"/>
    <xf numFmtId="0" fontId="32" fillId="6" borderId="12" applyNumberFormat="0" applyAlignment="0" applyProtection="0"/>
    <xf numFmtId="0" fontId="33" fillId="0" borderId="14" applyNumberFormat="0" applyFill="0" applyAlignment="0" applyProtection="0"/>
    <xf numFmtId="0" fontId="34" fillId="7" borderId="15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3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3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3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3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3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8" fillId="0" borderId="0"/>
    <xf numFmtId="0" fontId="7" fillId="0" borderId="0"/>
    <xf numFmtId="0" fontId="8" fillId="0" borderId="0"/>
    <xf numFmtId="0" fontId="37" fillId="12" borderId="0" applyNumberFormat="0" applyBorder="0" applyAlignment="0" applyProtection="0"/>
    <xf numFmtId="0" fontId="8" fillId="0" borderId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0" borderId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16" applyNumberFormat="0" applyFont="0" applyAlignment="0" applyProtection="0"/>
    <xf numFmtId="0" fontId="7" fillId="0" borderId="0"/>
    <xf numFmtId="0" fontId="7" fillId="8" borderId="16" applyNumberFormat="0" applyFont="0" applyAlignment="0" applyProtection="0"/>
    <xf numFmtId="0" fontId="7" fillId="0" borderId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0" borderId="0"/>
    <xf numFmtId="0" fontId="7" fillId="0" borderId="0"/>
    <xf numFmtId="0" fontId="7" fillId="8" borderId="16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16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0" borderId="0"/>
    <xf numFmtId="0" fontId="7" fillId="8" borderId="16" applyNumberFormat="0" applyFont="0" applyAlignment="0" applyProtection="0"/>
    <xf numFmtId="0" fontId="7" fillId="8" borderId="16" applyNumberFormat="0" applyFont="0" applyAlignment="0" applyProtection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0" borderId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16" applyNumberFormat="0" applyFont="0" applyAlignment="0" applyProtection="0"/>
    <xf numFmtId="0" fontId="6" fillId="0" borderId="0"/>
    <xf numFmtId="0" fontId="6" fillId="8" borderId="16" applyNumberFormat="0" applyFont="0" applyAlignment="0" applyProtection="0"/>
    <xf numFmtId="0" fontId="6" fillId="0" borderId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0" borderId="0"/>
    <xf numFmtId="0" fontId="6" fillId="0" borderId="0"/>
    <xf numFmtId="0" fontId="6" fillId="8" borderId="1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16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0" borderId="0"/>
    <xf numFmtId="0" fontId="6" fillId="8" borderId="16" applyNumberFormat="0" applyFont="0" applyAlignment="0" applyProtection="0"/>
    <xf numFmtId="0" fontId="6" fillId="8" borderId="16" applyNumberFormat="0" applyFont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129">
    <xf numFmtId="0" fontId="0" fillId="0" borderId="0" xfId="0"/>
    <xf numFmtId="164" fontId="0" fillId="0" borderId="0" xfId="2" applyNumberFormat="1" applyFont="1" applyFill="1"/>
    <xf numFmtId="164" fontId="0" fillId="0" borderId="0" xfId="0" applyNumberFormat="1"/>
    <xf numFmtId="166" fontId="0" fillId="0" borderId="0" xfId="1" applyNumberFormat="1" applyFont="1" applyFill="1"/>
    <xf numFmtId="166" fontId="0" fillId="0" borderId="0" xfId="0" applyNumberFormat="1"/>
    <xf numFmtId="0" fontId="0" fillId="0" borderId="1" xfId="0" applyBorder="1"/>
    <xf numFmtId="164" fontId="0" fillId="0" borderId="0" xfId="2" applyNumberFormat="1" applyFont="1" applyFill="1" applyBorder="1"/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64" fontId="13" fillId="0" borderId="0" xfId="0" applyNumberFormat="1" applyFont="1"/>
    <xf numFmtId="0" fontId="13" fillId="0" borderId="0" xfId="0" quotePrefix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0" fillId="0" borderId="1" xfId="0" applyBorder="1" applyAlignment="1">
      <alignment horizontal="left"/>
    </xf>
    <xf numFmtId="164" fontId="0" fillId="0" borderId="0" xfId="2" applyNumberFormat="1" applyFont="1" applyFill="1" applyAlignment="1"/>
    <xf numFmtId="164" fontId="0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/>
    <xf numFmtId="167" fontId="0" fillId="0" borderId="0" xfId="2" applyNumberFormat="1" applyFont="1" applyFill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horizontal="right"/>
    </xf>
    <xf numFmtId="0" fontId="12" fillId="0" borderId="0" xfId="0" applyFont="1"/>
    <xf numFmtId="43" fontId="0" fillId="0" borderId="0" xfId="0" applyNumberFormat="1"/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right"/>
    </xf>
    <xf numFmtId="0" fontId="8" fillId="0" borderId="1" xfId="0" applyFont="1" applyBorder="1"/>
    <xf numFmtId="0" fontId="0" fillId="0" borderId="3" xfId="0" applyBorder="1"/>
    <xf numFmtId="164" fontId="0" fillId="0" borderId="3" xfId="0" applyNumberFormat="1" applyBorder="1"/>
    <xf numFmtId="164" fontId="0" fillId="0" borderId="3" xfId="2" applyNumberFormat="1" applyFont="1" applyFill="1" applyBorder="1"/>
    <xf numFmtId="164" fontId="16" fillId="0" borderId="0" xfId="2" applyNumberFormat="1" applyFont="1" applyFill="1" applyBorder="1"/>
    <xf numFmtId="0" fontId="8" fillId="0" borderId="3" xfId="0" applyFont="1" applyBorder="1"/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"/>
    </xf>
    <xf numFmtId="164" fontId="8" fillId="0" borderId="0" xfId="0" applyNumberFormat="1" applyFont="1"/>
    <xf numFmtId="164" fontId="11" fillId="0" borderId="0" xfId="5" applyNumberFormat="1" applyFont="1" applyFill="1"/>
    <xf numFmtId="0" fontId="8" fillId="0" borderId="0" xfId="9" applyAlignment="1">
      <alignment horizontal="center"/>
    </xf>
    <xf numFmtId="0" fontId="10" fillId="0" borderId="0" xfId="9" applyFont="1" applyAlignment="1">
      <alignment horizontal="center" wrapText="1"/>
    </xf>
    <xf numFmtId="0" fontId="8" fillId="0" borderId="0" xfId="12"/>
    <xf numFmtId="0" fontId="15" fillId="0" borderId="0" xfId="12" applyFont="1" applyAlignment="1">
      <alignment horizontal="right"/>
    </xf>
    <xf numFmtId="0" fontId="8" fillId="0" borderId="0" xfId="12" applyAlignment="1">
      <alignment horizontal="left"/>
    </xf>
    <xf numFmtId="0" fontId="8" fillId="0" borderId="0" xfId="12" applyAlignment="1">
      <alignment horizontal="center"/>
    </xf>
    <xf numFmtId="164" fontId="11" fillId="0" borderId="0" xfId="13" applyNumberFormat="1" applyFont="1" applyFill="1" applyAlignment="1">
      <alignment horizontal="center"/>
    </xf>
    <xf numFmtId="0" fontId="10" fillId="0" borderId="0" xfId="12" applyFont="1" applyAlignment="1">
      <alignment horizontal="center"/>
    </xf>
    <xf numFmtId="164" fontId="8" fillId="0" borderId="0" xfId="13" applyNumberFormat="1" applyFont="1" applyFill="1"/>
    <xf numFmtId="164" fontId="8" fillId="0" borderId="0" xfId="12" applyNumberFormat="1"/>
    <xf numFmtId="164" fontId="0" fillId="0" borderId="0" xfId="13" applyNumberFormat="1" applyFont="1" applyFill="1"/>
    <xf numFmtId="165" fontId="0" fillId="0" borderId="0" xfId="14" applyNumberFormat="1" applyFont="1" applyFill="1"/>
    <xf numFmtId="0" fontId="18" fillId="0" borderId="0" xfId="12" applyFont="1"/>
    <xf numFmtId="164" fontId="0" fillId="0" borderId="1" xfId="0" applyNumberFormat="1" applyBorder="1"/>
    <xf numFmtId="165" fontId="0" fillId="0" borderId="0" xfId="6" applyNumberFormat="1" applyFont="1" applyFill="1"/>
    <xf numFmtId="0" fontId="8" fillId="0" borderId="0" xfId="12" applyAlignment="1">
      <alignment horizontal="left" indent="6"/>
    </xf>
    <xf numFmtId="0" fontId="8" fillId="0" borderId="0" xfId="12" applyAlignment="1">
      <alignment horizontal="left" indent="7"/>
    </xf>
    <xf numFmtId="0" fontId="8" fillId="0" borderId="0" xfId="12" applyAlignment="1">
      <alignment horizontal="left" vertical="center" indent="1"/>
    </xf>
    <xf numFmtId="0" fontId="8" fillId="0" borderId="0" xfId="9"/>
    <xf numFmtId="0" fontId="18" fillId="0" borderId="0" xfId="9" applyFont="1"/>
    <xf numFmtId="169" fontId="8" fillId="0" borderId="4" xfId="6" applyNumberFormat="1" applyFont="1" applyBorder="1"/>
    <xf numFmtId="169" fontId="18" fillId="0" borderId="5" xfId="6" applyNumberFormat="1" applyFont="1" applyBorder="1"/>
    <xf numFmtId="9" fontId="18" fillId="0" borderId="0" xfId="6" applyFont="1" applyBorder="1"/>
    <xf numFmtId="0" fontId="0" fillId="0" borderId="0" xfId="0" applyAlignment="1">
      <alignment horizontal="left" indent="1"/>
    </xf>
    <xf numFmtId="164" fontId="14" fillId="0" borderId="3" xfId="2" applyNumberFormat="1" applyFont="1" applyFill="1" applyBorder="1" applyAlignment="1">
      <alignment horizontal="left"/>
    </xf>
    <xf numFmtId="164" fontId="14" fillId="0" borderId="0" xfId="2" applyNumberFormat="1" applyFont="1" applyFill="1" applyBorder="1" applyAlignment="1">
      <alignment horizontal="left"/>
    </xf>
    <xf numFmtId="0" fontId="18" fillId="0" borderId="0" xfId="9" applyFont="1" applyAlignment="1">
      <alignment horizontal="left" indent="16"/>
    </xf>
    <xf numFmtId="0" fontId="10" fillId="0" borderId="0" xfId="9" applyFont="1" applyAlignment="1">
      <alignment horizontal="center"/>
    </xf>
    <xf numFmtId="0" fontId="20" fillId="0" borderId="0" xfId="9" applyFont="1" applyAlignment="1">
      <alignment horizontal="center"/>
    </xf>
    <xf numFmtId="9" fontId="8" fillId="0" borderId="0" xfId="9" applyNumberFormat="1"/>
    <xf numFmtId="0" fontId="18" fillId="0" borderId="2" xfId="9" applyFont="1" applyBorder="1"/>
    <xf numFmtId="166" fontId="18" fillId="0" borderId="5" xfId="9" applyNumberFormat="1" applyFont="1" applyBorder="1"/>
    <xf numFmtId="166" fontId="18" fillId="0" borderId="0" xfId="9" applyNumberFormat="1" applyFont="1"/>
    <xf numFmtId="9" fontId="18" fillId="0" borderId="0" xfId="6" applyFont="1" applyFill="1" applyBorder="1"/>
    <xf numFmtId="0" fontId="8" fillId="0" borderId="0" xfId="0" applyFont="1" applyAlignment="1">
      <alignment horizontal="left" indent="4"/>
    </xf>
    <xf numFmtId="0" fontId="8" fillId="0" borderId="1" xfId="0" applyFont="1" applyBorder="1" applyAlignment="1">
      <alignment horizontal="center"/>
    </xf>
    <xf numFmtId="166" fontId="8" fillId="0" borderId="4" xfId="7" applyNumberFormat="1" applyFont="1" applyFill="1" applyBorder="1"/>
    <xf numFmtId="169" fontId="8" fillId="0" borderId="4" xfId="6" applyNumberFormat="1" applyFont="1" applyFill="1" applyBorder="1"/>
    <xf numFmtId="166" fontId="18" fillId="0" borderId="4" xfId="8" applyNumberFormat="1" applyFont="1" applyFill="1" applyBorder="1"/>
    <xf numFmtId="169" fontId="18" fillId="0" borderId="5" xfId="6" applyNumberFormat="1" applyFont="1" applyFill="1" applyBorder="1"/>
    <xf numFmtId="164" fontId="8" fillId="0" borderId="3" xfId="0" applyNumberFormat="1" applyFont="1" applyBorder="1"/>
    <xf numFmtId="164" fontId="8" fillId="0" borderId="0" xfId="2" applyNumberFormat="1" applyFont="1" applyFill="1" applyBorder="1" applyAlignment="1">
      <alignment horizontal="left"/>
    </xf>
    <xf numFmtId="0" fontId="8" fillId="0" borderId="0" xfId="10" applyFont="1"/>
    <xf numFmtId="0" fontId="18" fillId="0" borderId="0" xfId="10" applyFont="1" applyAlignment="1">
      <alignment horizontal="left"/>
    </xf>
    <xf numFmtId="166" fontId="8" fillId="0" borderId="4" xfId="7" applyNumberFormat="1" applyFont="1" applyBorder="1"/>
    <xf numFmtId="166" fontId="18" fillId="0" borderId="6" xfId="8" applyNumberFormat="1" applyFont="1" applyFill="1" applyBorder="1"/>
    <xf numFmtId="0" fontId="18" fillId="0" borderId="0" xfId="10" applyFont="1"/>
    <xf numFmtId="0" fontId="18" fillId="0" borderId="0" xfId="10" applyFont="1" applyAlignment="1">
      <alignment horizontal="left" indent="17"/>
    </xf>
    <xf numFmtId="43" fontId="0" fillId="0" borderId="0" xfId="1" applyFont="1" applyFill="1"/>
    <xf numFmtId="3" fontId="7" fillId="0" borderId="0" xfId="120" applyNumberFormat="1"/>
    <xf numFmtId="38" fontId="8" fillId="0" borderId="0" xfId="123" applyNumberFormat="1"/>
    <xf numFmtId="164" fontId="14" fillId="0" borderId="0" xfId="2" applyNumberFormat="1" applyFont="1" applyFill="1"/>
    <xf numFmtId="167" fontId="8" fillId="0" borderId="0" xfId="2" applyNumberFormat="1" applyFont="1" applyFill="1"/>
    <xf numFmtId="167" fontId="14" fillId="0" borderId="0" xfId="2" applyNumberFormat="1" applyFont="1" applyFill="1"/>
    <xf numFmtId="168" fontId="23" fillId="0" borderId="0" xfId="0" applyNumberFormat="1" applyFont="1" applyAlignment="1">
      <alignment horizontal="left"/>
    </xf>
    <xf numFmtId="0" fontId="24" fillId="0" borderId="0" xfId="10" applyFont="1"/>
    <xf numFmtId="0" fontId="8" fillId="0" borderId="0" xfId="10" applyFont="1" applyAlignment="1">
      <alignment horizontal="left" indent="5"/>
    </xf>
    <xf numFmtId="0" fontId="10" fillId="0" borderId="4" xfId="10" applyFont="1" applyBorder="1" applyAlignment="1">
      <alignment horizontal="center" wrapText="1"/>
    </xf>
    <xf numFmtId="0" fontId="10" fillId="0" borderId="7" xfId="10" applyFont="1" applyBorder="1" applyAlignment="1">
      <alignment horizontal="center" wrapText="1"/>
    </xf>
    <xf numFmtId="0" fontId="20" fillId="0" borderId="6" xfId="10" applyFont="1" applyBorder="1" applyAlignment="1">
      <alignment horizontal="center" wrapText="1"/>
    </xf>
    <xf numFmtId="9" fontId="10" fillId="0" borderId="0" xfId="9" applyNumberFormat="1" applyFont="1" applyAlignment="1">
      <alignment horizontal="center" wrapText="1"/>
    </xf>
    <xf numFmtId="165" fontId="8" fillId="0" borderId="0" xfId="9" applyNumberFormat="1"/>
    <xf numFmtId="9" fontId="8" fillId="0" borderId="0" xfId="6" applyFont="1" applyFill="1"/>
    <xf numFmtId="166" fontId="18" fillId="0" borderId="5" xfId="10" applyNumberFormat="1" applyFont="1" applyBorder="1"/>
    <xf numFmtId="166" fontId="18" fillId="0" borderId="8" xfId="10" applyNumberFormat="1" applyFont="1" applyBorder="1"/>
    <xf numFmtId="166" fontId="18" fillId="0" borderId="0" xfId="10" applyNumberFormat="1" applyFont="1"/>
    <xf numFmtId="0" fontId="21" fillId="0" borderId="0" xfId="0" applyFont="1"/>
    <xf numFmtId="0" fontId="8" fillId="0" borderId="2" xfId="0" applyFont="1" applyBorder="1" applyAlignment="1">
      <alignment horizontal="center"/>
    </xf>
    <xf numFmtId="0" fontId="4" fillId="0" borderId="0" xfId="198"/>
    <xf numFmtId="166" fontId="4" fillId="0" borderId="0" xfId="198" applyNumberFormat="1"/>
    <xf numFmtId="10" fontId="8" fillId="0" borderId="0" xfId="9" applyNumberFormat="1"/>
    <xf numFmtId="0" fontId="1" fillId="0" borderId="0" xfId="125" applyFont="1"/>
    <xf numFmtId="0" fontId="40" fillId="0" borderId="0" xfId="0" applyFont="1"/>
    <xf numFmtId="0" fontId="41" fillId="0" borderId="0" xfId="0" applyFont="1"/>
    <xf numFmtId="6" fontId="0" fillId="0" borderId="0" xfId="0" applyNumberFormat="1"/>
    <xf numFmtId="6" fontId="6" fillId="0" borderId="0" xfId="195" applyNumberFormat="1"/>
    <xf numFmtId="164" fontId="3" fillId="0" borderId="3" xfId="206" applyNumberFormat="1" applyBorder="1"/>
    <xf numFmtId="164" fontId="3" fillId="0" borderId="3" xfId="203" applyNumberFormat="1" applyBorder="1"/>
    <xf numFmtId="0" fontId="42" fillId="0" borderId="0" xfId="9" applyFont="1"/>
    <xf numFmtId="0" fontId="43" fillId="0" borderId="0" xfId="0" applyFont="1" applyAlignment="1">
      <alignment horizontal="right"/>
    </xf>
    <xf numFmtId="0" fontId="22" fillId="0" borderId="0" xfId="10" applyFont="1" applyAlignment="1">
      <alignment wrapText="1"/>
    </xf>
    <xf numFmtId="169" fontId="8" fillId="0" borderId="7" xfId="6" applyNumberFormat="1" applyFont="1" applyFill="1" applyBorder="1"/>
    <xf numFmtId="0" fontId="8" fillId="0" borderId="4" xfId="10" applyFont="1" applyBorder="1" applyAlignment="1">
      <alignment horizontal="left" indent="5"/>
    </xf>
    <xf numFmtId="0" fontId="18" fillId="0" borderId="3" xfId="10" applyFont="1" applyBorder="1"/>
    <xf numFmtId="0" fontId="18" fillId="0" borderId="18" xfId="10" applyFont="1" applyBorder="1"/>
    <xf numFmtId="0" fontId="18" fillId="0" borderId="19" xfId="10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2" applyAlignment="1">
      <alignment horizontal="center" wrapText="1"/>
    </xf>
    <xf numFmtId="0" fontId="8" fillId="0" borderId="0" xfId="9" applyAlignment="1">
      <alignment horizontal="center" vertical="center" wrapText="1"/>
    </xf>
    <xf numFmtId="0" fontId="8" fillId="0" borderId="0" xfId="9" applyAlignment="1">
      <alignment horizontal="center" wrapText="1"/>
    </xf>
  </cellXfs>
  <cellStyles count="209">
    <cellStyle name="20% - Accent1" xfId="30" builtinId="30" customBuiltin="1"/>
    <cellStyle name="20% - Accent1 2" xfId="135" xr:uid="{339E3D81-0A4E-42F4-B7C6-D70B3F9075AC}"/>
    <cellStyle name="20% - Accent2" xfId="33" builtinId="34" customBuiltin="1"/>
    <cellStyle name="20% - Accent2 2" xfId="137" xr:uid="{01680BE7-4940-42D4-9574-85B5914B1E6A}"/>
    <cellStyle name="20% - Accent3" xfId="36" builtinId="38" customBuiltin="1"/>
    <cellStyle name="20% - Accent3 2" xfId="139" xr:uid="{E42FFE1A-FCA7-4366-8F1E-90A3F2B27B34}"/>
    <cellStyle name="20% - Accent4" xfId="39" builtinId="42" customBuiltin="1"/>
    <cellStyle name="20% - Accent4 2" xfId="141" xr:uid="{F82CE24B-0A22-48F1-9219-AAB1EDC87858}"/>
    <cellStyle name="20% - Accent5" xfId="42" builtinId="46" customBuiltin="1"/>
    <cellStyle name="20% - Accent5 2" xfId="143" xr:uid="{768018B4-8DBD-4574-9505-41DA79C431E2}"/>
    <cellStyle name="20% - Accent6" xfId="45" builtinId="50" customBuiltin="1"/>
    <cellStyle name="20% - Accent6 2" xfId="145" xr:uid="{5A86642F-A23D-48F0-BFA0-3D323D25B76C}"/>
    <cellStyle name="40% - Accent1" xfId="31" builtinId="31" customBuiltin="1"/>
    <cellStyle name="40% - Accent1 2" xfId="136" xr:uid="{9C51A41A-C80F-487D-A664-CFAA0080E946}"/>
    <cellStyle name="40% - Accent2" xfId="34" builtinId="35" customBuiltin="1"/>
    <cellStyle name="40% - Accent2 2" xfId="138" xr:uid="{9A4BC75E-D503-45EA-9F14-59621D852E9B}"/>
    <cellStyle name="40% - Accent3" xfId="37" builtinId="39" customBuiltin="1"/>
    <cellStyle name="40% - Accent3 2" xfId="140" xr:uid="{C1C3ACB1-B783-420C-BDE4-2B74978581CA}"/>
    <cellStyle name="40% - Accent4" xfId="40" builtinId="43" customBuiltin="1"/>
    <cellStyle name="40% - Accent4 2" xfId="142" xr:uid="{85BE1762-A0D0-42AD-B86A-9D75EC5253A1}"/>
    <cellStyle name="40% - Accent5" xfId="43" builtinId="47" customBuiltin="1"/>
    <cellStyle name="40% - Accent5 2" xfId="144" xr:uid="{3371FEE6-6A65-43B4-8B0B-B2521021D128}"/>
    <cellStyle name="40% - Accent6" xfId="46" builtinId="51" customBuiltin="1"/>
    <cellStyle name="40% - Accent6 2" xfId="146" xr:uid="{4F175001-7BF3-43D5-8F52-6C7C2B909C9B}"/>
    <cellStyle name="60% - Accent1 2" xfId="65" xr:uid="{F4D3A974-D159-40DB-B392-17C474986F90}"/>
    <cellStyle name="60% - Accent2 2" xfId="67" xr:uid="{BCB8FC78-1F7C-469E-A971-A4EF5F9E1532}"/>
    <cellStyle name="60% - Accent3 2" xfId="68" xr:uid="{F44A65F8-C197-4646-94B8-CA790512F5B1}"/>
    <cellStyle name="60% - Accent4 2" xfId="69" xr:uid="{B3D7E9D7-C1B1-42A1-8FF6-35290E457F3E}"/>
    <cellStyle name="60% - Accent5 2" xfId="70" xr:uid="{80922E3B-AF02-464A-ACD5-0DD677689502}"/>
    <cellStyle name="60% - Accent6 2" xfId="71" xr:uid="{941CDB9B-83BF-4F51-9CFA-61FC330CB351}"/>
    <cellStyle name="Accent1" xfId="29" builtinId="29" customBuiltin="1"/>
    <cellStyle name="Accent2" xfId="32" builtinId="33" customBuiltin="1"/>
    <cellStyle name="Accent3" xfId="35" builtinId="37" customBuiltin="1"/>
    <cellStyle name="Accent4" xfId="38" builtinId="41" customBuiltin="1"/>
    <cellStyle name="Accent5" xfId="41" builtinId="45" customBuiltin="1"/>
    <cellStyle name="Accent6" xfId="44" builtinId="49" customBuiltin="1"/>
    <cellStyle name="Bad" xfId="20" builtinId="27" customBuiltin="1"/>
    <cellStyle name="Calculation" xfId="23" builtinId="22" customBuiltin="1"/>
    <cellStyle name="Check Cell" xfId="25" builtinId="23" customBuiltin="1"/>
    <cellStyle name="Comma" xfId="1" builtinId="3"/>
    <cellStyle name="Comma 10" xfId="8" xr:uid="{00000000-0005-0000-0000-000001000000}"/>
    <cellStyle name="Comma 2" xfId="3" xr:uid="{00000000-0005-0000-0000-000002000000}"/>
    <cellStyle name="Comma 2 2" xfId="49" xr:uid="{8A1989DF-E688-4D24-828E-A4D2C397ACCF}"/>
    <cellStyle name="Comma 2 6" xfId="7" xr:uid="{00000000-0005-0000-0000-000003000000}"/>
    <cellStyle name="Comma 3" xfId="48" xr:uid="{BC07D5DC-1A3B-456E-9098-019232207FD9}"/>
    <cellStyle name="Comma 4" xfId="197" xr:uid="{05C3658D-F4A3-4B3B-8485-529257A162EC}"/>
    <cellStyle name="Comma 5" xfId="199" xr:uid="{B032F561-9C06-4210-AFC5-6FAF00476E2E}"/>
    <cellStyle name="Comma 6" xfId="201" xr:uid="{E9244F25-EA9D-4F1B-A99B-0507628C735E}"/>
    <cellStyle name="Comma 7" xfId="208" xr:uid="{DDBD775D-4D34-4A6C-95A2-37E0076A2F8F}"/>
    <cellStyle name="Currency" xfId="2" builtinId="4"/>
    <cellStyle name="Currency 10 5" xfId="13" xr:uid="{00000000-0005-0000-0000-000005000000}"/>
    <cellStyle name="Currency 2" xfId="5" xr:uid="{00000000-0005-0000-0000-000006000000}"/>
    <cellStyle name="Currency 3" xfId="202" xr:uid="{24336571-333A-42B7-909D-0842BD3BCD08}"/>
    <cellStyle name="Explanatory Text" xfId="27" builtinId="53" customBuiltin="1"/>
    <cellStyle name="Good" xfId="19" builtinId="26" customBuiltin="1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Hyperlink 8" xfId="11" xr:uid="{00000000-0005-0000-0000-000007000000}"/>
    <cellStyle name="Input" xfId="21" builtinId="20" customBuiltin="1"/>
    <cellStyle name="Linked Cell" xfId="24" builtinId="24" customBuiltin="1"/>
    <cellStyle name="Neutral 2" xfId="61" xr:uid="{F7E685C8-9932-4157-8DEE-1A9B6E8B722C}"/>
    <cellStyle name="Normal" xfId="0" builtinId="0"/>
    <cellStyle name="Normal - Style2 2" xfId="12" xr:uid="{00000000-0005-0000-0000-000009000000}"/>
    <cellStyle name="Normal 10" xfId="91" xr:uid="{F43740F4-F176-497F-8B41-CEBE0F56BC50}"/>
    <cellStyle name="Normal 10 2" xfId="166" xr:uid="{6FF6F928-0757-4739-994E-9F15194214B1}"/>
    <cellStyle name="Normal 11" xfId="107" xr:uid="{6F4DC171-4531-4860-AE25-F6C1ED9D5361}"/>
    <cellStyle name="Normal 11 2" xfId="182" xr:uid="{5FAB2F0C-7CAF-4151-9EAA-143134B8998F}"/>
    <cellStyle name="Normal 12" xfId="93" xr:uid="{47A0594C-3C5E-4E01-8D01-4B45442DCE68}"/>
    <cellStyle name="Normal 12 2" xfId="168" xr:uid="{FF80056E-3E77-4DA0-9554-007892060517}"/>
    <cellStyle name="Normal 13" xfId="103" xr:uid="{AF434D0C-3987-4A42-B7CB-9A3F4C4CFBF8}"/>
    <cellStyle name="Normal 13 2" xfId="178" xr:uid="{79BD18B8-E8CE-44FC-B6BD-5E1712811ABD}"/>
    <cellStyle name="Normal 14" xfId="92" xr:uid="{83EB8909-22E6-438E-BD0F-16F35C0A5A61}"/>
    <cellStyle name="Normal 14 2" xfId="167" xr:uid="{644047D0-A3FB-4579-B89F-54ED8E82F00D}"/>
    <cellStyle name="Normal 15" xfId="108" xr:uid="{3DA0E906-2C89-4158-83E6-83A6742C0675}"/>
    <cellStyle name="Normal 15 2" xfId="183" xr:uid="{439952EA-9A22-40FF-A3FF-8A6EB6B279CC}"/>
    <cellStyle name="Normal 16" xfId="95" xr:uid="{54007130-2D6C-416C-A8FF-3CBAE633FC29}"/>
    <cellStyle name="Normal 16 2" xfId="170" xr:uid="{CC4BAEC2-4F06-4858-9809-FCBAAF6053E8}"/>
    <cellStyle name="Normal 17" xfId="99" xr:uid="{893C544D-CD11-4AE6-8AEF-6B631981B3C4}"/>
    <cellStyle name="Normal 17 2" xfId="174" xr:uid="{C3F02FA6-8B6B-4D73-9D0D-B78F253B3354}"/>
    <cellStyle name="Normal 18" xfId="106" xr:uid="{15DFAFCB-82CE-47C7-8EC0-1ADCDEEACB25}"/>
    <cellStyle name="Normal 18 2" xfId="181" xr:uid="{FF7293B2-88D2-4C15-A4D9-FACC690760E9}"/>
    <cellStyle name="Normal 19" xfId="111" xr:uid="{AD312150-997D-4CAF-87BC-6BE9D6D6F29C}"/>
    <cellStyle name="Normal 19 2" xfId="186" xr:uid="{B1405C73-7F0D-4A3B-A2E3-70A5E135665E}"/>
    <cellStyle name="Normal 2" xfId="4" xr:uid="{00000000-0005-0000-0000-00000A000000}"/>
    <cellStyle name="Normal 2 2" xfId="72" xr:uid="{199E0028-B170-4ABF-A25C-4231E7256D2E}"/>
    <cellStyle name="Normal 2 2 2" xfId="9" xr:uid="{00000000-0005-0000-0000-00000B000000}"/>
    <cellStyle name="Normal 2 2 3" xfId="147" xr:uid="{88D9C389-EC24-425D-9D1C-536777D51312}"/>
    <cellStyle name="Normal 2 26" xfId="10" xr:uid="{00000000-0005-0000-0000-00000C000000}"/>
    <cellStyle name="Normal 20" xfId="113" xr:uid="{378CC7B7-93C2-42EC-B959-9C73C66E4590}"/>
    <cellStyle name="Normal 20 2" xfId="188" xr:uid="{63BB6FA8-66C6-4302-8677-E90069D21411}"/>
    <cellStyle name="Normal 21" xfId="104" xr:uid="{BAD2A100-4404-4D96-83A2-F829B98CF07B}"/>
    <cellStyle name="Normal 21 2" xfId="179" xr:uid="{B0548B0C-8FD3-41E9-9A65-7C26621647A0}"/>
    <cellStyle name="Normal 22" xfId="94" xr:uid="{D5A61080-7503-41FE-9733-3804977465AE}"/>
    <cellStyle name="Normal 22 2" xfId="169" xr:uid="{D2BFCBA1-A509-4740-A3E1-89DD8226606E}"/>
    <cellStyle name="Normal 23" xfId="112" xr:uid="{CE7669C6-FCDC-4044-888A-AA90C295D65B}"/>
    <cellStyle name="Normal 23 2" xfId="187" xr:uid="{4AD69EB8-28EE-4DEF-BC21-3CDD0852CD2B}"/>
    <cellStyle name="Normal 24" xfId="117" xr:uid="{EE27E156-0B7D-4692-B761-C375A4B61E8F}"/>
    <cellStyle name="Normal 24 2" xfId="192" xr:uid="{9A3A7173-DBE9-4EF3-AA6A-41A8E26BC706}"/>
    <cellStyle name="Normal 25" xfId="109" xr:uid="{F4910BC9-C8E9-453D-BC56-C10A9FA09F6B}"/>
    <cellStyle name="Normal 25 2" xfId="184" xr:uid="{E00040C4-1032-4BE4-9C5B-1A3629BD55B6}"/>
    <cellStyle name="Normal 26" xfId="120" xr:uid="{72066E84-0CC7-4D68-A68A-9CD47B78CB53}"/>
    <cellStyle name="Normal 26 2" xfId="195" xr:uid="{7F496198-F3EF-47DA-B3CA-2325489EB376}"/>
    <cellStyle name="Normal 27" xfId="47" xr:uid="{1B9D1FA5-9550-4F16-8B15-46393388FD58}"/>
    <cellStyle name="Normal 28" xfId="62" xr:uid="{05F0BC73-8CE6-4FC0-BD52-A3F4239CC661}"/>
    <cellStyle name="Normal 29" xfId="64" xr:uid="{4004BF7F-2AAE-453D-BADF-92B94C16D7D6}"/>
    <cellStyle name="Normal 3" xfId="50" xr:uid="{71759956-39B1-48DC-ABBE-FEED683D7039}"/>
    <cellStyle name="Normal 3 2" xfId="55" xr:uid="{DAE35427-B758-4788-B426-8D100C571966}"/>
    <cellStyle name="Normal 3 2 2" xfId="131" xr:uid="{0CF49F0C-7D0C-47FA-8AE1-E84B6BC896C6}"/>
    <cellStyle name="Normal 3 3" xfId="53" xr:uid="{AFC345D6-11FF-4BFE-8B3A-33F6F53255F3}"/>
    <cellStyle name="Normal 3 3 2" xfId="129" xr:uid="{012FAB16-F152-4B3E-B809-EFF811DB4648}"/>
    <cellStyle name="Normal 3 4" xfId="52" xr:uid="{BBE80373-A96E-4162-B566-8EBA64E0118F}"/>
    <cellStyle name="Normal 3 4 2" xfId="128" xr:uid="{D96D1FE5-8F0E-46A0-961D-E1CFC9CB59C7}"/>
    <cellStyle name="Normal 3 5" xfId="58" xr:uid="{86B64953-B750-4721-8769-1E81D65E24A8}"/>
    <cellStyle name="Normal 3 5 2" xfId="134" xr:uid="{1C12B6F2-4986-4DC6-A817-7220C3BFBBAC}"/>
    <cellStyle name="Normal 3 6" xfId="73" xr:uid="{68E79808-9931-46E4-81E3-C855E8F68FF1}"/>
    <cellStyle name="Normal 3 6 2" xfId="148" xr:uid="{07095C3D-C415-4FB0-9CEB-ED115F0261FC}"/>
    <cellStyle name="Normal 3 7" xfId="126" xr:uid="{E36306AB-8797-4F3E-955A-D4E90D36719A}"/>
    <cellStyle name="Normal 30" xfId="123" xr:uid="{45D06E1B-9639-4ABC-A386-5478FAAB43DC}"/>
    <cellStyle name="Normal 31" xfId="124" xr:uid="{14245EDC-8CB7-4311-9642-25D9925259A6}"/>
    <cellStyle name="Normal 32" xfId="66" xr:uid="{E38EFB43-0F2D-4EB1-A39E-6A11B76ECA41}"/>
    <cellStyle name="Normal 33" xfId="122" xr:uid="{4F824E97-EA77-4DBA-893D-4E1774EDF45F}"/>
    <cellStyle name="Normal 34" xfId="121" xr:uid="{0D117834-77C8-45BA-B0E5-29D28A488838}"/>
    <cellStyle name="Normal 35" xfId="125" xr:uid="{9C2703FC-AEC8-4045-A04C-BFD8B4053F49}"/>
    <cellStyle name="Normal 36" xfId="63" xr:uid="{C598EB5E-43C4-49F8-A667-90758DA797C2}"/>
    <cellStyle name="Normal 37" xfId="196" xr:uid="{8CBF2543-1880-42AE-95F8-84061FB36698}"/>
    <cellStyle name="Normal 38" xfId="198" xr:uid="{5234F88E-0E27-4587-9D36-2DE421489891}"/>
    <cellStyle name="Normal 39" xfId="200" xr:uid="{0B69C087-965A-471C-9E9D-E1C4F48930E8}"/>
    <cellStyle name="Normal 4" xfId="51" xr:uid="{B0D234C1-B299-427A-AF1F-BC2FC1E9F68A}"/>
    <cellStyle name="Normal 4 2" xfId="56" xr:uid="{309B7346-A3C3-40FF-9B5E-0F9BAD6E16E0}"/>
    <cellStyle name="Normal 4 2 2" xfId="132" xr:uid="{79752BB7-ED61-46A8-BB93-BBE180853837}"/>
    <cellStyle name="Normal 4 3" xfId="57" xr:uid="{608E672A-5306-427A-9245-6439ECE1BCEA}"/>
    <cellStyle name="Normal 4 3 2" xfId="133" xr:uid="{09957817-DDD3-4298-A6AA-FCAC9F53EFA7}"/>
    <cellStyle name="Normal 4 4" xfId="54" xr:uid="{BF2ED826-622E-4DFB-AD47-2B4939B1E90E}"/>
    <cellStyle name="Normal 4 4 2" xfId="130" xr:uid="{018B54F7-4A78-40FE-A9DF-62A49D3A87C7}"/>
    <cellStyle name="Normal 4 5" xfId="74" xr:uid="{CD86E854-89A5-46C7-9F16-CB0AC4BF5170}"/>
    <cellStyle name="Normal 4 5 2" xfId="149" xr:uid="{F343C196-D384-4C9C-813E-1F45D8381B89}"/>
    <cellStyle name="Normal 4 6" xfId="127" xr:uid="{5B6A015E-8E71-46D0-B436-8A45FD72177F}"/>
    <cellStyle name="Normal 40" xfId="203" xr:uid="{A8CE2D80-1B36-435E-B94E-B857FEE89694}"/>
    <cellStyle name="Normal 41" xfId="204" xr:uid="{0466B1F2-86EC-4B46-85F6-F3139D52F975}"/>
    <cellStyle name="Normal 42" xfId="206" xr:uid="{75D4DE8B-A021-4B2C-B155-A274675105FC}"/>
    <cellStyle name="Normal 43" xfId="207" xr:uid="{86257866-6845-4E96-ACD9-836F238EFA8E}"/>
    <cellStyle name="Normal 5" xfId="59" xr:uid="{36AE092E-DA73-4788-9081-6C0ADD5F3EA2}"/>
    <cellStyle name="Normal 5 2" xfId="75" xr:uid="{437C0C0F-20DD-44C0-B2D6-21BF90E8D0C5}"/>
    <cellStyle name="Normal 5 2 2" xfId="150" xr:uid="{5ADBF93C-5D62-4CF2-AA0E-6E57C126B509}"/>
    <cellStyle name="Normal 6" xfId="76" xr:uid="{2DD5363F-615A-4EF7-B7F7-20C0E0F495A1}"/>
    <cellStyle name="Normal 6 2" xfId="151" xr:uid="{73674153-3EFE-468C-9C48-D384B42D04E7}"/>
    <cellStyle name="Normal 7" xfId="77" xr:uid="{BF433D81-EBA1-49D1-ABE8-7ED28BB57501}"/>
    <cellStyle name="Normal 7 2" xfId="152" xr:uid="{56E92A6F-DEDA-4896-B497-8BD8476934C9}"/>
    <cellStyle name="Normal 8" xfId="84" xr:uid="{74B61A94-B172-404D-93EC-5BC4242C0437}"/>
    <cellStyle name="Normal 8 2" xfId="159" xr:uid="{8EBDA6A9-9831-42FE-8949-BE5BC7404EF4}"/>
    <cellStyle name="Normal 9" xfId="97" xr:uid="{A23CF5A9-4E1C-47F3-94B3-BEECDFFE492F}"/>
    <cellStyle name="Normal 9 2" xfId="172" xr:uid="{44CFD8A4-F826-422C-9626-D4CD6B4B76E2}"/>
    <cellStyle name="Note 10" xfId="88" xr:uid="{09802744-EC43-40FE-BFAA-95C37FFA2DAD}"/>
    <cellStyle name="Note 10 2" xfId="163" xr:uid="{A193C11C-9392-4B5D-8C5F-C10CEEB0ADAD}"/>
    <cellStyle name="Note 11" xfId="105" xr:uid="{FC872238-011A-4AA3-BEAE-5FE23C11D950}"/>
    <cellStyle name="Note 11 2" xfId="180" xr:uid="{C25A5401-0B90-4BD3-AB39-87DADE6D4947}"/>
    <cellStyle name="Note 12" xfId="87" xr:uid="{63AC62E9-0381-4BF6-A1AA-AB541C60E198}"/>
    <cellStyle name="Note 12 2" xfId="162" xr:uid="{2207723F-068D-4C01-AAD8-5EB40BAE3E3E}"/>
    <cellStyle name="Note 13" xfId="98" xr:uid="{B993EB5C-F47E-4280-9EB8-8175D8C88A4D}"/>
    <cellStyle name="Note 13 2" xfId="173" xr:uid="{B3C2E431-E785-49CB-B4A4-3F6F21FAEE9E}"/>
    <cellStyle name="Note 14" xfId="90" xr:uid="{CB515078-5751-41BB-B683-CCCAB99F0D1F}"/>
    <cellStyle name="Note 14 2" xfId="165" xr:uid="{A46B9148-6D7C-42D8-9CAB-889E130D7216}"/>
    <cellStyle name="Note 15" xfId="100" xr:uid="{CCC644B8-834F-45A6-B89B-92F8B8CD0F58}"/>
    <cellStyle name="Note 15 2" xfId="175" xr:uid="{EDD5ADE3-CDED-448F-8C34-E1B4641B5325}"/>
    <cellStyle name="Note 16" xfId="86" xr:uid="{5847BD69-8ED7-483E-84BE-F8AE8923C459}"/>
    <cellStyle name="Note 16 2" xfId="161" xr:uid="{A61D9664-CF21-4FB2-B980-1F54F8A6CC8E}"/>
    <cellStyle name="Note 17" xfId="114" xr:uid="{5F22EDE3-5A3E-4290-8A79-4D0B7B685B16}"/>
    <cellStyle name="Note 17 2" xfId="189" xr:uid="{CC4DDAA4-5361-45FA-BE1E-713BADAF59AA}"/>
    <cellStyle name="Note 18" xfId="85" xr:uid="{3F6C7FB8-7BF6-4BD9-A0E9-3EB4A996EF00}"/>
    <cellStyle name="Note 18 2" xfId="160" xr:uid="{163619B2-EC21-4739-9E0F-F379635EDCAC}"/>
    <cellStyle name="Note 19" xfId="116" xr:uid="{894C9CF4-E6E0-45F6-9952-8F96A43E6403}"/>
    <cellStyle name="Note 19 2" xfId="191" xr:uid="{4E83F345-22EA-4D8F-A103-7C5C2003F45E}"/>
    <cellStyle name="Note 2" xfId="78" xr:uid="{080794D8-71C6-4088-90E9-5FB0025C6769}"/>
    <cellStyle name="Note 2 2" xfId="153" xr:uid="{06445FA5-0242-4E70-A251-398FC2A93F0F}"/>
    <cellStyle name="Note 20" xfId="102" xr:uid="{AE238083-968E-45A6-9066-22644CA9755E}"/>
    <cellStyle name="Note 20 2" xfId="177" xr:uid="{48753ECC-1456-45E0-ACA6-1BB01DEDAB91}"/>
    <cellStyle name="Note 21" xfId="115" xr:uid="{A9B44E73-FE85-45F2-BDCD-684DCA8E420F}"/>
    <cellStyle name="Note 21 2" xfId="190" xr:uid="{63A1D722-414A-44A4-870F-B34F9D11A007}"/>
    <cellStyle name="Note 22" xfId="89" xr:uid="{60A55D2F-63C4-4210-A28F-1BC26D9D9B5F}"/>
    <cellStyle name="Note 22 2" xfId="164" xr:uid="{19D19114-EA8C-4640-908A-70042AA6FA7C}"/>
    <cellStyle name="Note 23" xfId="119" xr:uid="{BE26D4D6-7438-4279-87E6-92E4FC4FCA0A}"/>
    <cellStyle name="Note 23 2" xfId="194" xr:uid="{683A1E4A-3676-4049-B3EC-400A6705225E}"/>
    <cellStyle name="Note 24" xfId="101" xr:uid="{425FDE2B-5598-417F-AFD3-DB0C9240FBFB}"/>
    <cellStyle name="Note 24 2" xfId="176" xr:uid="{E53BED45-09F0-4393-8990-44883E226B1F}"/>
    <cellStyle name="Note 25" xfId="118" xr:uid="{2FB8594C-12ED-4B63-9803-02C0D7572429}"/>
    <cellStyle name="Note 25 2" xfId="193" xr:uid="{0B3196EC-9189-4AAA-9A8D-A8070D26D62D}"/>
    <cellStyle name="Note 3" xfId="79" xr:uid="{075F71CC-F3F1-4A35-80E6-344F8095A4CD}"/>
    <cellStyle name="Note 3 2" xfId="154" xr:uid="{F4473A0B-E22A-43D3-9E1B-C1145C7FB8DD}"/>
    <cellStyle name="Note 4" xfId="80" xr:uid="{C5715671-78A6-461E-B510-DF680B3D470F}"/>
    <cellStyle name="Note 4 2" xfId="155" xr:uid="{C45E0598-B65F-4193-ADAC-1D42926E0D80}"/>
    <cellStyle name="Note 5" xfId="81" xr:uid="{641498AB-CFA8-4710-A6C7-99382E3757A5}"/>
    <cellStyle name="Note 5 2" xfId="156" xr:uid="{A3653ADC-12BE-4999-8F38-C256A2C7A41B}"/>
    <cellStyle name="Note 6" xfId="82" xr:uid="{8993A50B-03E1-4476-8D36-AD2A6BA97AD1}"/>
    <cellStyle name="Note 6 2" xfId="157" xr:uid="{E4753E09-D93D-455B-AFB3-E59503B7203A}"/>
    <cellStyle name="Note 7" xfId="83" xr:uid="{DDC72F7E-E107-405E-8D55-556B96E42BF1}"/>
    <cellStyle name="Note 7 2" xfId="158" xr:uid="{852A2140-C474-49AA-A308-13249AEB72C8}"/>
    <cellStyle name="Note 8" xfId="96" xr:uid="{4C01700D-4D95-4806-B0C5-0871303EA03B}"/>
    <cellStyle name="Note 8 2" xfId="171" xr:uid="{BF898B8A-9714-4792-B852-2C74D53689FB}"/>
    <cellStyle name="Note 9" xfId="110" xr:uid="{D6900EAF-C242-4CBA-B5AA-6FA48070B077}"/>
    <cellStyle name="Note 9 2" xfId="185" xr:uid="{3D0AA9EE-C156-4195-B0A2-27CE03FC768C}"/>
    <cellStyle name="Output" xfId="22" builtinId="21" customBuiltin="1"/>
    <cellStyle name="Percent 10 10" xfId="14" xr:uid="{00000000-0005-0000-0000-00000D000000}"/>
    <cellStyle name="Percent 2" xfId="205" xr:uid="{7F2BD7C8-2779-4550-BDDF-2B0CCC3E1727}"/>
    <cellStyle name="Percent 2 2" xfId="6" xr:uid="{00000000-0005-0000-0000-00000E000000}"/>
    <cellStyle name="Title 2" xfId="60" xr:uid="{B1AC9BE5-DA21-4B18-829E-21929A3E749B}"/>
    <cellStyle name="Total" xfId="28" builtinId="25" customBuiltin="1"/>
    <cellStyle name="Warning Text" xfId="26" builtinId="11" customBuiltin="1"/>
  </cellStyles>
  <dxfs count="0"/>
  <tableStyles count="0" defaultTableStyle="TableStyleMedium9" defaultPivotStyle="PivotStyleLight16"/>
  <colors>
    <mruColors>
      <color rgb="FFFE7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Layout" topLeftCell="C1" zoomScale="85" zoomScaleNormal="100" zoomScalePageLayoutView="85" workbookViewId="0">
      <selection activeCell="N4" sqref="N4"/>
    </sheetView>
  </sheetViews>
  <sheetFormatPr defaultColWidth="9.109375" defaultRowHeight="13.2" x14ac:dyDescent="0.25"/>
  <cols>
    <col min="1" max="1" width="57.44140625" customWidth="1"/>
    <col min="2" max="4" width="22.44140625" customWidth="1"/>
    <col min="5" max="5" width="21.44140625" customWidth="1"/>
    <col min="6" max="6" width="17.88671875" customWidth="1"/>
    <col min="7" max="7" width="17.5546875" customWidth="1"/>
    <col min="8" max="8" width="18.109375" customWidth="1"/>
    <col min="9" max="9" width="18.44140625" customWidth="1"/>
    <col min="10" max="10" width="15.44140625" customWidth="1"/>
    <col min="11" max="11" width="15.88671875" customWidth="1"/>
    <col min="12" max="12" width="13.109375" customWidth="1"/>
    <col min="13" max="13" width="16.109375" customWidth="1"/>
    <col min="14" max="14" width="12.44140625" customWidth="1"/>
    <col min="15" max="15" width="13.44140625" customWidth="1"/>
  </cols>
  <sheetData>
    <row r="1" spans="1:19" x14ac:dyDescent="0.25">
      <c r="A1" s="111"/>
      <c r="O1" s="117"/>
      <c r="S1" s="1"/>
    </row>
    <row r="2" spans="1:19" x14ac:dyDescent="0.25">
      <c r="O2" s="19"/>
    </row>
    <row r="3" spans="1:19" x14ac:dyDescent="0.25">
      <c r="E3" s="125" t="s">
        <v>123</v>
      </c>
      <c r="F3" s="125"/>
      <c r="G3" s="125"/>
    </row>
    <row r="4" spans="1:19" x14ac:dyDescent="0.25">
      <c r="E4" s="125" t="s">
        <v>1</v>
      </c>
      <c r="F4" s="125"/>
      <c r="G4" s="125"/>
      <c r="S4" s="1"/>
    </row>
    <row r="5" spans="1:19" x14ac:dyDescent="0.25">
      <c r="E5" s="124" t="s">
        <v>133</v>
      </c>
      <c r="F5" s="125"/>
      <c r="G5" s="125"/>
      <c r="J5" s="19"/>
    </row>
    <row r="6" spans="1:19" x14ac:dyDescent="0.25">
      <c r="S6" s="1"/>
    </row>
    <row r="7" spans="1:19" x14ac:dyDescent="0.25"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62</v>
      </c>
      <c r="M7" s="7" t="s">
        <v>63</v>
      </c>
      <c r="N7" s="7" t="s">
        <v>64</v>
      </c>
      <c r="O7" s="7" t="s">
        <v>65</v>
      </c>
    </row>
    <row r="8" spans="1:19" x14ac:dyDescent="0.25">
      <c r="A8" t="s">
        <v>18</v>
      </c>
      <c r="B8" s="10" t="s">
        <v>12</v>
      </c>
      <c r="C8" s="10" t="s">
        <v>58</v>
      </c>
      <c r="D8" s="10" t="s">
        <v>59</v>
      </c>
      <c r="E8" t="s">
        <v>13</v>
      </c>
      <c r="F8" s="19" t="s">
        <v>86</v>
      </c>
      <c r="H8" s="10" t="s">
        <v>60</v>
      </c>
      <c r="I8" s="10" t="s">
        <v>61</v>
      </c>
      <c r="J8" s="72">
        <v>2024</v>
      </c>
      <c r="K8" t="s">
        <v>101</v>
      </c>
      <c r="L8" s="19" t="s">
        <v>117</v>
      </c>
      <c r="N8" s="34" t="s">
        <v>14</v>
      </c>
      <c r="O8" s="34"/>
      <c r="S8" s="1"/>
    </row>
    <row r="9" spans="1:19" x14ac:dyDescent="0.25">
      <c r="B9" s="73" t="s">
        <v>135</v>
      </c>
      <c r="C9" s="8" t="str">
        <f>B9</f>
        <v>7/2024 to 6/2025 (A)</v>
      </c>
      <c r="D9" s="8" t="str">
        <f>C9</f>
        <v>7/2024 to 6/2025 (A)</v>
      </c>
      <c r="E9" s="28" t="s">
        <v>136</v>
      </c>
      <c r="F9" s="8" t="s">
        <v>15</v>
      </c>
      <c r="G9" s="8" t="s">
        <v>16</v>
      </c>
      <c r="H9" s="5" t="str">
        <f>E9</f>
        <v>7/2024 to 6/2025 (B)</v>
      </c>
      <c r="I9" s="5" t="str">
        <f>H9</f>
        <v>7/2024 to 6/2025 (B)</v>
      </c>
      <c r="J9" s="9" t="s">
        <v>19</v>
      </c>
      <c r="K9" s="105" t="s">
        <v>116</v>
      </c>
      <c r="L9" s="8" t="s">
        <v>15</v>
      </c>
      <c r="M9" s="8" t="s">
        <v>16</v>
      </c>
      <c r="N9" s="73" t="s">
        <v>118</v>
      </c>
      <c r="O9" s="73" t="s">
        <v>119</v>
      </c>
    </row>
    <row r="10" spans="1:19" ht="5.25" customHeight="1" x14ac:dyDescent="0.25">
      <c r="B10" s="20"/>
      <c r="C10" s="20"/>
      <c r="D10" s="20"/>
      <c r="E10" s="20"/>
      <c r="F10" s="1"/>
      <c r="G10" s="1"/>
      <c r="H10" s="20"/>
      <c r="I10" s="20"/>
      <c r="L10" s="10"/>
      <c r="M10" s="10"/>
      <c r="N10" s="10"/>
      <c r="O10" s="10"/>
      <c r="S10" s="6"/>
    </row>
    <row r="11" spans="1:19" x14ac:dyDescent="0.25">
      <c r="A11" t="s">
        <v>112</v>
      </c>
      <c r="B11" s="20">
        <v>534292.26</v>
      </c>
      <c r="C11" s="20">
        <v>31540.752001500117</v>
      </c>
      <c r="D11" s="20">
        <v>-20758.698524734129</v>
      </c>
      <c r="E11" s="20">
        <v>456409.17862581386</v>
      </c>
      <c r="F11" s="1">
        <f>$E11*VLOOKUP($A11,'Page 6'!$A$7:$H$12,8,FALSE)</f>
        <v>0</v>
      </c>
      <c r="G11" s="1">
        <f>$E11*VLOOKUP($A11,'Page 6'!$A$7:$H$14,7,FALSE)</f>
        <v>456409.17862581386</v>
      </c>
      <c r="H11" s="20">
        <v>34636.967960000125</v>
      </c>
      <c r="I11" s="20">
        <v>-17478.318459054055</v>
      </c>
      <c r="L11" s="10"/>
      <c r="M11" s="10"/>
      <c r="N11" s="10"/>
      <c r="O11" s="10"/>
    </row>
    <row r="12" spans="1:19" x14ac:dyDescent="0.25">
      <c r="A12" t="s">
        <v>113</v>
      </c>
      <c r="B12" s="20">
        <v>748254.77000000014</v>
      </c>
      <c r="C12" s="20">
        <v>12000.655033110063</v>
      </c>
      <c r="D12" s="20">
        <v>-40116.317284763325</v>
      </c>
      <c r="E12" s="20">
        <v>788556.59938128386</v>
      </c>
      <c r="F12" s="1">
        <f>$E12*VLOOKUP($A12,'Page 6'!$A$7:$H$12,8,FALSE)</f>
        <v>333524.17480426171</v>
      </c>
      <c r="G12" s="1">
        <f>$E12*VLOOKUP($A12,'Page 6'!$A$7:$H$14,7,FALSE)</f>
        <v>455032.42457702215</v>
      </c>
      <c r="H12" s="20">
        <v>14682.057628000084</v>
      </c>
      <c r="I12" s="20">
        <v>-37433.88537692988</v>
      </c>
      <c r="L12" s="10"/>
      <c r="M12" s="10"/>
      <c r="N12" s="10"/>
      <c r="O12" s="10"/>
    </row>
    <row r="13" spans="1:19" x14ac:dyDescent="0.25">
      <c r="A13" t="s">
        <v>124</v>
      </c>
      <c r="B13" s="46">
        <v>442331.4</v>
      </c>
      <c r="C13" s="46">
        <v>741074.91071122093</v>
      </c>
      <c r="D13" s="46">
        <v>65215.329397517431</v>
      </c>
      <c r="E13" s="20">
        <v>359657.61990692629</v>
      </c>
      <c r="F13" s="1">
        <f>$E13*VLOOKUP($A13,'Page 6'!$A$7:$H$12,8,FALSE)</f>
        <v>0</v>
      </c>
      <c r="G13" s="1">
        <f>$E13*VLOOKUP($A13,'Page 6'!$A$7:$H$14,7,FALSE)</f>
        <v>359657.61990692629</v>
      </c>
      <c r="H13" s="20">
        <v>959137.17052629869</v>
      </c>
      <c r="I13" s="20">
        <v>68156.501568889944</v>
      </c>
      <c r="L13" s="10"/>
      <c r="M13" s="10"/>
      <c r="N13" s="10"/>
      <c r="O13" s="10"/>
    </row>
    <row r="14" spans="1:19" x14ac:dyDescent="0.25">
      <c r="A14" t="s">
        <v>88</v>
      </c>
      <c r="B14" s="20">
        <v>322136.45999999996</v>
      </c>
      <c r="C14" s="20">
        <v>50042.17413980118</v>
      </c>
      <c r="D14" s="20">
        <v>24047.138235256105</v>
      </c>
      <c r="E14" s="20">
        <v>207159.97339683407</v>
      </c>
      <c r="F14" s="1">
        <f>$E14*VLOOKUP($A14,'Page 6'!$A$7:$H$12,8,FALSE)</f>
        <v>0</v>
      </c>
      <c r="G14" s="1">
        <f>$E14*VLOOKUP($A14,'Page 6'!$A$7:$H$14,7,FALSE)</f>
        <v>207159.97339683407</v>
      </c>
      <c r="H14" s="20">
        <v>56034.333465236181</v>
      </c>
      <c r="I14" s="20">
        <v>24591.975316573211</v>
      </c>
      <c r="L14" s="10"/>
      <c r="M14" s="10"/>
      <c r="N14" s="10"/>
      <c r="O14" s="10"/>
    </row>
    <row r="15" spans="1:19" x14ac:dyDescent="0.25">
      <c r="A15" t="s">
        <v>87</v>
      </c>
      <c r="B15" s="46">
        <v>648457.54</v>
      </c>
      <c r="C15" s="46">
        <v>88163.975116910005</v>
      </c>
      <c r="D15" s="46">
        <v>22748.353444388442</v>
      </c>
      <c r="E15" s="20">
        <v>569093.93367224128</v>
      </c>
      <c r="F15" s="1">
        <f>$E15*VLOOKUP($A15,'Page 6'!$A$7:$H$12,8,FALSE)</f>
        <v>0</v>
      </c>
      <c r="G15" s="1">
        <f>$E15*VLOOKUP($A15,'Page 6'!$A$7:$H$14,7,FALSE)</f>
        <v>569093.93367224128</v>
      </c>
      <c r="H15" s="20">
        <v>87605.916481547552</v>
      </c>
      <c r="I15" s="20">
        <v>28496.029131570438</v>
      </c>
      <c r="L15" s="10"/>
      <c r="M15" s="10"/>
      <c r="N15" s="10"/>
      <c r="O15" s="10"/>
    </row>
    <row r="16" spans="1:19" x14ac:dyDescent="0.25">
      <c r="A16" t="s">
        <v>97</v>
      </c>
      <c r="B16" s="46">
        <v>2038577.79</v>
      </c>
      <c r="C16" s="46">
        <v>0</v>
      </c>
      <c r="D16" s="46">
        <v>46463.322101445498</v>
      </c>
      <c r="E16" s="20">
        <v>1853640.4875764013</v>
      </c>
      <c r="F16" s="1">
        <f>$E16*VLOOKUP($A16,'Page 6'!$A$7:$H$12,8,FALSE)</f>
        <v>0</v>
      </c>
      <c r="G16" s="1">
        <f>$E16*VLOOKUP($A16,'Page 6'!$A$7:$H$14,7,FALSE)</f>
        <v>1853640.4875764013</v>
      </c>
      <c r="H16" s="20">
        <v>0</v>
      </c>
      <c r="I16" s="20">
        <v>76505.697740319054</v>
      </c>
      <c r="L16" s="10"/>
      <c r="M16" s="10"/>
      <c r="N16" s="10"/>
      <c r="O16" s="10"/>
    </row>
    <row r="17" spans="1:24" x14ac:dyDescent="0.25">
      <c r="A17" s="40" t="s">
        <v>109</v>
      </c>
      <c r="B17" s="46">
        <v>428998.95</v>
      </c>
      <c r="C17" s="46">
        <v>0</v>
      </c>
      <c r="D17" s="46">
        <v>0</v>
      </c>
      <c r="E17" s="36">
        <v>156768.37770998801</v>
      </c>
      <c r="F17" s="1">
        <v>0</v>
      </c>
      <c r="G17" s="1">
        <f>$E17*VLOOKUP($A17,'Page 6'!$A$7:$H$14,7,FALSE)</f>
        <v>156768.37770998801</v>
      </c>
      <c r="H17" s="20">
        <v>0</v>
      </c>
      <c r="L17" s="10"/>
      <c r="M17" s="10"/>
      <c r="N17" s="10"/>
      <c r="O17" s="10"/>
    </row>
    <row r="18" spans="1:24" ht="14.4" x14ac:dyDescent="0.3">
      <c r="A18" s="61" t="s">
        <v>107</v>
      </c>
      <c r="B18" s="20"/>
      <c r="C18" s="20"/>
      <c r="D18" s="20"/>
      <c r="E18" s="20"/>
      <c r="F18" s="20"/>
      <c r="G18" s="20"/>
      <c r="H18" s="20"/>
      <c r="I18" s="20"/>
      <c r="L18" s="112">
        <v>-401906.61999999976</v>
      </c>
      <c r="M18" s="113">
        <v>2553899.5100000002</v>
      </c>
      <c r="N18" s="10"/>
      <c r="O18" s="10"/>
    </row>
    <row r="19" spans="1:24" x14ac:dyDescent="0.25">
      <c r="A19" s="29" t="s">
        <v>29</v>
      </c>
      <c r="B19" s="31">
        <f t="shared" ref="B19:I19" si="0">SUM(B10:B18)</f>
        <v>5163049.1700000009</v>
      </c>
      <c r="C19" s="31">
        <f t="shared" si="0"/>
        <v>922822.46700254222</v>
      </c>
      <c r="D19" s="31">
        <f t="shared" si="0"/>
        <v>97599.127369110021</v>
      </c>
      <c r="E19" s="31">
        <f t="shared" si="0"/>
        <v>4391286.1702694884</v>
      </c>
      <c r="F19" s="31">
        <f t="shared" si="0"/>
        <v>333524.17480426171</v>
      </c>
      <c r="G19" s="31">
        <f t="shared" si="0"/>
        <v>4057761.9954652269</v>
      </c>
      <c r="H19" s="31">
        <f t="shared" si="0"/>
        <v>1152096.4460610826</v>
      </c>
      <c r="I19" s="31">
        <f t="shared" si="0"/>
        <v>142837.99992136873</v>
      </c>
      <c r="J19" s="78">
        <v>-242159.17135866289</v>
      </c>
      <c r="K19" s="78">
        <v>-4196402.0703976415</v>
      </c>
      <c r="L19" s="30">
        <f>SUM(L18)</f>
        <v>-401906.61999999976</v>
      </c>
      <c r="M19" s="30">
        <f>SUM(M18)</f>
        <v>2553899.5100000002</v>
      </c>
      <c r="N19" s="30">
        <f>F19+J19-L19</f>
        <v>493271.62344559858</v>
      </c>
      <c r="O19" s="30">
        <f>G19+H19+I19+K19-M19</f>
        <v>-1397605.1389499637</v>
      </c>
    </row>
    <row r="20" spans="1:24" x14ac:dyDescent="0.25">
      <c r="C20" s="11"/>
      <c r="E20" s="2"/>
      <c r="H20" s="2"/>
      <c r="I20" s="2"/>
    </row>
    <row r="21" spans="1:24" x14ac:dyDescent="0.25">
      <c r="A21" s="19" t="s">
        <v>145</v>
      </c>
      <c r="I21" s="1"/>
    </row>
    <row r="22" spans="1:24" x14ac:dyDescent="0.25">
      <c r="A22" s="19" t="s">
        <v>139</v>
      </c>
      <c r="H22" s="2"/>
      <c r="J22" s="36"/>
      <c r="K22" s="21"/>
      <c r="L22" s="1"/>
      <c r="M22" s="1"/>
    </row>
    <row r="23" spans="1:24" x14ac:dyDescent="0.25">
      <c r="A23" s="19" t="s">
        <v>148</v>
      </c>
      <c r="H23" s="4"/>
      <c r="I23" s="2"/>
      <c r="J23" s="36"/>
      <c r="L23" s="1"/>
      <c r="M23" s="1"/>
    </row>
    <row r="24" spans="1:24" x14ac:dyDescent="0.25">
      <c r="A24" s="19" t="s">
        <v>141</v>
      </c>
      <c r="B24" s="110"/>
      <c r="H24" s="4"/>
      <c r="I24" s="2"/>
      <c r="J24" s="36"/>
      <c r="L24" s="1"/>
      <c r="M24" s="1"/>
    </row>
    <row r="25" spans="1:24" x14ac:dyDescent="0.25">
      <c r="A25" s="19" t="s">
        <v>134</v>
      </c>
      <c r="H25" s="4"/>
    </row>
    <row r="26" spans="1:24" x14ac:dyDescent="0.25">
      <c r="A26" s="19" t="s">
        <v>121</v>
      </c>
      <c r="H26" s="4"/>
    </row>
    <row r="27" spans="1:24" x14ac:dyDescent="0.25">
      <c r="A27" s="19" t="s">
        <v>122</v>
      </c>
      <c r="H27" s="2"/>
    </row>
    <row r="28" spans="1:24" x14ac:dyDescent="0.25">
      <c r="A28" s="19"/>
      <c r="H28" s="2"/>
    </row>
    <row r="29" spans="1:24" x14ac:dyDescent="0.25">
      <c r="A29" s="19"/>
      <c r="H29" s="2"/>
    </row>
    <row r="30" spans="1:24" x14ac:dyDescent="0.25">
      <c r="E30" s="12"/>
      <c r="F30" s="12"/>
      <c r="G30" s="12"/>
      <c r="H30" s="12"/>
      <c r="I30" s="12"/>
      <c r="J30" s="12"/>
    </row>
    <row r="31" spans="1:24" x14ac:dyDescent="0.25">
      <c r="B31" s="7" t="s">
        <v>2</v>
      </c>
      <c r="C31" s="7" t="s">
        <v>3</v>
      </c>
      <c r="D31" s="7" t="s">
        <v>4</v>
      </c>
      <c r="E31" s="13" t="s">
        <v>5</v>
      </c>
      <c r="F31" s="13" t="s">
        <v>6</v>
      </c>
      <c r="G31" s="13" t="s">
        <v>7</v>
      </c>
      <c r="H31" s="13" t="s">
        <v>8</v>
      </c>
      <c r="I31" s="13" t="s">
        <v>9</v>
      </c>
      <c r="J31" s="13" t="s">
        <v>10</v>
      </c>
      <c r="Q31" s="7"/>
      <c r="R31" s="7"/>
      <c r="T31" s="7"/>
      <c r="U31" s="7"/>
      <c r="W31" s="7"/>
      <c r="X31" s="7"/>
    </row>
    <row r="32" spans="1:24" x14ac:dyDescent="0.25">
      <c r="A32" t="s">
        <v>20</v>
      </c>
      <c r="B32" t="s">
        <v>12</v>
      </c>
      <c r="C32" s="10" t="s">
        <v>58</v>
      </c>
      <c r="D32" s="10" t="s">
        <v>59</v>
      </c>
      <c r="E32" t="s">
        <v>13</v>
      </c>
      <c r="F32" s="10" t="s">
        <v>60</v>
      </c>
      <c r="G32" s="10" t="s">
        <v>61</v>
      </c>
      <c r="H32" s="10">
        <f>J8</f>
        <v>2024</v>
      </c>
      <c r="I32" s="10" t="s">
        <v>21</v>
      </c>
      <c r="J32" s="35" t="s">
        <v>89</v>
      </c>
    </row>
    <row r="33" spans="1:24" x14ac:dyDescent="0.25">
      <c r="B33" s="8" t="str">
        <f>B9</f>
        <v>7/2024 to 6/2025 (A)</v>
      </c>
      <c r="C33" s="8" t="str">
        <f>B33</f>
        <v>7/2024 to 6/2025 (A)</v>
      </c>
      <c r="D33" s="8" t="str">
        <f>C33</f>
        <v>7/2024 to 6/2025 (A)</v>
      </c>
      <c r="E33" s="5" t="str">
        <f>E9</f>
        <v>7/2024 to 6/2025 (B)</v>
      </c>
      <c r="F33" s="5" t="str">
        <f>E33</f>
        <v>7/2024 to 6/2025 (B)</v>
      </c>
      <c r="G33" s="5" t="str">
        <f>F33</f>
        <v>7/2024 to 6/2025 (B)</v>
      </c>
      <c r="H33" s="8" t="s">
        <v>22</v>
      </c>
      <c r="I33" s="8" t="s">
        <v>23</v>
      </c>
      <c r="J33" s="14" t="s">
        <v>66</v>
      </c>
      <c r="M33" s="10"/>
      <c r="O33" s="10"/>
      <c r="Q33" s="10"/>
      <c r="R33" s="10"/>
      <c r="T33" s="10"/>
      <c r="U33" s="10"/>
      <c r="W33" s="10"/>
      <c r="X33" s="10"/>
    </row>
    <row r="34" spans="1:24" x14ac:dyDescent="0.25">
      <c r="A34" s="19" t="s">
        <v>125</v>
      </c>
      <c r="B34" s="20">
        <v>1070183.7999999998</v>
      </c>
      <c r="C34" s="20">
        <v>128984.62792024172</v>
      </c>
      <c r="D34" s="20">
        <v>175543.18289369752</v>
      </c>
      <c r="E34" s="20">
        <v>1922886.5633610017</v>
      </c>
      <c r="F34" s="20">
        <v>217666.84203377969</v>
      </c>
      <c r="G34" s="20">
        <v>732813.39695873694</v>
      </c>
      <c r="H34" s="17"/>
      <c r="I34" s="17"/>
      <c r="K34" s="16"/>
      <c r="L34" s="17"/>
      <c r="M34" s="6"/>
      <c r="Q34" s="6"/>
      <c r="R34" s="2"/>
      <c r="T34" s="10"/>
      <c r="U34" s="10"/>
      <c r="W34" s="10"/>
      <c r="X34" s="10"/>
    </row>
    <row r="35" spans="1:24" x14ac:dyDescent="0.25">
      <c r="A35" s="19" t="s">
        <v>110</v>
      </c>
      <c r="B35" s="20">
        <v>2286675.58</v>
      </c>
      <c r="C35" s="20">
        <v>330875.40549283085</v>
      </c>
      <c r="D35" s="20">
        <v>339287.12211210822</v>
      </c>
      <c r="E35" s="20">
        <v>1117757.1269192211</v>
      </c>
      <c r="F35" s="20">
        <v>216547.61613182334</v>
      </c>
      <c r="G35" s="20">
        <v>228425.88686910525</v>
      </c>
      <c r="H35" s="15"/>
      <c r="I35" s="15"/>
      <c r="K35" s="16"/>
      <c r="L35" s="16"/>
      <c r="M35" s="6"/>
      <c r="Q35" s="6"/>
      <c r="R35" s="2"/>
      <c r="T35" s="10"/>
      <c r="U35" s="10"/>
      <c r="W35" s="10"/>
      <c r="X35" s="10"/>
    </row>
    <row r="36" spans="1:24" ht="6" customHeight="1" x14ac:dyDescent="0.25">
      <c r="B36" s="46"/>
      <c r="C36" s="46"/>
      <c r="D36" s="46"/>
      <c r="E36" s="20"/>
      <c r="F36" s="20"/>
      <c r="G36" s="20"/>
      <c r="H36" s="17"/>
      <c r="I36" s="17"/>
      <c r="M36" s="10"/>
      <c r="O36" s="10"/>
      <c r="Q36" s="10"/>
      <c r="R36" s="10"/>
      <c r="T36" s="10"/>
      <c r="U36" s="10"/>
      <c r="W36" s="10"/>
      <c r="X36" s="10"/>
    </row>
    <row r="37" spans="1:24" ht="14.4" x14ac:dyDescent="0.3">
      <c r="A37" s="33" t="s">
        <v>29</v>
      </c>
      <c r="B37" s="30">
        <f t="shared" ref="B37:G37" si="1">SUM(B34:B36)</f>
        <v>3356859.38</v>
      </c>
      <c r="C37" s="30">
        <f t="shared" si="1"/>
        <v>459860.03341307258</v>
      </c>
      <c r="D37" s="30">
        <f t="shared" si="1"/>
        <v>514830.30500580574</v>
      </c>
      <c r="E37" s="30">
        <f t="shared" si="1"/>
        <v>3040643.6902802228</v>
      </c>
      <c r="F37" s="30">
        <f t="shared" si="1"/>
        <v>434214.45816560299</v>
      </c>
      <c r="G37" s="30">
        <f t="shared" si="1"/>
        <v>961239.28382784221</v>
      </c>
      <c r="H37" s="30">
        <v>-93896.392237739637</v>
      </c>
      <c r="I37" s="114">
        <v>6955813.8200000003</v>
      </c>
      <c r="J37" s="62">
        <f>E37+F37+G37+H37-I37</f>
        <v>-2613612.7799640717</v>
      </c>
    </row>
    <row r="38" spans="1:24" x14ac:dyDescent="0.25">
      <c r="A38" s="5"/>
      <c r="B38" s="51"/>
      <c r="C38" s="5"/>
      <c r="D38" s="5"/>
      <c r="E38" s="5"/>
      <c r="F38" s="51"/>
      <c r="G38" s="51"/>
      <c r="H38" s="28"/>
      <c r="J38" s="5"/>
    </row>
    <row r="39" spans="1:24" ht="14.4" x14ac:dyDescent="0.3">
      <c r="A39" s="19" t="s">
        <v>98</v>
      </c>
      <c r="B39" s="46">
        <v>801600.25999999978</v>
      </c>
      <c r="C39" s="46">
        <v>0</v>
      </c>
      <c r="D39" s="46">
        <v>77571.615041765646</v>
      </c>
      <c r="E39" s="20">
        <v>660457.35051406967</v>
      </c>
      <c r="F39" s="20">
        <v>0</v>
      </c>
      <c r="G39" s="20">
        <v>84060.319308508406</v>
      </c>
      <c r="H39" s="79">
        <v>115872.72233801032</v>
      </c>
      <c r="I39" s="115">
        <v>1544076.99</v>
      </c>
      <c r="J39" s="63">
        <f>E39+F39+G39+H39-I39</f>
        <v>-683686.59783941158</v>
      </c>
      <c r="K39" s="16"/>
      <c r="L39" s="17"/>
      <c r="M39" s="6"/>
      <c r="Q39" s="6"/>
      <c r="R39" s="2"/>
      <c r="T39" s="10"/>
      <c r="U39" s="10"/>
      <c r="W39" s="10"/>
      <c r="X39" s="10"/>
    </row>
    <row r="40" spans="1:24" x14ac:dyDescent="0.25">
      <c r="A40" s="19"/>
      <c r="B40" s="46"/>
      <c r="C40" s="46"/>
      <c r="D40" s="46"/>
      <c r="E40" s="20"/>
      <c r="F40" s="20"/>
      <c r="G40" s="20"/>
      <c r="H40" s="79"/>
      <c r="I40" s="2"/>
      <c r="J40" s="63"/>
      <c r="K40" s="16"/>
      <c r="L40" s="17"/>
      <c r="M40" s="6"/>
      <c r="Q40" s="6"/>
      <c r="R40" s="2"/>
      <c r="T40" s="10"/>
      <c r="U40" s="10"/>
      <c r="W40" s="10"/>
      <c r="X40" s="10"/>
    </row>
    <row r="41" spans="1:24" x14ac:dyDescent="0.25">
      <c r="A41" s="19"/>
      <c r="B41" s="46"/>
      <c r="C41" s="46"/>
      <c r="D41" s="46"/>
      <c r="E41" s="20"/>
      <c r="F41" s="20"/>
      <c r="G41" s="20"/>
      <c r="H41" s="79"/>
      <c r="I41" s="2"/>
      <c r="J41" s="63"/>
      <c r="K41" s="16"/>
      <c r="L41" s="17"/>
      <c r="M41" s="6"/>
      <c r="Q41" s="6"/>
      <c r="R41" s="2"/>
      <c r="T41" s="10"/>
      <c r="U41" s="10"/>
      <c r="W41" s="10"/>
      <c r="X41" s="10"/>
    </row>
    <row r="42" spans="1:24" x14ac:dyDescent="0.25">
      <c r="A42" s="19" t="s">
        <v>115</v>
      </c>
      <c r="B42" s="46">
        <f>B19+B37+B39</f>
        <v>9321508.8100000005</v>
      </c>
      <c r="C42" s="46">
        <f>C19+C37+C39</f>
        <v>1382682.5004156148</v>
      </c>
      <c r="D42" s="46">
        <f>D19+D37+D39</f>
        <v>690001.04741668142</v>
      </c>
      <c r="E42" s="46">
        <f>E19+E37+E39</f>
        <v>8092387.2110637799</v>
      </c>
      <c r="F42" s="46">
        <f>H19+F37+F39</f>
        <v>1586310.9042266856</v>
      </c>
      <c r="G42" s="46">
        <f>I19+G37+G39</f>
        <v>1188137.6030577193</v>
      </c>
      <c r="H42" s="46"/>
      <c r="I42" s="46"/>
      <c r="J42" s="46"/>
      <c r="K42" s="16"/>
      <c r="L42" s="17"/>
      <c r="M42" s="6"/>
      <c r="Q42" s="6"/>
      <c r="R42" s="2"/>
      <c r="T42" s="10"/>
      <c r="U42" s="10"/>
      <c r="W42" s="10"/>
      <c r="X42" s="10"/>
    </row>
    <row r="43" spans="1:24" x14ac:dyDescent="0.25">
      <c r="A43" s="19"/>
      <c r="B43" s="32"/>
      <c r="C43" s="32"/>
      <c r="D43" s="32"/>
      <c r="E43" s="6"/>
      <c r="F43" s="6"/>
      <c r="G43" s="6"/>
      <c r="H43" s="17"/>
      <c r="I43" s="17"/>
      <c r="K43" s="16"/>
      <c r="L43" s="17"/>
      <c r="M43" s="6"/>
      <c r="Q43" s="6"/>
      <c r="R43" s="2"/>
      <c r="T43" s="10"/>
      <c r="U43" s="10"/>
      <c r="W43" s="10"/>
      <c r="X43" s="10"/>
    </row>
    <row r="44" spans="1:24" x14ac:dyDescent="0.25">
      <c r="A44" s="19" t="str">
        <f>A21</f>
        <v>(A) Amounts identified in report filed in Case No. 2024-00264</v>
      </c>
      <c r="E44" s="2"/>
      <c r="F44" s="2"/>
      <c r="G44" s="2"/>
    </row>
    <row r="45" spans="1:24" x14ac:dyDescent="0.25">
      <c r="A45" t="str">
        <f>A22</f>
        <v>(B) Actual program expenditures, lost revenues (for this period and from prior period DSM measure installations), and shared savings for the period July 1, 2024 through June 30, 2025</v>
      </c>
      <c r="F45" s="2"/>
      <c r="G45" s="2"/>
      <c r="H45" s="21"/>
      <c r="I45" s="1"/>
    </row>
    <row r="46" spans="1:24" x14ac:dyDescent="0.25">
      <c r="A46" s="19" t="s">
        <v>146</v>
      </c>
      <c r="B46" s="110"/>
      <c r="F46" s="2"/>
      <c r="G46" s="2"/>
      <c r="I46" s="1"/>
    </row>
    <row r="47" spans="1:24" x14ac:dyDescent="0.25">
      <c r="A47" s="19" t="s">
        <v>140</v>
      </c>
      <c r="B47" s="110"/>
    </row>
    <row r="48" spans="1:24" x14ac:dyDescent="0.25">
      <c r="A48" s="19" t="s">
        <v>120</v>
      </c>
    </row>
    <row r="49" spans="1:1" x14ac:dyDescent="0.25">
      <c r="A49" s="24"/>
    </row>
  </sheetData>
  <mergeCells count="3">
    <mergeCell ref="E5:G5"/>
    <mergeCell ref="E4:G4"/>
    <mergeCell ref="E3:G3"/>
  </mergeCells>
  <phoneticPr fontId="9" type="noConversion"/>
  <pageMargins left="0.2" right="0.2" top="0.57573529411764701" bottom="0.2" header="0.2" footer="0.2"/>
  <pageSetup paperSize="5" scale="58" orientation="landscape" r:id="rId1"/>
  <headerFooter alignWithMargins="0">
    <oddHeader>&amp;R&amp;"Times New Roman,Bold"KyPSC Case No. 2025-00359
Appendix C
Page &amp;P of &amp;N</oddHeader>
  </headerFooter>
  <ignoredErrors>
    <ignoredError sqref="B7:C7 M8:M9 L9 D7:O7 B31:J31" numberStoredAsText="1"/>
    <ignoredError sqref="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view="pageLayout" zoomScaleNormal="85" workbookViewId="0">
      <selection activeCell="N4" sqref="N4"/>
    </sheetView>
  </sheetViews>
  <sheetFormatPr defaultColWidth="9.109375" defaultRowHeight="13.2" x14ac:dyDescent="0.25"/>
  <cols>
    <col min="1" max="1" width="56.5546875" style="40" customWidth="1"/>
    <col min="2" max="2" width="14" style="40" bestFit="1" customWidth="1"/>
    <col min="3" max="4" width="12.44140625" style="40" bestFit="1" customWidth="1"/>
    <col min="5" max="5" width="14" style="40" bestFit="1" customWidth="1"/>
    <col min="6" max="7" width="9.109375" style="40"/>
    <col min="8" max="8" width="14.5546875" style="40" bestFit="1" customWidth="1"/>
    <col min="9" max="10" width="13" style="40" customWidth="1"/>
    <col min="11" max="11" width="13.88671875" style="40" customWidth="1"/>
    <col min="12" max="12" width="9.109375" style="40"/>
    <col min="13" max="13" width="11.5546875" style="40" bestFit="1" customWidth="1"/>
    <col min="14" max="14" width="9.109375" style="40"/>
    <col min="15" max="15" width="14.5546875" style="42" customWidth="1"/>
    <col min="16" max="16" width="9.109375" style="40"/>
    <col min="17" max="17" width="13" style="40" bestFit="1" customWidth="1"/>
    <col min="18" max="16384" width="9.109375" style="40"/>
  </cols>
  <sheetData>
    <row r="1" spans="1:15" x14ac:dyDescent="0.25">
      <c r="B1" s="40" t="s">
        <v>0</v>
      </c>
      <c r="K1" s="41"/>
    </row>
    <row r="3" spans="1:15" x14ac:dyDescent="0.25">
      <c r="B3" s="40" t="s">
        <v>132</v>
      </c>
    </row>
    <row r="6" spans="1:15" x14ac:dyDescent="0.25">
      <c r="B6" s="54" t="s">
        <v>99</v>
      </c>
    </row>
    <row r="7" spans="1:15" s="43" customFormat="1" ht="26.25" customHeight="1" x14ac:dyDescent="0.25">
      <c r="C7" s="43" t="s">
        <v>24</v>
      </c>
      <c r="D7" s="43" t="s">
        <v>25</v>
      </c>
      <c r="G7" s="55" t="s">
        <v>96</v>
      </c>
      <c r="H7" s="42"/>
      <c r="J7" s="126" t="s">
        <v>69</v>
      </c>
      <c r="K7" s="126"/>
    </row>
    <row r="8" spans="1:15" s="43" customFormat="1" ht="15" x14ac:dyDescent="0.4">
      <c r="B8" s="44" t="s">
        <v>26</v>
      </c>
      <c r="C8" s="44" t="s">
        <v>27</v>
      </c>
      <c r="D8" s="44" t="s">
        <v>28</v>
      </c>
      <c r="E8" s="44" t="s">
        <v>29</v>
      </c>
      <c r="G8" s="45" t="s">
        <v>16</v>
      </c>
      <c r="H8" s="45" t="s">
        <v>15</v>
      </c>
      <c r="I8" s="45" t="s">
        <v>56</v>
      </c>
      <c r="J8" s="45" t="s">
        <v>16</v>
      </c>
      <c r="K8" s="45" t="s">
        <v>57</v>
      </c>
    </row>
    <row r="9" spans="1:15" x14ac:dyDescent="0.25">
      <c r="A9" s="40" t="s">
        <v>144</v>
      </c>
      <c r="B9" s="46">
        <v>153493.12039678753</v>
      </c>
      <c r="C9" s="46">
        <v>30039.039685448141</v>
      </c>
      <c r="D9" s="46">
        <v>101730.88419338339</v>
      </c>
      <c r="E9" s="46">
        <f>SUM(B9:D9)</f>
        <v>285263.04427561909</v>
      </c>
      <c r="F9" s="47"/>
      <c r="G9" s="52">
        <f>'Page 7'!G7</f>
        <v>1</v>
      </c>
      <c r="H9" s="52">
        <f>'Page 7'!H7</f>
        <v>0</v>
      </c>
      <c r="I9" s="48">
        <f t="shared" ref="I9" si="0">G9*B9</f>
        <v>153493.12039678753</v>
      </c>
      <c r="J9" s="47">
        <f t="shared" ref="J9" si="1">I9+D9+C9</f>
        <v>285263.04427561909</v>
      </c>
      <c r="K9" s="48">
        <f t="shared" ref="K9" si="2">H9*B9</f>
        <v>0</v>
      </c>
      <c r="O9" s="40"/>
    </row>
    <row r="10" spans="1:15" x14ac:dyDescent="0.25">
      <c r="A10" s="40" t="s">
        <v>112</v>
      </c>
      <c r="B10" s="46">
        <v>654678.40146619373</v>
      </c>
      <c r="C10" s="46">
        <v>121219.5984020008</v>
      </c>
      <c r="D10" s="46">
        <v>44106.783904634503</v>
      </c>
      <c r="E10" s="46">
        <f>SUM(B10:D10)</f>
        <v>820004.78377282911</v>
      </c>
      <c r="F10" s="47"/>
      <c r="G10" s="52">
        <f>'Page 7'!G8</f>
        <v>1</v>
      </c>
      <c r="H10" s="52">
        <f>'Page 7'!H8</f>
        <v>0</v>
      </c>
      <c r="I10" s="48">
        <f t="shared" ref="I10:I14" si="3">G10*B10</f>
        <v>654678.40146619373</v>
      </c>
      <c r="J10" s="47">
        <f t="shared" ref="J10:J14" si="4">I10+D10+C10</f>
        <v>820004.78377282911</v>
      </c>
      <c r="K10" s="48">
        <f t="shared" ref="K10:K14" si="5">H10*B10</f>
        <v>0</v>
      </c>
      <c r="M10" s="47"/>
      <c r="N10" s="47"/>
      <c r="O10" s="40"/>
    </row>
    <row r="11" spans="1:15" x14ac:dyDescent="0.25">
      <c r="A11" s="40" t="s">
        <v>113</v>
      </c>
      <c r="B11" s="46">
        <v>737986.01540476619</v>
      </c>
      <c r="C11" s="46">
        <v>39499.156512666974</v>
      </c>
      <c r="D11" s="46">
        <v>-5108.199473356718</v>
      </c>
      <c r="E11" s="46">
        <f t="shared" ref="E11:E16" si="6">SUM(B11:D11)</f>
        <v>772376.97244407644</v>
      </c>
      <c r="F11" s="47"/>
      <c r="G11" s="52">
        <f>'Page 7'!G9</f>
        <v>0.49599737329356186</v>
      </c>
      <c r="H11" s="52">
        <f>'Page 7'!H9</f>
        <v>0.50400262670643814</v>
      </c>
      <c r="I11" s="48">
        <f t="shared" si="3"/>
        <v>366039.1251681461</v>
      </c>
      <c r="J11" s="47">
        <f t="shared" si="4"/>
        <v>400430.08220745635</v>
      </c>
      <c r="K11" s="48">
        <f t="shared" si="5"/>
        <v>371946.89023662009</v>
      </c>
      <c r="M11" s="47"/>
      <c r="N11" s="47"/>
      <c r="O11" s="40"/>
    </row>
    <row r="12" spans="1:15" x14ac:dyDescent="0.25">
      <c r="A12" s="40" t="s">
        <v>124</v>
      </c>
      <c r="B12" s="46">
        <v>497960.66052369273</v>
      </c>
      <c r="C12" s="46">
        <v>881539.58276227617</v>
      </c>
      <c r="D12" s="46">
        <v>315208.24266533152</v>
      </c>
      <c r="E12" s="46">
        <f t="shared" si="6"/>
        <v>1694708.4859513005</v>
      </c>
      <c r="F12" s="47"/>
      <c r="G12" s="52">
        <f>'Page 7'!G10</f>
        <v>1</v>
      </c>
      <c r="H12" s="52">
        <f>'Page 7'!H10</f>
        <v>0</v>
      </c>
      <c r="I12" s="48">
        <f>G12*B12</f>
        <v>497960.66052369273</v>
      </c>
      <c r="J12" s="47">
        <f>I12+D12+C12</f>
        <v>1694708.4859513002</v>
      </c>
      <c r="K12" s="48">
        <f t="shared" si="5"/>
        <v>0</v>
      </c>
      <c r="M12" s="47"/>
      <c r="N12" s="47"/>
      <c r="O12" s="40"/>
    </row>
    <row r="13" spans="1:15" x14ac:dyDescent="0.25">
      <c r="A13" s="40" t="s">
        <v>88</v>
      </c>
      <c r="B13" s="46">
        <v>348650.25354836322</v>
      </c>
      <c r="C13" s="46">
        <v>208617.25202676281</v>
      </c>
      <c r="D13" s="46">
        <v>116042.30149089308</v>
      </c>
      <c r="E13" s="46">
        <f t="shared" si="6"/>
        <v>673309.80706601916</v>
      </c>
      <c r="F13" s="47"/>
      <c r="G13" s="52">
        <f>'Page 7'!G11</f>
        <v>1</v>
      </c>
      <c r="H13" s="52">
        <f>'Page 7'!H11</f>
        <v>0</v>
      </c>
      <c r="I13" s="48">
        <f t="shared" si="3"/>
        <v>348650.25354836322</v>
      </c>
      <c r="J13" s="47">
        <f t="shared" si="4"/>
        <v>673309.80706601916</v>
      </c>
      <c r="K13" s="48">
        <f t="shared" si="5"/>
        <v>0</v>
      </c>
      <c r="M13" s="47"/>
      <c r="N13" s="47"/>
      <c r="O13" s="40"/>
    </row>
    <row r="14" spans="1:15" x14ac:dyDescent="0.25">
      <c r="A14" s="40" t="s">
        <v>87</v>
      </c>
      <c r="B14" s="46">
        <v>965796.26246021001</v>
      </c>
      <c r="C14" s="46">
        <v>261982.02812543596</v>
      </c>
      <c r="D14" s="46">
        <v>192190.64527175293</v>
      </c>
      <c r="E14" s="46">
        <f t="shared" si="6"/>
        <v>1419968.9358573989</v>
      </c>
      <c r="F14" s="47"/>
      <c r="G14" s="52">
        <f>'Page 7'!G12</f>
        <v>1</v>
      </c>
      <c r="H14" s="52">
        <f>'Page 7'!H12</f>
        <v>0</v>
      </c>
      <c r="I14" s="48">
        <f t="shared" si="3"/>
        <v>965796.26246021001</v>
      </c>
      <c r="J14" s="47">
        <f t="shared" si="4"/>
        <v>1419968.9358573989</v>
      </c>
      <c r="K14" s="48">
        <f t="shared" si="5"/>
        <v>0</v>
      </c>
      <c r="M14" s="47"/>
      <c r="N14" s="47"/>
      <c r="O14" s="40"/>
    </row>
    <row r="15" spans="1:15" x14ac:dyDescent="0.25">
      <c r="A15" s="40" t="s">
        <v>97</v>
      </c>
      <c r="B15" s="46">
        <v>2501926.0045414432</v>
      </c>
      <c r="C15" s="46">
        <v>0</v>
      </c>
      <c r="D15" s="46">
        <v>1806549.0662237038</v>
      </c>
      <c r="E15" s="46">
        <f t="shared" si="6"/>
        <v>4308475.070765147</v>
      </c>
      <c r="G15" s="52">
        <v>1</v>
      </c>
      <c r="H15" s="52">
        <f>'Page 7'!H13</f>
        <v>0</v>
      </c>
      <c r="I15" s="48">
        <f t="shared" ref="I15:I16" si="7">G15*B15</f>
        <v>2501926.0045414432</v>
      </c>
      <c r="J15" s="47">
        <f t="shared" ref="J15:J16" si="8">I15+D15+C15</f>
        <v>4308475.070765147</v>
      </c>
      <c r="K15" s="48">
        <f t="shared" ref="K15:K16" si="9">H15*B15</f>
        <v>0</v>
      </c>
      <c r="M15" s="47"/>
      <c r="N15" s="47"/>
      <c r="O15" s="40"/>
    </row>
    <row r="16" spans="1:15" x14ac:dyDescent="0.25">
      <c r="A16" s="40" t="s">
        <v>109</v>
      </c>
      <c r="B16" s="46">
        <v>201912.94401675946</v>
      </c>
      <c r="C16" s="46">
        <v>0</v>
      </c>
      <c r="D16" s="46">
        <v>0</v>
      </c>
      <c r="E16" s="46">
        <f t="shared" si="6"/>
        <v>201912.94401675946</v>
      </c>
      <c r="G16" s="52">
        <v>1</v>
      </c>
      <c r="H16" s="52">
        <f>'Page 7'!H14</f>
        <v>0</v>
      </c>
      <c r="I16" s="48">
        <f t="shared" si="7"/>
        <v>201912.94401675946</v>
      </c>
      <c r="J16" s="47">
        <f t="shared" si="8"/>
        <v>201912.94401675946</v>
      </c>
      <c r="K16" s="48">
        <f t="shared" si="9"/>
        <v>0</v>
      </c>
      <c r="M16" s="47"/>
      <c r="N16" s="47"/>
      <c r="O16" s="40"/>
    </row>
    <row r="17" spans="1:15" customFormat="1" x14ac:dyDescent="0.25"/>
    <row r="18" spans="1:15" x14ac:dyDescent="0.25">
      <c r="A18" s="40" t="s">
        <v>30</v>
      </c>
      <c r="B18" s="46">
        <f>SUM(B9:B17)</f>
        <v>6062403.662358216</v>
      </c>
      <c r="C18" s="46">
        <f>SUM(C9:C17)</f>
        <v>1542896.657514591</v>
      </c>
      <c r="D18" s="46">
        <f>SUM(D9:D17)</f>
        <v>2570719.7242763424</v>
      </c>
      <c r="E18" s="46">
        <f>SUM(E9:E17)</f>
        <v>10176020.044149149</v>
      </c>
      <c r="I18" s="46">
        <f>SUM(I9:I17)</f>
        <v>5690456.7721215962</v>
      </c>
      <c r="J18" s="46">
        <f>SUM(J9:J17)</f>
        <v>9804073.1539125293</v>
      </c>
      <c r="K18" s="46">
        <f>SUM(K9:K17)</f>
        <v>371946.89023662009</v>
      </c>
      <c r="O18" s="40"/>
    </row>
    <row r="19" spans="1:15" x14ac:dyDescent="0.25">
      <c r="B19" s="46"/>
      <c r="C19" s="46"/>
      <c r="D19" s="46"/>
      <c r="E19" s="46"/>
      <c r="I19" s="48"/>
      <c r="J19" s="47"/>
      <c r="K19" s="47"/>
      <c r="O19" s="40"/>
    </row>
    <row r="20" spans="1:15" x14ac:dyDescent="0.25">
      <c r="B20" s="46"/>
      <c r="C20" s="46"/>
      <c r="D20" s="46"/>
      <c r="E20" s="46"/>
      <c r="I20" s="48"/>
      <c r="J20" s="47"/>
      <c r="K20" s="47"/>
      <c r="O20" s="40"/>
    </row>
    <row r="21" spans="1:15" x14ac:dyDescent="0.25">
      <c r="B21" s="53" t="s">
        <v>100</v>
      </c>
      <c r="I21" s="48"/>
      <c r="O21" s="40"/>
    </row>
    <row r="22" spans="1:15" ht="29.25" customHeight="1" x14ac:dyDescent="0.25">
      <c r="C22" s="43" t="s">
        <v>24</v>
      </c>
      <c r="D22" s="43" t="s">
        <v>25</v>
      </c>
      <c r="G22" s="55" t="s">
        <v>96</v>
      </c>
      <c r="H22" s="42"/>
      <c r="I22" s="43"/>
      <c r="J22" s="126" t="s">
        <v>69</v>
      </c>
      <c r="K22" s="126"/>
      <c r="O22" s="40"/>
    </row>
    <row r="23" spans="1:15" ht="15" x14ac:dyDescent="0.4">
      <c r="B23" s="45" t="s">
        <v>26</v>
      </c>
      <c r="C23" s="45" t="s">
        <v>27</v>
      </c>
      <c r="D23" s="45" t="s">
        <v>28</v>
      </c>
      <c r="E23" s="45" t="s">
        <v>29</v>
      </c>
      <c r="G23" s="45" t="s">
        <v>16</v>
      </c>
      <c r="H23" s="45" t="s">
        <v>15</v>
      </c>
      <c r="I23" s="37" t="str">
        <f>I8</f>
        <v>Electric Costs</v>
      </c>
      <c r="J23" s="45" t="s">
        <v>16</v>
      </c>
      <c r="K23" s="45" t="s">
        <v>15</v>
      </c>
      <c r="O23" s="40"/>
    </row>
    <row r="24" spans="1:15" x14ac:dyDescent="0.25">
      <c r="B24" s="46"/>
      <c r="C24" s="46"/>
      <c r="D24" s="46"/>
      <c r="E24" s="46"/>
      <c r="G24" s="49"/>
      <c r="H24" s="49"/>
      <c r="I24" s="48"/>
      <c r="J24" s="47"/>
      <c r="K24" s="43"/>
    </row>
    <row r="25" spans="1:15" x14ac:dyDescent="0.25">
      <c r="A25" s="40" t="s">
        <v>111</v>
      </c>
      <c r="B25" s="46">
        <v>1187273.0445379766</v>
      </c>
      <c r="C25" s="46">
        <v>783885.31039460551</v>
      </c>
      <c r="D25" s="46">
        <v>588132.69472166139</v>
      </c>
      <c r="E25" s="46">
        <f>SUM(B25:D25)</f>
        <v>2559291.0496542435</v>
      </c>
      <c r="G25" s="49">
        <v>1</v>
      </c>
      <c r="H25" s="49">
        <v>0</v>
      </c>
      <c r="I25" s="48">
        <f>G25*B25</f>
        <v>1187273.0445379766</v>
      </c>
      <c r="J25" s="47">
        <f>I25+D25+C25</f>
        <v>2559291.0496542435</v>
      </c>
      <c r="K25" s="43" t="s">
        <v>17</v>
      </c>
      <c r="O25" s="40"/>
    </row>
    <row r="26" spans="1:15" x14ac:dyDescent="0.25">
      <c r="A26" s="40" t="s">
        <v>110</v>
      </c>
      <c r="B26" s="46">
        <v>1241195.6993054065</v>
      </c>
      <c r="C26" s="46">
        <v>518837.91956942435</v>
      </c>
      <c r="D26" s="46">
        <v>889287.96172467899</v>
      </c>
      <c r="E26" s="46">
        <f>SUM(B26:D26)</f>
        <v>2649321.5805995101</v>
      </c>
      <c r="G26" s="49">
        <f>1-H26</f>
        <v>1</v>
      </c>
      <c r="H26" s="49">
        <v>0</v>
      </c>
      <c r="I26" s="48">
        <f>G26*B26</f>
        <v>1241195.6993054065</v>
      </c>
      <c r="J26" s="47">
        <f t="shared" ref="J26:J27" si="10">I26+D26+C26</f>
        <v>2649321.5805995101</v>
      </c>
      <c r="K26" s="43" t="s">
        <v>17</v>
      </c>
    </row>
    <row r="27" spans="1:15" x14ac:dyDescent="0.25">
      <c r="A27" s="40" t="s">
        <v>98</v>
      </c>
      <c r="B27" s="46">
        <v>630680.66379840102</v>
      </c>
      <c r="C27" s="46">
        <v>0</v>
      </c>
      <c r="D27" s="46">
        <v>212730.73515400925</v>
      </c>
      <c r="E27" s="46">
        <f>SUM(B27:D27)</f>
        <v>843411.39895241032</v>
      </c>
      <c r="G27" s="49">
        <v>1</v>
      </c>
      <c r="H27" s="49">
        <v>0</v>
      </c>
      <c r="I27" s="48">
        <f t="shared" ref="I27" si="11">G27*B27</f>
        <v>630680.66379840102</v>
      </c>
      <c r="J27" s="47">
        <f t="shared" si="10"/>
        <v>843411.39895241032</v>
      </c>
      <c r="K27" s="43" t="s">
        <v>17</v>
      </c>
      <c r="O27" s="40"/>
    </row>
    <row r="28" spans="1:15" x14ac:dyDescent="0.25">
      <c r="B28"/>
      <c r="C28"/>
      <c r="D28"/>
      <c r="E28" s="46"/>
      <c r="I28" s="47"/>
      <c r="O28" s="40"/>
    </row>
    <row r="29" spans="1:15" x14ac:dyDescent="0.25">
      <c r="A29" s="40" t="s">
        <v>30</v>
      </c>
      <c r="B29" s="46">
        <f>SUM(B25:B27)</f>
        <v>3059149.4076417843</v>
      </c>
      <c r="C29" s="46">
        <f>SUM(C25:C27)</f>
        <v>1302723.22996403</v>
      </c>
      <c r="D29" s="46">
        <f>SUM(D25:D27)</f>
        <v>1690151.3916003497</v>
      </c>
      <c r="E29" s="46">
        <f>SUM(E25:E27)</f>
        <v>6052024.0292061642</v>
      </c>
      <c r="I29" s="46">
        <f>SUM(I25:I27)</f>
        <v>3059149.4076417843</v>
      </c>
      <c r="J29" s="46">
        <f>SUM(J25:J27)</f>
        <v>6052024.0292061642</v>
      </c>
      <c r="K29" s="43" t="s">
        <v>17</v>
      </c>
      <c r="O29" s="40"/>
    </row>
    <row r="30" spans="1:15" x14ac:dyDescent="0.25">
      <c r="B30" s="46"/>
      <c r="C30" s="46"/>
      <c r="D30" s="46"/>
      <c r="E30" s="46"/>
      <c r="I30" s="47"/>
      <c r="J30" s="47"/>
      <c r="O30" s="40"/>
    </row>
    <row r="31" spans="1:15" x14ac:dyDescent="0.25">
      <c r="A31" s="50" t="s">
        <v>79</v>
      </c>
      <c r="B31" s="47">
        <f>SUM(B18,B29)</f>
        <v>9121553.0700000003</v>
      </c>
      <c r="C31" s="47">
        <f>SUM(C18,C29)</f>
        <v>2845619.8874786207</v>
      </c>
      <c r="D31" s="47">
        <f>SUM(D18,D29)</f>
        <v>4260871.1158766923</v>
      </c>
      <c r="E31" s="47">
        <f>SUM(E18,E29)</f>
        <v>16228044.073355313</v>
      </c>
      <c r="O31" s="40"/>
    </row>
    <row r="32" spans="1:15" x14ac:dyDescent="0.25">
      <c r="C32" s="47"/>
      <c r="D32" s="47"/>
      <c r="O32" s="40"/>
    </row>
    <row r="34" spans="1:15" x14ac:dyDescent="0.25">
      <c r="O34" s="40"/>
    </row>
    <row r="35" spans="1:15" x14ac:dyDescent="0.25">
      <c r="A35" s="40" t="s">
        <v>147</v>
      </c>
      <c r="O35" s="40"/>
    </row>
    <row r="36" spans="1:15" x14ac:dyDescent="0.25">
      <c r="A36" s="40" t="s">
        <v>104</v>
      </c>
      <c r="O36" s="40"/>
    </row>
    <row r="37" spans="1:15" x14ac:dyDescent="0.25">
      <c r="A37" s="40" t="s">
        <v>114</v>
      </c>
    </row>
  </sheetData>
  <mergeCells count="2">
    <mergeCell ref="J7:K7"/>
    <mergeCell ref="J22:K22"/>
  </mergeCells>
  <phoneticPr fontId="9" type="noConversion"/>
  <pageMargins left="0.2" right="0.2" top="0.57573529411764701" bottom="0.2" header="0.2" footer="0.2"/>
  <pageSetup paperSize="5" scale="58" orientation="landscape" r:id="rId1"/>
  <headerFooter alignWithMargins="0">
    <oddHeader>&amp;R&amp;"Times New Roman,Bold"KyPSC Case No. 2025-00359
Appendix C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view="pageLayout" zoomScaleNormal="80" workbookViewId="0">
      <selection activeCell="N4" sqref="N4"/>
    </sheetView>
  </sheetViews>
  <sheetFormatPr defaultColWidth="9.109375" defaultRowHeight="13.2" x14ac:dyDescent="0.25"/>
  <cols>
    <col min="2" max="2" width="28.5546875" customWidth="1"/>
    <col min="3" max="3" width="17.5546875" customWidth="1"/>
    <col min="4" max="5" width="14.109375" customWidth="1"/>
    <col min="8" max="8" width="10.44140625" customWidth="1"/>
    <col min="12" max="12" width="10.5546875" customWidth="1"/>
    <col min="14" max="14" width="11.44140625" bestFit="1" customWidth="1"/>
  </cols>
  <sheetData>
    <row r="1" spans="2:14" x14ac:dyDescent="0.25">
      <c r="B1" t="str">
        <f>'Page 1'!E3</f>
        <v>Kentucky DSM Rider</v>
      </c>
      <c r="D1" s="27"/>
    </row>
    <row r="3" spans="2:14" x14ac:dyDescent="0.25">
      <c r="B3" t="s">
        <v>72</v>
      </c>
    </row>
    <row r="4" spans="2:14" x14ac:dyDescent="0.25">
      <c r="B4" s="19" t="s">
        <v>67</v>
      </c>
    </row>
    <row r="5" spans="2:14" x14ac:dyDescent="0.25">
      <c r="B5" t="s">
        <v>85</v>
      </c>
    </row>
    <row r="7" spans="2:14" x14ac:dyDescent="0.25">
      <c r="B7" s="19" t="s">
        <v>138</v>
      </c>
    </row>
    <row r="10" spans="2:14" x14ac:dyDescent="0.25">
      <c r="D10" s="35" t="s">
        <v>31</v>
      </c>
    </row>
    <row r="11" spans="2:14" x14ac:dyDescent="0.25">
      <c r="D11" s="73" t="s">
        <v>32</v>
      </c>
    </row>
    <row r="12" spans="2:14" x14ac:dyDescent="0.25">
      <c r="B12" s="22" t="s">
        <v>33</v>
      </c>
    </row>
    <row r="14" spans="2:14" x14ac:dyDescent="0.25">
      <c r="B14" t="s">
        <v>34</v>
      </c>
      <c r="D14" s="89">
        <f>'Page 2'!J18</f>
        <v>9804073.1539125293</v>
      </c>
    </row>
    <row r="15" spans="2:14" x14ac:dyDescent="0.25">
      <c r="D15" s="1"/>
    </row>
    <row r="16" spans="2:14" x14ac:dyDescent="0.25">
      <c r="B16" t="s">
        <v>75</v>
      </c>
      <c r="D16" s="1"/>
      <c r="H16" s="3"/>
      <c r="I16" s="3"/>
      <c r="J16" s="3"/>
      <c r="K16" s="3"/>
      <c r="L16" s="4"/>
      <c r="N16" s="3"/>
    </row>
    <row r="17" spans="2:14" x14ac:dyDescent="0.25">
      <c r="B17" t="s">
        <v>35</v>
      </c>
      <c r="D17" s="1">
        <f>'Page 2'!J29-'Page 2'!J27</f>
        <v>5208612.6302537536</v>
      </c>
      <c r="N17" s="4"/>
    </row>
    <row r="18" spans="2:14" x14ac:dyDescent="0.25">
      <c r="D18" s="1"/>
    </row>
    <row r="19" spans="2:14" x14ac:dyDescent="0.25">
      <c r="B19" t="s">
        <v>77</v>
      </c>
      <c r="D19" s="1"/>
      <c r="H19" s="3"/>
    </row>
    <row r="20" spans="2:14" x14ac:dyDescent="0.25">
      <c r="B20" t="s">
        <v>76</v>
      </c>
      <c r="D20" s="1">
        <f>'Page 2'!J27</f>
        <v>843411.39895241032</v>
      </c>
    </row>
    <row r="21" spans="2:14" x14ac:dyDescent="0.25">
      <c r="D21" s="1"/>
    </row>
    <row r="22" spans="2:14" x14ac:dyDescent="0.25">
      <c r="B22" s="22" t="s">
        <v>36</v>
      </c>
      <c r="D22" s="1"/>
    </row>
    <row r="23" spans="2:14" x14ac:dyDescent="0.25">
      <c r="B23" t="s">
        <v>34</v>
      </c>
      <c r="D23" s="1">
        <f>'Page 2'!K18</f>
        <v>371946.89023662009</v>
      </c>
    </row>
    <row r="26" spans="2:14" x14ac:dyDescent="0.25">
      <c r="B26" s="19" t="s">
        <v>131</v>
      </c>
    </row>
  </sheetData>
  <phoneticPr fontId="9" type="noConversion"/>
  <pageMargins left="0.2" right="0.2" top="0.57573529411764701" bottom="0.2" header="0.2" footer="0.2"/>
  <pageSetup scale="58" orientation="portrait" r:id="rId1"/>
  <headerFooter alignWithMargins="0">
    <oddHeader>&amp;R&amp;"Times New Roman,Bold"KyPSC Case No. 2025-00359
Appendix C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2"/>
  <sheetViews>
    <sheetView view="pageLayout" zoomScaleNormal="80" workbookViewId="0">
      <selection activeCell="N4" sqref="N4"/>
    </sheetView>
  </sheetViews>
  <sheetFormatPr defaultColWidth="9.109375" defaultRowHeight="13.2" x14ac:dyDescent="0.25"/>
  <cols>
    <col min="2" max="2" width="30.88671875" customWidth="1"/>
    <col min="3" max="3" width="16.44140625" customWidth="1"/>
    <col min="4" max="4" width="12.88671875" bestFit="1" customWidth="1"/>
    <col min="5" max="5" width="15.109375" bestFit="1" customWidth="1"/>
    <col min="6" max="6" width="10.44140625" customWidth="1"/>
    <col min="7" max="7" width="11.44140625" customWidth="1"/>
    <col min="11" max="11" width="11.44140625" customWidth="1"/>
  </cols>
  <sheetData>
    <row r="1" spans="2:13" x14ac:dyDescent="0.25">
      <c r="B1" t="str">
        <f>'Page 1'!E3</f>
        <v>Kentucky DSM Rider</v>
      </c>
      <c r="C1" s="27"/>
    </row>
    <row r="3" spans="2:13" x14ac:dyDescent="0.25">
      <c r="B3" t="str">
        <f>'Page 3'!B3</f>
        <v>Duke Energy Kentucky</v>
      </c>
    </row>
    <row r="4" spans="2:13" x14ac:dyDescent="0.25">
      <c r="B4" s="19" t="s">
        <v>67</v>
      </c>
    </row>
    <row r="5" spans="2:13" x14ac:dyDescent="0.25">
      <c r="B5" t="s">
        <v>37</v>
      </c>
    </row>
    <row r="8" spans="2:13" ht="14.4" x14ac:dyDescent="0.3">
      <c r="B8" t="s">
        <v>38</v>
      </c>
      <c r="C8" s="109" t="s">
        <v>137</v>
      </c>
      <c r="E8" s="19"/>
    </row>
    <row r="9" spans="2:13" x14ac:dyDescent="0.25">
      <c r="E9" s="19"/>
    </row>
    <row r="10" spans="2:13" x14ac:dyDescent="0.25">
      <c r="B10" t="s">
        <v>80</v>
      </c>
    </row>
    <row r="12" spans="2:13" ht="14.4" x14ac:dyDescent="0.3">
      <c r="B12" t="s">
        <v>41</v>
      </c>
      <c r="C12" s="107">
        <v>1512856770</v>
      </c>
      <c r="E12" s="3"/>
      <c r="F12" s="19"/>
      <c r="G12" s="3"/>
      <c r="H12" s="3"/>
      <c r="I12" s="3"/>
      <c r="J12" s="3"/>
      <c r="K12" s="4"/>
      <c r="M12" s="3"/>
    </row>
    <row r="13" spans="2:13" x14ac:dyDescent="0.25">
      <c r="C13" s="3"/>
      <c r="M13" s="4"/>
    </row>
    <row r="14" spans="2:13" ht="14.4" x14ac:dyDescent="0.3">
      <c r="B14" t="s">
        <v>39</v>
      </c>
      <c r="C14" s="106"/>
    </row>
    <row r="15" spans="2:13" ht="14.4" x14ac:dyDescent="0.3">
      <c r="B15" t="s">
        <v>40</v>
      </c>
      <c r="C15" s="107">
        <v>2248044740</v>
      </c>
      <c r="F15" s="19"/>
      <c r="G15" s="3"/>
    </row>
    <row r="16" spans="2:13" x14ac:dyDescent="0.25">
      <c r="C16" s="4"/>
    </row>
    <row r="17" spans="2:6" ht="14.4" x14ac:dyDescent="0.3">
      <c r="B17" t="s">
        <v>39</v>
      </c>
      <c r="C17" s="106"/>
      <c r="F17" s="4"/>
    </row>
    <row r="18" spans="2:6" ht="14.4" x14ac:dyDescent="0.3">
      <c r="B18" t="s">
        <v>73</v>
      </c>
      <c r="C18" s="107">
        <v>2433827740</v>
      </c>
      <c r="F18" s="4"/>
    </row>
    <row r="19" spans="2:6" x14ac:dyDescent="0.25">
      <c r="C19" s="3"/>
      <c r="D19" s="23"/>
    </row>
    <row r="20" spans="2:6" ht="14.4" x14ac:dyDescent="0.3">
      <c r="B20" t="s">
        <v>81</v>
      </c>
      <c r="C20" s="106"/>
    </row>
    <row r="21" spans="2:6" x14ac:dyDescent="0.25">
      <c r="C21" s="3"/>
    </row>
    <row r="22" spans="2:6" ht="14.4" x14ac:dyDescent="0.3">
      <c r="B22" t="s">
        <v>41</v>
      </c>
      <c r="C22" s="107">
        <v>61478655.576050237</v>
      </c>
      <c r="E22" s="3"/>
      <c r="F22" s="19"/>
    </row>
  </sheetData>
  <phoneticPr fontId="9" type="noConversion"/>
  <pageMargins left="0.2" right="0.2" top="0.57573529411764701" bottom="0.2" header="0.2" footer="0.2"/>
  <pageSetup scale="58" orientation="portrait" r:id="rId1"/>
  <headerFooter alignWithMargins="0">
    <oddHeader>&amp;R&amp;"Times New Roman,Bold"KyPSC Case No. 2025-00359
Appendix C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38"/>
  <sheetViews>
    <sheetView view="pageLayout" zoomScaleNormal="80" workbookViewId="0">
      <selection activeCell="N4" sqref="N4"/>
    </sheetView>
  </sheetViews>
  <sheetFormatPr defaultColWidth="9.109375" defaultRowHeight="13.2" x14ac:dyDescent="0.25"/>
  <cols>
    <col min="1" max="1" width="8.109375" customWidth="1"/>
    <col min="2" max="2" width="11.5546875" customWidth="1"/>
    <col min="3" max="3" width="16.5546875" customWidth="1"/>
    <col min="4" max="4" width="15.88671875" customWidth="1"/>
    <col min="5" max="5" width="1.44140625" customWidth="1"/>
    <col min="6" max="6" width="15.44140625" customWidth="1"/>
    <col min="7" max="7" width="13.109375" customWidth="1"/>
    <col min="8" max="8" width="18.44140625" customWidth="1"/>
    <col min="9" max="9" width="14.5546875" customWidth="1"/>
    <col min="10" max="10" width="6.109375" customWidth="1"/>
    <col min="11" max="11" width="22" customWidth="1"/>
    <col min="12" max="12" width="8.5546875" bestFit="1" customWidth="1"/>
    <col min="13" max="13" width="12.109375" customWidth="1"/>
    <col min="14" max="14" width="21.44140625" customWidth="1"/>
    <col min="16" max="16" width="25" customWidth="1"/>
    <col min="17" max="17" width="14" customWidth="1"/>
  </cols>
  <sheetData>
    <row r="1" spans="2:13" x14ac:dyDescent="0.25">
      <c r="B1" t="str">
        <f>'Page 1'!E3</f>
        <v>Kentucky DSM Rider</v>
      </c>
      <c r="M1" s="21"/>
    </row>
    <row r="3" spans="2:13" x14ac:dyDescent="0.25">
      <c r="B3" t="str">
        <f>'Page 4'!B3</f>
        <v>Duke Energy Kentucky</v>
      </c>
    </row>
    <row r="4" spans="2:13" x14ac:dyDescent="0.25">
      <c r="B4" s="19" t="s">
        <v>67</v>
      </c>
    </row>
    <row r="5" spans="2:13" x14ac:dyDescent="0.25">
      <c r="B5" t="s">
        <v>42</v>
      </c>
    </row>
    <row r="7" spans="2:13" x14ac:dyDescent="0.25">
      <c r="B7" s="19" t="s">
        <v>130</v>
      </c>
    </row>
    <row r="9" spans="2:13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1" spans="2:13" x14ac:dyDescent="0.25">
      <c r="G11" s="10" t="s">
        <v>43</v>
      </c>
      <c r="H11" s="10" t="s">
        <v>44</v>
      </c>
      <c r="I11" s="10" t="s">
        <v>45</v>
      </c>
    </row>
    <row r="12" spans="2:13" x14ac:dyDescent="0.25">
      <c r="B12" t="s">
        <v>46</v>
      </c>
      <c r="F12" s="10" t="s">
        <v>47</v>
      </c>
      <c r="G12" s="10" t="s">
        <v>31</v>
      </c>
      <c r="H12" s="10" t="s">
        <v>48</v>
      </c>
      <c r="I12" s="10" t="s">
        <v>49</v>
      </c>
      <c r="K12" t="s">
        <v>50</v>
      </c>
    </row>
    <row r="13" spans="2:13" x14ac:dyDescent="0.25">
      <c r="B13" t="s">
        <v>71</v>
      </c>
      <c r="F13" s="10" t="s">
        <v>53</v>
      </c>
      <c r="G13" s="10" t="s">
        <v>54</v>
      </c>
      <c r="H13" s="10" t="s">
        <v>51</v>
      </c>
      <c r="I13" s="10" t="s">
        <v>55</v>
      </c>
      <c r="K13" t="s">
        <v>68</v>
      </c>
    </row>
    <row r="14" spans="2:13" x14ac:dyDescent="0.25">
      <c r="B14" s="22" t="s">
        <v>33</v>
      </c>
      <c r="C14" s="22"/>
    </row>
    <row r="15" spans="2:13" x14ac:dyDescent="0.25">
      <c r="B15" t="s">
        <v>34</v>
      </c>
      <c r="D15" s="18"/>
      <c r="F15" s="1">
        <f>'Page 1'!O19*Q33</f>
        <v>-1461475.6937999772</v>
      </c>
      <c r="G15" s="89">
        <f>'Page 2'!J18</f>
        <v>9804073.1539125293</v>
      </c>
      <c r="H15" s="2">
        <f>SUM(D15:G15)</f>
        <v>8342597.4601125522</v>
      </c>
      <c r="I15" s="3">
        <f>'Page 4'!C12</f>
        <v>1512856770</v>
      </c>
      <c r="J15" s="18" t="s">
        <v>82</v>
      </c>
      <c r="K15" s="90">
        <f>H15/(I15)</f>
        <v>5.5144661580306458E-3</v>
      </c>
      <c r="L15" t="s">
        <v>52</v>
      </c>
    </row>
    <row r="16" spans="2:13" x14ac:dyDescent="0.25">
      <c r="F16" s="3"/>
      <c r="J16" s="18"/>
    </row>
    <row r="17" spans="2:12" x14ac:dyDescent="0.25">
      <c r="B17" t="s">
        <v>75</v>
      </c>
      <c r="F17" s="3"/>
      <c r="J17" s="18"/>
    </row>
    <row r="18" spans="2:12" x14ac:dyDescent="0.25">
      <c r="B18" t="s">
        <v>35</v>
      </c>
      <c r="D18" s="1"/>
      <c r="F18" s="89">
        <f>'Page 1'!J37*Q33</f>
        <v>-2733054.8840084299</v>
      </c>
      <c r="G18" s="1">
        <f>'Page 2'!J29-'Page 2'!J27</f>
        <v>5208612.6302537536</v>
      </c>
      <c r="H18" s="2">
        <f>SUM(D18:G18)</f>
        <v>2475557.7462453237</v>
      </c>
      <c r="I18" s="3">
        <f>'Page 4'!C15</f>
        <v>2248044740</v>
      </c>
      <c r="J18" s="18" t="s">
        <v>82</v>
      </c>
      <c r="K18" s="91">
        <f>H18/(I18)</f>
        <v>1.1012048391195826E-3</v>
      </c>
      <c r="L18" t="s">
        <v>52</v>
      </c>
    </row>
    <row r="19" spans="2:12" x14ac:dyDescent="0.25">
      <c r="D19" s="1"/>
      <c r="F19" s="1"/>
      <c r="G19" s="1"/>
      <c r="H19" s="2"/>
      <c r="I19" s="3"/>
      <c r="J19" s="18"/>
      <c r="K19" s="18"/>
    </row>
    <row r="20" spans="2:12" x14ac:dyDescent="0.25">
      <c r="B20" t="s">
        <v>77</v>
      </c>
      <c r="G20" s="1"/>
      <c r="H20" s="2"/>
      <c r="I20" s="3"/>
      <c r="J20" s="18"/>
      <c r="K20" s="18"/>
    </row>
    <row r="21" spans="2:12" x14ac:dyDescent="0.25">
      <c r="B21" t="s">
        <v>76</v>
      </c>
      <c r="F21" s="1"/>
      <c r="G21" s="1"/>
      <c r="H21" s="2"/>
      <c r="I21" s="3"/>
      <c r="J21" s="18"/>
      <c r="K21" s="18"/>
    </row>
    <row r="22" spans="2:12" x14ac:dyDescent="0.25">
      <c r="B22" t="s">
        <v>74</v>
      </c>
      <c r="D22" s="1"/>
      <c r="F22" s="89">
        <f>'Page 1'!J39*Q33</f>
        <v>-714931.07536067278</v>
      </c>
      <c r="G22" s="1">
        <f>'Page 2'!J27</f>
        <v>843411.39895241032</v>
      </c>
      <c r="H22" s="2">
        <f>SUM(D22:G22)</f>
        <v>128480.32359173754</v>
      </c>
      <c r="I22" s="3">
        <f>'Page 4'!C18</f>
        <v>2433827740</v>
      </c>
      <c r="J22" s="18" t="s">
        <v>82</v>
      </c>
      <c r="K22" s="91">
        <f>H22/(I22)</f>
        <v>5.2789407187764876E-5</v>
      </c>
      <c r="L22" t="s">
        <v>52</v>
      </c>
    </row>
    <row r="23" spans="2:12" x14ac:dyDescent="0.25">
      <c r="D23" s="1"/>
      <c r="F23" s="1"/>
      <c r="G23" s="1"/>
      <c r="H23" s="2"/>
      <c r="I23" s="3"/>
      <c r="J23" s="18"/>
      <c r="K23" s="18"/>
    </row>
    <row r="24" spans="2:12" x14ac:dyDescent="0.25">
      <c r="B24" t="s">
        <v>78</v>
      </c>
      <c r="D24" s="1"/>
      <c r="F24" s="1"/>
      <c r="G24" s="1"/>
      <c r="H24" s="2"/>
      <c r="I24" s="3"/>
      <c r="J24" s="18"/>
      <c r="K24" s="18"/>
    </row>
    <row r="25" spans="2:12" x14ac:dyDescent="0.25">
      <c r="B25" t="s">
        <v>35</v>
      </c>
      <c r="D25" s="1"/>
      <c r="F25" s="1"/>
      <c r="G25" s="1"/>
      <c r="H25" s="2"/>
      <c r="I25" s="3"/>
      <c r="J25" s="18"/>
      <c r="K25" s="91">
        <f>K18+K22</f>
        <v>1.1539942463073475E-3</v>
      </c>
      <c r="L25" t="str">
        <f>L22</f>
        <v>$/kWh</v>
      </c>
    </row>
    <row r="26" spans="2:12" x14ac:dyDescent="0.25">
      <c r="F26" s="3"/>
    </row>
    <row r="27" spans="2:12" x14ac:dyDescent="0.25">
      <c r="B27" s="22" t="s">
        <v>36</v>
      </c>
      <c r="F27" s="3"/>
    </row>
    <row r="28" spans="2:12" x14ac:dyDescent="0.25">
      <c r="B28" t="s">
        <v>34</v>
      </c>
      <c r="D28" s="18"/>
      <c r="F28" s="1">
        <f>'Page 1'!N19*Q33</f>
        <v>515814.13663706247</v>
      </c>
      <c r="G28" s="1">
        <f>'Page 2'!K18</f>
        <v>371946.89023662009</v>
      </c>
      <c r="H28" s="2">
        <f>SUM(D28:G28)</f>
        <v>887761.02687368263</v>
      </c>
      <c r="I28" s="3">
        <f>'Page 4'!C22</f>
        <v>61478655.576050237</v>
      </c>
      <c r="J28" s="18" t="s">
        <v>83</v>
      </c>
      <c r="K28" s="18">
        <f>H28/(I28)</f>
        <v>1.4440150301847537E-2</v>
      </c>
      <c r="L28" t="s">
        <v>84</v>
      </c>
    </row>
    <row r="30" spans="2:12" x14ac:dyDescent="0.25">
      <c r="C30" t="s">
        <v>70</v>
      </c>
      <c r="H30" s="2">
        <f>SUM(H15:H29)</f>
        <v>11834396.556823295</v>
      </c>
    </row>
    <row r="31" spans="2:12" x14ac:dyDescent="0.25">
      <c r="H31" s="2"/>
    </row>
    <row r="33" spans="2:19" x14ac:dyDescent="0.25">
      <c r="B33" s="25" t="s">
        <v>149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  <c r="Q33" s="92">
        <v>1.0457000000000001</v>
      </c>
    </row>
    <row r="34" spans="2:19" x14ac:dyDescent="0.25">
      <c r="B34" s="19" t="s">
        <v>143</v>
      </c>
      <c r="Q34" s="92"/>
    </row>
    <row r="35" spans="2:19" x14ac:dyDescent="0.25">
      <c r="B35" s="19" t="s">
        <v>142</v>
      </c>
      <c r="S35" s="86"/>
    </row>
    <row r="38" spans="2:19" x14ac:dyDescent="0.25">
      <c r="Q38" s="3"/>
    </row>
  </sheetData>
  <phoneticPr fontId="9" type="noConversion"/>
  <pageMargins left="0.2" right="0.2" top="0.57573529411764701" bottom="0.2" header="0.2" footer="0.2"/>
  <pageSetup paperSize="5" scale="58" orientation="landscape" r:id="rId1"/>
  <headerFooter alignWithMargins="0">
    <oddHeader>&amp;R&amp;"Times New Roman,Bold"KyPSC Case No. 2025-00359
Appendix C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19"/>
  <sheetViews>
    <sheetView view="pageLayout" zoomScaleNormal="80" workbookViewId="0">
      <selection activeCell="N4" sqref="N4"/>
    </sheetView>
  </sheetViews>
  <sheetFormatPr defaultColWidth="9.109375" defaultRowHeight="13.2" x14ac:dyDescent="0.25"/>
  <cols>
    <col min="1" max="1" width="44.44140625" style="56" bestFit="1" customWidth="1"/>
    <col min="2" max="2" width="18.44140625" style="56" customWidth="1"/>
    <col min="3" max="3" width="14.5546875" style="56" customWidth="1"/>
    <col min="4" max="4" width="12.44140625" style="56" customWidth="1"/>
    <col min="5" max="5" width="13" style="56" customWidth="1"/>
    <col min="6" max="6" width="1.44140625" style="56" customWidth="1"/>
    <col min="7" max="8" width="17.109375" style="56" customWidth="1"/>
    <col min="9" max="9" width="9.44140625" style="56" customWidth="1"/>
    <col min="10" max="16384" width="9.109375" style="56"/>
  </cols>
  <sheetData>
    <row r="3" spans="1:8" x14ac:dyDescent="0.25">
      <c r="A3" s="57"/>
      <c r="F3" s="57"/>
    </row>
    <row r="4" spans="1:8" ht="44.25" customHeight="1" x14ac:dyDescent="0.25">
      <c r="A4" s="64" t="s">
        <v>127</v>
      </c>
      <c r="G4" s="127" t="s">
        <v>129</v>
      </c>
      <c r="H4" s="127"/>
    </row>
    <row r="5" spans="1:8" x14ac:dyDescent="0.25">
      <c r="A5" s="57"/>
      <c r="G5" s="38"/>
      <c r="H5" s="38"/>
    </row>
    <row r="6" spans="1:8" ht="26.4" x14ac:dyDescent="0.25">
      <c r="A6" s="116" t="s">
        <v>18</v>
      </c>
      <c r="B6" s="65" t="s">
        <v>82</v>
      </c>
      <c r="C6" s="39" t="s">
        <v>92</v>
      </c>
      <c r="D6" s="66" t="s">
        <v>90</v>
      </c>
      <c r="E6" s="39" t="s">
        <v>92</v>
      </c>
      <c r="G6" s="39" t="s">
        <v>94</v>
      </c>
      <c r="H6" s="39" t="s">
        <v>95</v>
      </c>
    </row>
    <row r="7" spans="1:8" x14ac:dyDescent="0.25">
      <c r="A7" t="s">
        <v>112</v>
      </c>
      <c r="B7" s="82">
        <v>625675.50000000163</v>
      </c>
      <c r="C7" s="75">
        <f>B7/$B$16</f>
        <v>4.0935686845034038E-4</v>
      </c>
      <c r="D7" s="76">
        <v>0</v>
      </c>
      <c r="E7" s="58">
        <f>D7/$D$16</f>
        <v>0</v>
      </c>
      <c r="G7" s="67">
        <f t="shared" ref="G7:G11" si="0">C7/SUM($C7,$E7)</f>
        <v>1</v>
      </c>
      <c r="H7" s="67">
        <f t="shared" ref="H7:H12" si="1">1-G7</f>
        <v>0</v>
      </c>
    </row>
    <row r="8" spans="1:8" x14ac:dyDescent="0.25">
      <c r="A8" s="57" t="s">
        <v>113</v>
      </c>
      <c r="B8" s="82">
        <v>222494.00000000137</v>
      </c>
      <c r="C8" s="75">
        <f t="shared" ref="C8:C13" si="2">B8/$B$16</f>
        <v>1.4556978352035576E-4</v>
      </c>
      <c r="D8" s="82">
        <v>5639.8799999999956</v>
      </c>
      <c r="E8" s="58">
        <f t="shared" ref="E8:E13" si="3">D8/$D$16</f>
        <v>1.0669798305075198E-4</v>
      </c>
      <c r="G8" s="108">
        <f t="shared" si="0"/>
        <v>0.57704472314866051</v>
      </c>
      <c r="H8" s="108">
        <f t="shared" si="1"/>
        <v>0.42295527685133949</v>
      </c>
    </row>
    <row r="9" spans="1:8" x14ac:dyDescent="0.25">
      <c r="A9" s="57" t="s">
        <v>124</v>
      </c>
      <c r="B9" s="82">
        <v>12138294.223861443</v>
      </c>
      <c r="C9" s="75">
        <f t="shared" si="2"/>
        <v>7.9416472465499485E-3</v>
      </c>
      <c r="D9" s="76">
        <v>0</v>
      </c>
      <c r="E9" s="58">
        <f t="shared" si="3"/>
        <v>0</v>
      </c>
      <c r="G9" s="67">
        <f t="shared" si="0"/>
        <v>1</v>
      </c>
      <c r="H9" s="67">
        <f t="shared" si="1"/>
        <v>0</v>
      </c>
    </row>
    <row r="10" spans="1:8" x14ac:dyDescent="0.25">
      <c r="A10" s="57" t="s">
        <v>88</v>
      </c>
      <c r="B10" s="82">
        <v>1040625.3140600167</v>
      </c>
      <c r="C10" s="75">
        <f t="shared" si="2"/>
        <v>6.8084353597633155E-4</v>
      </c>
      <c r="D10" s="76">
        <v>0</v>
      </c>
      <c r="E10" s="58">
        <f t="shared" si="3"/>
        <v>0</v>
      </c>
      <c r="G10" s="67">
        <f t="shared" si="0"/>
        <v>1</v>
      </c>
      <c r="H10" s="67">
        <f t="shared" si="1"/>
        <v>0</v>
      </c>
    </row>
    <row r="11" spans="1:8" x14ac:dyDescent="0.25">
      <c r="A11" s="57" t="s">
        <v>87</v>
      </c>
      <c r="B11" s="82">
        <v>1243682.7552322615</v>
      </c>
      <c r="C11" s="75">
        <f t="shared" si="2"/>
        <v>8.1369668147077579E-4</v>
      </c>
      <c r="D11" s="76">
        <v>0</v>
      </c>
      <c r="E11" s="58">
        <f t="shared" si="3"/>
        <v>0</v>
      </c>
      <c r="G11" s="67">
        <f t="shared" si="0"/>
        <v>1</v>
      </c>
      <c r="H11" s="67">
        <f t="shared" si="1"/>
        <v>0</v>
      </c>
    </row>
    <row r="12" spans="1:8" x14ac:dyDescent="0.25">
      <c r="A12" s="57" t="s">
        <v>97</v>
      </c>
      <c r="B12" s="74">
        <v>0</v>
      </c>
      <c r="C12" s="75">
        <f t="shared" si="2"/>
        <v>0</v>
      </c>
      <c r="D12" s="76">
        <v>0</v>
      </c>
      <c r="E12" s="58">
        <f t="shared" si="3"/>
        <v>0</v>
      </c>
      <c r="G12" s="67">
        <v>1</v>
      </c>
      <c r="H12" s="67">
        <f t="shared" si="1"/>
        <v>0</v>
      </c>
    </row>
    <row r="13" spans="1:8" x14ac:dyDescent="0.25">
      <c r="A13" s="57" t="s">
        <v>109</v>
      </c>
      <c r="B13" s="74">
        <v>0</v>
      </c>
      <c r="C13" s="75">
        <f t="shared" si="2"/>
        <v>0</v>
      </c>
      <c r="D13" s="76">
        <v>0</v>
      </c>
      <c r="E13" s="58">
        <f t="shared" si="3"/>
        <v>0</v>
      </c>
      <c r="G13" s="67">
        <v>1</v>
      </c>
      <c r="H13" s="67">
        <f t="shared" ref="H13" si="4">1-G13</f>
        <v>0</v>
      </c>
    </row>
    <row r="14" spans="1:8" x14ac:dyDescent="0.25">
      <c r="A14" s="68" t="s">
        <v>91</v>
      </c>
      <c r="B14" s="69">
        <f>SUM(B7:B12)</f>
        <v>15270771.793153726</v>
      </c>
      <c r="C14" s="77">
        <f>SUM(C7:C12)</f>
        <v>9.9911141159677534E-3</v>
      </c>
      <c r="D14" s="69">
        <f>SUM(D7:D12)</f>
        <v>5639.8799999999956</v>
      </c>
      <c r="E14" s="59">
        <f>SUM(E7:E12)</f>
        <v>1.0669798305075198E-4</v>
      </c>
    </row>
    <row r="15" spans="1:8" x14ac:dyDescent="0.25">
      <c r="A15" s="57"/>
      <c r="B15" s="70"/>
      <c r="C15" s="71"/>
      <c r="D15" s="70"/>
    </row>
    <row r="16" spans="1:8" ht="14.4" x14ac:dyDescent="0.3">
      <c r="A16" s="57" t="s">
        <v>93</v>
      </c>
      <c r="B16" s="87">
        <v>1528435329.224</v>
      </c>
      <c r="C16" s="71">
        <v>1</v>
      </c>
      <c r="D16" s="88">
        <v>52858356.256999999</v>
      </c>
      <c r="E16" s="60">
        <v>1</v>
      </c>
    </row>
    <row r="17" spans="1:5" x14ac:dyDescent="0.25">
      <c r="A17" s="57" t="s">
        <v>128</v>
      </c>
      <c r="E17" s="57"/>
    </row>
    <row r="19" spans="1:5" x14ac:dyDescent="0.25">
      <c r="A19" s="56" t="s">
        <v>105</v>
      </c>
    </row>
  </sheetData>
  <mergeCells count="1">
    <mergeCell ref="G4:H4"/>
  </mergeCells>
  <pageMargins left="0.2" right="0.2" top="0.57573529411764701" bottom="0.2" header="0.2" footer="0.2"/>
  <pageSetup paperSize="5" scale="58" orientation="landscape" r:id="rId1"/>
  <headerFooter alignWithMargins="0">
    <oddHeader>&amp;R&amp;"Times New Roman,Bold"KyPSC Case No. 2025-00359
Appendix C
Page &amp;P of &amp;N</oddHeader>
  </headerFooter>
  <ignoredErrors>
    <ignoredError sqref="B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view="pageLayout" zoomScaleNormal="100" workbookViewId="0">
      <selection activeCell="N4" sqref="N4"/>
    </sheetView>
  </sheetViews>
  <sheetFormatPr defaultColWidth="9.109375" defaultRowHeight="13.2" x14ac:dyDescent="0.25"/>
  <cols>
    <col min="1" max="1" width="44.44140625" style="80" bestFit="1" customWidth="1"/>
    <col min="2" max="2" width="18.44140625" style="80" customWidth="1"/>
    <col min="3" max="3" width="14.5546875" style="80" customWidth="1"/>
    <col min="4" max="4" width="12.44140625" style="80" customWidth="1"/>
    <col min="5" max="5" width="13" style="80" customWidth="1"/>
    <col min="6" max="6" width="1.44140625" style="56" customWidth="1"/>
    <col min="7" max="8" width="17.109375" style="56" customWidth="1"/>
    <col min="9" max="9" width="9.44140625" style="80" customWidth="1"/>
    <col min="10" max="16384" width="9.109375" style="80"/>
  </cols>
  <sheetData>
    <row r="1" spans="1:8" x14ac:dyDescent="0.25">
      <c r="A1" s="93" t="s">
        <v>108</v>
      </c>
    </row>
    <row r="3" spans="1:8" x14ac:dyDescent="0.25">
      <c r="B3" s="81"/>
      <c r="C3" s="81"/>
      <c r="D3" s="81"/>
      <c r="E3" s="81"/>
      <c r="G3" s="128"/>
      <c r="H3" s="128"/>
    </row>
    <row r="4" spans="1:8" ht="30.75" customHeight="1" x14ac:dyDescent="0.25">
      <c r="A4" s="85" t="s">
        <v>126</v>
      </c>
      <c r="E4" s="84"/>
      <c r="G4" s="127" t="s">
        <v>106</v>
      </c>
      <c r="H4" s="127"/>
    </row>
    <row r="5" spans="1:8" x14ac:dyDescent="0.25">
      <c r="A5" s="84"/>
      <c r="B5" s="120"/>
      <c r="C5" s="94"/>
      <c r="D5" s="94"/>
      <c r="E5" s="94"/>
      <c r="G5" s="39"/>
      <c r="H5" s="39"/>
    </row>
    <row r="6" spans="1:8" ht="26.4" x14ac:dyDescent="0.25">
      <c r="A6" s="118" t="s">
        <v>18</v>
      </c>
      <c r="B6" s="95" t="s">
        <v>82</v>
      </c>
      <c r="C6" s="96" t="s">
        <v>92</v>
      </c>
      <c r="D6" s="97" t="s">
        <v>90</v>
      </c>
      <c r="E6" s="95" t="s">
        <v>92</v>
      </c>
      <c r="G6" s="98" t="s">
        <v>94</v>
      </c>
      <c r="H6" s="98" t="s">
        <v>95</v>
      </c>
    </row>
    <row r="7" spans="1:8" ht="17.25" customHeight="1" x14ac:dyDescent="0.25">
      <c r="A7" s="84" t="s">
        <v>144</v>
      </c>
      <c r="B7" s="74">
        <v>739116.2365090471</v>
      </c>
      <c r="C7" s="119">
        <f>B7/$B$17</f>
        <v>4.8855665067952677E-4</v>
      </c>
      <c r="D7" s="83">
        <v>0</v>
      </c>
      <c r="E7" s="75">
        <f>D7/$D$17</f>
        <v>0</v>
      </c>
      <c r="G7" s="67">
        <f t="shared" ref="G7" si="0">C7/SUM($C7,$E7)</f>
        <v>1</v>
      </c>
      <c r="H7" s="67">
        <f>E7/SUM($C7,$E7)</f>
        <v>0</v>
      </c>
    </row>
    <row r="8" spans="1:8" x14ac:dyDescent="0.25">
      <c r="A8" s="84" t="s">
        <v>112</v>
      </c>
      <c r="B8" s="74">
        <v>655428.02748451382</v>
      </c>
      <c r="C8" s="119">
        <f>B8/$B$17</f>
        <v>4.3323865185500266E-4</v>
      </c>
      <c r="D8" s="83">
        <v>0</v>
      </c>
      <c r="E8" s="75">
        <f>D8/$D$17</f>
        <v>0</v>
      </c>
      <c r="G8" s="67">
        <f t="shared" ref="G8:G12" si="1">C8/SUM($C8,$E8)</f>
        <v>1</v>
      </c>
      <c r="H8" s="67">
        <f>E8/SUM($C8,$E8)</f>
        <v>0</v>
      </c>
    </row>
    <row r="9" spans="1:8" x14ac:dyDescent="0.25">
      <c r="A9" s="84" t="s">
        <v>113</v>
      </c>
      <c r="B9" s="74">
        <v>139616.00585461382</v>
      </c>
      <c r="C9" s="119">
        <f t="shared" ref="C9:C13" si="2">B9/$B$17</f>
        <v>9.2286334452278525E-5</v>
      </c>
      <c r="D9" s="83">
        <v>5765.2106666666605</v>
      </c>
      <c r="E9" s="75">
        <f t="shared" ref="E9:E13" si="3">D9/$D$17</f>
        <v>9.3775809061650482E-5</v>
      </c>
      <c r="G9" s="99">
        <f t="shared" si="1"/>
        <v>0.49599737329356186</v>
      </c>
      <c r="H9" s="99">
        <f t="shared" ref="H9:H12" si="4">E9/SUM($C9,$E9)</f>
        <v>0.50400262670643814</v>
      </c>
    </row>
    <row r="10" spans="1:8" x14ac:dyDescent="0.25">
      <c r="A10" s="84" t="s">
        <v>124</v>
      </c>
      <c r="B10" s="74">
        <v>11771222.935943322</v>
      </c>
      <c r="C10" s="119">
        <f t="shared" si="2"/>
        <v>7.7807913937175443E-3</v>
      </c>
      <c r="D10" s="83">
        <v>0</v>
      </c>
      <c r="E10" s="75">
        <f t="shared" si="3"/>
        <v>0</v>
      </c>
      <c r="G10" s="67">
        <f t="shared" si="1"/>
        <v>1</v>
      </c>
      <c r="H10" s="67">
        <f t="shared" si="4"/>
        <v>0</v>
      </c>
    </row>
    <row r="11" spans="1:8" x14ac:dyDescent="0.25">
      <c r="A11" s="84" t="s">
        <v>88</v>
      </c>
      <c r="B11" s="74">
        <v>851773.48692100216</v>
      </c>
      <c r="C11" s="119">
        <f t="shared" si="2"/>
        <v>5.6302321793556321E-4</v>
      </c>
      <c r="D11" s="83">
        <v>0</v>
      </c>
      <c r="E11" s="75">
        <f t="shared" si="3"/>
        <v>0</v>
      </c>
      <c r="G11" s="67">
        <f t="shared" si="1"/>
        <v>1</v>
      </c>
      <c r="H11" s="67">
        <f t="shared" si="4"/>
        <v>0</v>
      </c>
    </row>
    <row r="12" spans="1:8" x14ac:dyDescent="0.25">
      <c r="A12" s="80" t="s">
        <v>87</v>
      </c>
      <c r="B12" s="74">
        <v>1271739.9845796812</v>
      </c>
      <c r="C12" s="119">
        <f t="shared" si="2"/>
        <v>8.4062153787346381E-4</v>
      </c>
      <c r="D12" s="83">
        <v>0</v>
      </c>
      <c r="E12" s="75">
        <f t="shared" si="3"/>
        <v>0</v>
      </c>
      <c r="G12" s="67">
        <f t="shared" si="1"/>
        <v>1</v>
      </c>
      <c r="H12" s="67">
        <f t="shared" si="4"/>
        <v>0</v>
      </c>
    </row>
    <row r="13" spans="1:8" x14ac:dyDescent="0.25">
      <c r="A13" s="84" t="s">
        <v>97</v>
      </c>
      <c r="B13" s="74">
        <v>0</v>
      </c>
      <c r="C13" s="119">
        <f t="shared" si="2"/>
        <v>0</v>
      </c>
      <c r="D13" s="83">
        <v>0</v>
      </c>
      <c r="E13" s="75">
        <f t="shared" si="3"/>
        <v>0</v>
      </c>
      <c r="G13" s="67">
        <v>0</v>
      </c>
      <c r="H13" s="100">
        <v>0</v>
      </c>
    </row>
    <row r="14" spans="1:8" ht="7.5" customHeight="1" x14ac:dyDescent="0.25">
      <c r="A14" s="122"/>
      <c r="B14" s="74"/>
      <c r="C14" s="75"/>
      <c r="D14" s="83"/>
      <c r="E14" s="75"/>
      <c r="G14" s="67"/>
      <c r="H14" s="100"/>
    </row>
    <row r="15" spans="1:8" x14ac:dyDescent="0.25">
      <c r="A15" s="123" t="s">
        <v>91</v>
      </c>
      <c r="B15" s="101">
        <f>SUM(B7:B14)</f>
        <v>15428896.677292181</v>
      </c>
      <c r="C15" s="77">
        <f>SUM(C8:C14)</f>
        <v>9.7099611358338524E-3</v>
      </c>
      <c r="D15" s="102">
        <f>SUM(D7:D14)</f>
        <v>5765.2106666666605</v>
      </c>
      <c r="E15" s="77">
        <f>SUM(E7:E14)</f>
        <v>9.3775809061650482E-5</v>
      </c>
    </row>
    <row r="16" spans="1:8" x14ac:dyDescent="0.25">
      <c r="A16" s="121"/>
      <c r="B16" s="103"/>
      <c r="C16" s="71"/>
      <c r="D16" s="103"/>
    </row>
    <row r="17" spans="1:5" x14ac:dyDescent="0.25">
      <c r="A17" s="84" t="s">
        <v>93</v>
      </c>
      <c r="B17" s="103">
        <f>'Page 4'!C12</f>
        <v>1512856770</v>
      </c>
      <c r="C17" s="71">
        <f>B17/$B$17</f>
        <v>1</v>
      </c>
      <c r="D17" s="103">
        <f>'Page 4'!C22</f>
        <v>61478655.576050237</v>
      </c>
      <c r="E17" s="71">
        <f>D17/$D$17</f>
        <v>1</v>
      </c>
    </row>
    <row r="18" spans="1:5" x14ac:dyDescent="0.25">
      <c r="A18" s="84" t="s">
        <v>102</v>
      </c>
      <c r="D18" s="84"/>
    </row>
    <row r="20" spans="1:5" x14ac:dyDescent="0.25">
      <c r="A20" s="84" t="s">
        <v>103</v>
      </c>
    </row>
    <row r="21" spans="1:5" ht="14.4" x14ac:dyDescent="0.3">
      <c r="A21" s="104"/>
    </row>
    <row r="22" spans="1:5" customFormat="1" x14ac:dyDescent="0.25"/>
    <row r="23" spans="1:5" customFormat="1" x14ac:dyDescent="0.25"/>
    <row r="24" spans="1:5" customFormat="1" x14ac:dyDescent="0.25"/>
    <row r="25" spans="1:5" customFormat="1" x14ac:dyDescent="0.25"/>
    <row r="26" spans="1:5" customFormat="1" x14ac:dyDescent="0.25"/>
    <row r="27" spans="1:5" customFormat="1" x14ac:dyDescent="0.25"/>
    <row r="28" spans="1:5" customFormat="1" x14ac:dyDescent="0.25"/>
    <row r="29" spans="1:5" customFormat="1" x14ac:dyDescent="0.25"/>
    <row r="30" spans="1:5" customFormat="1" x14ac:dyDescent="0.25"/>
    <row r="31" spans="1:5" customFormat="1" x14ac:dyDescent="0.25"/>
  </sheetData>
  <mergeCells count="2">
    <mergeCell ref="G3:H3"/>
    <mergeCell ref="G4:H4"/>
  </mergeCells>
  <pageMargins left="0.2" right="0.2" top="0.57573529411764701" bottom="0.2" header="0.2" footer="0.2"/>
  <pageSetup paperSize="5" scale="58" orientation="landscape" r:id="rId1"/>
  <headerFooter alignWithMargins="0">
    <oddHeader>&amp;R&amp;"Times New Roman,Bold"KyPSC Case No. 2025-00359
Appendix C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65A3BCCB55643A0E5299296152CF3" ma:contentTypeVersion="4" ma:contentTypeDescription="Create a new document." ma:contentTypeScope="" ma:versionID="dd1e4b35a00820406b921f2be92a2f18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99BAC0-8032-4ACF-9532-AE5CFCE587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176305-C948-4C65-B478-1CBD169A75AD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3c9d8c27-8a6d-4d9e-a15e-ef5d28c114af"/>
    <ds:schemaRef ds:uri="http://schemas.microsoft.com/office/2006/documentManagement/types"/>
    <ds:schemaRef ds:uri="2612a682-5ffb-4b9c-9555-017618935178"/>
  </ds:schemaRefs>
</ds:datastoreItem>
</file>

<file path=customXml/itemProps3.xml><?xml version="1.0" encoding="utf-8"?>
<ds:datastoreItem xmlns:ds="http://schemas.openxmlformats.org/officeDocument/2006/customXml" ds:itemID="{FB56FA78-8CAC-46E4-A06E-6CC39F53FDD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059517E-1254-4C22-9A95-9B46BF4A9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Page 1</vt:lpstr>
      <vt:lpstr>Page 2</vt:lpstr>
      <vt:lpstr>Page 3</vt:lpstr>
      <vt:lpstr>Page 4</vt:lpstr>
      <vt:lpstr>Page 5</vt:lpstr>
      <vt:lpstr>Page 6</vt:lpstr>
      <vt:lpstr>Page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2024-2025 Status Update</dc:subject>
  <dc:creator/>
  <cp:lastModifiedBy/>
  <dcterms:created xsi:type="dcterms:W3CDTF">2016-10-28T20:40:02Z</dcterms:created>
  <dcterms:modified xsi:type="dcterms:W3CDTF">2025-10-30T19:01:31Z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0x0101003A365A3BCCB55643A0E5299296152CF3</vt:lpwstr>
  </property>
</Properties>
</file>