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wrgroup-my.sharepoint.com/personal/eharlow_cswrgroup_com/Documents/Documents/Rate Cases/KY/2025/DRs/"/>
    </mc:Choice>
  </mc:AlternateContent>
  <xr:revisionPtr revIDLastSave="233" documentId="8_{FABCB4A1-93B2-44BD-BB82-122DF7E5300A}" xr6:coauthVersionLast="47" xr6:coauthVersionMax="47" xr10:uidLastSave="{B2E2F25B-4027-43B5-B950-601E5AAB3DA3}"/>
  <bookViews>
    <workbookView xWindow="57480" yWindow="-120" windowWidth="29040" windowHeight="15720" activeTab="1" xr2:uid="{5050F929-0DE6-4298-8F76-C563950B77AC}"/>
  </bookViews>
  <sheets>
    <sheet name="Summary" sheetId="4" r:id="rId1"/>
    <sheet name="Balance Sheet Final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L29" i="8"/>
  <c r="K29" i="8"/>
  <c r="J29" i="8"/>
  <c r="I29" i="8" s="1"/>
  <c r="H29" i="8" s="1"/>
  <c r="G29" i="8" s="1"/>
  <c r="B31" i="8"/>
  <c r="E27" i="8"/>
  <c r="E17" i="8"/>
  <c r="D17" i="8" s="1"/>
  <c r="C17" i="8" s="1"/>
  <c r="B17" i="8" s="1"/>
  <c r="I17" i="8"/>
  <c r="H17" i="8"/>
  <c r="G17" i="8" s="1"/>
  <c r="J17" i="8"/>
  <c r="K17" i="8"/>
  <c r="L17" i="8"/>
  <c r="B7" i="8"/>
  <c r="C7" i="8"/>
  <c r="D7" i="8"/>
  <c r="E7" i="8"/>
  <c r="F8" i="8"/>
  <c r="G7" i="8"/>
  <c r="H7" i="8"/>
  <c r="I7" i="8"/>
  <c r="J7" i="8"/>
  <c r="K7" i="8"/>
  <c r="L7" i="8"/>
  <c r="N27" i="8" l="1"/>
  <c r="N28" i="8"/>
  <c r="N29" i="8"/>
  <c r="M28" i="8"/>
  <c r="M35" i="8"/>
  <c r="M31" i="8"/>
  <c r="L31" i="8"/>
  <c r="K31" i="8"/>
  <c r="J31" i="8"/>
  <c r="I31" i="8"/>
  <c r="H31" i="8"/>
  <c r="G31" i="8"/>
  <c r="F31" i="8"/>
  <c r="E31" i="8"/>
  <c r="D31" i="8"/>
  <c r="C31" i="8"/>
  <c r="M15" i="8"/>
  <c r="M19" i="8" s="1"/>
  <c r="L15" i="8"/>
  <c r="L19" i="8" s="1"/>
  <c r="K15" i="8"/>
  <c r="K19" i="8" s="1"/>
  <c r="J15" i="8"/>
  <c r="J19" i="8" s="1"/>
  <c r="I15" i="8"/>
  <c r="I19" i="8" s="1"/>
  <c r="H15" i="8"/>
  <c r="G15" i="8"/>
  <c r="G19" i="8" s="1"/>
  <c r="F15" i="8"/>
  <c r="F19" i="8" s="1"/>
  <c r="E15" i="8"/>
  <c r="E19" i="8" s="1"/>
  <c r="D15" i="8"/>
  <c r="D19" i="8" s="1"/>
  <c r="C15" i="8"/>
  <c r="C19" i="8" s="1"/>
  <c r="B15" i="8"/>
  <c r="H19" i="8"/>
  <c r="B19" i="8"/>
  <c r="N12" i="8"/>
  <c r="N14" i="8"/>
  <c r="E32" i="8" l="1"/>
  <c r="B32" i="8"/>
  <c r="C32" i="8"/>
  <c r="D32" i="8"/>
  <c r="G32" i="8"/>
  <c r="H32" i="8"/>
  <c r="I32" i="8"/>
  <c r="J32" i="8"/>
  <c r="K32" i="8"/>
  <c r="L32" i="8"/>
  <c r="F32" i="8"/>
  <c r="N31" i="8"/>
  <c r="M32" i="8"/>
  <c r="B35" i="8" l="1"/>
  <c r="L35" i="8" l="1"/>
  <c r="K35" i="8"/>
  <c r="J35" i="8"/>
  <c r="I35" i="8"/>
  <c r="H35" i="8"/>
  <c r="G35" i="8"/>
  <c r="F35" i="8"/>
  <c r="E35" i="8"/>
  <c r="D35" i="8"/>
  <c r="C35" i="8"/>
  <c r="N26" i="8"/>
  <c r="N25" i="8"/>
  <c r="N17" i="8"/>
  <c r="N13" i="8"/>
  <c r="N11" i="8"/>
  <c r="N10" i="8"/>
  <c r="N15" i="8" s="1"/>
  <c r="N7" i="8"/>
  <c r="N19" i="8" l="1"/>
  <c r="N32" i="8" s="1"/>
  <c r="N35" i="8"/>
  <c r="D33" i="4"/>
</calcChain>
</file>

<file path=xl/sharedStrings.xml><?xml version="1.0" encoding="utf-8"?>
<sst xmlns="http://schemas.openxmlformats.org/spreadsheetml/2006/main" count="116" uniqueCount="81">
  <si>
    <t>Account Name</t>
  </si>
  <si>
    <t>Total Current Asset - Current Asset</t>
  </si>
  <si>
    <t>Total Fixed Asset - Fixed Asset</t>
  </si>
  <si>
    <t>Other Asset - Other Asset</t>
  </si>
  <si>
    <t>Total Assets</t>
  </si>
  <si>
    <t>AP - Accounts Payable</t>
  </si>
  <si>
    <t>Total Other CL - Other Current Liabilities</t>
  </si>
  <si>
    <t>Total Equity</t>
  </si>
  <si>
    <t>Plant in Service</t>
  </si>
  <si>
    <t>Plant Purchased or Sold</t>
  </si>
  <si>
    <t>Property Held for Future Use</t>
  </si>
  <si>
    <t>Construction Work in Progress (CWIP)</t>
  </si>
  <si>
    <t>Completed Construction Not Classified</t>
  </si>
  <si>
    <t>Accumulated Depreciation &amp; Amortization</t>
  </si>
  <si>
    <t>Plant Acquisition Adjustment</t>
  </si>
  <si>
    <t>Amortization of Utility Plant Acq Adjustment</t>
  </si>
  <si>
    <t>Materials and Supplies</t>
  </si>
  <si>
    <t>Balance in AP to each account above</t>
  </si>
  <si>
    <t>Unamortized Investment Tax Credit–Pre-Revenue Act of 1971</t>
  </si>
  <si>
    <t>Unamortized Investment Tax Credit–Revenue Act of 1971</t>
  </si>
  <si>
    <t>Accumulated Deferred Income Taxes</t>
  </si>
  <si>
    <t>Summary of Customer Deposits</t>
  </si>
  <si>
    <t>Computation and Development of Minimum Cash Requirements</t>
  </si>
  <si>
    <t>Balance in Accounts Payable Applicable to amounts included in utility plant in service</t>
  </si>
  <si>
    <t>Balance in Accounts Payable Applicable to prepayments by major category or subaccount</t>
  </si>
  <si>
    <t>Balance in Accounts Payable applicable to amounts included in plant under construction</t>
  </si>
  <si>
    <t>All Current Assets and Current Liability accounts not included above</t>
  </si>
  <si>
    <t>n/a</t>
  </si>
  <si>
    <t>Current Liability</t>
  </si>
  <si>
    <t>Current Assets</t>
  </si>
  <si>
    <t>Average 12 month Balance</t>
  </si>
  <si>
    <t>AP Balance applicable to CWIP</t>
  </si>
  <si>
    <t>CWIP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</si>
  <si>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</si>
  <si>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</si>
  <si>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</si>
  <si>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</si>
  <si>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</si>
  <si>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</si>
  <si>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</si>
  <si>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</si>
  <si>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</si>
  <si>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</si>
  <si>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</si>
  <si>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</si>
  <si>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</si>
  <si>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</si>
  <si>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</si>
  <si>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</si>
  <si>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(S)</t>
  </si>
  <si>
    <t>(Q)</t>
  </si>
  <si>
    <t>(R)</t>
  </si>
  <si>
    <t>Plant Purchased/Sold</t>
  </si>
  <si>
    <t>Accumulated Depreciation</t>
  </si>
  <si>
    <t>Utility Plant Acq Adjustment</t>
  </si>
  <si>
    <t>CIAC</t>
  </si>
  <si>
    <t>Total Liab &amp; Equity</t>
  </si>
  <si>
    <t>DR 10 A-S Monthly Account Balances</t>
  </si>
  <si>
    <t>Exhibit 9 Financial Workbook</t>
  </si>
  <si>
    <t>Row on Balance Sheet Summary</t>
  </si>
  <si>
    <t>Line 15</t>
  </si>
  <si>
    <t>Line 16</t>
  </si>
  <si>
    <t>Line 18</t>
  </si>
  <si>
    <t>Line 17</t>
  </si>
  <si>
    <t>Line 7</t>
  </si>
  <si>
    <t>Line 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</si>
  <si>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</si>
  <si>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</si>
  <si>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</si>
  <si>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</si>
  <si>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</si>
  <si>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</si>
  <si>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</si>
  <si>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</si>
  <si>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</si>
  <si>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</si>
  <si>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</si>
  <si>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</si>
  <si>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Bluegrass Water</t>
  </si>
  <si>
    <t>Case No. 2025-00354</t>
  </si>
  <si>
    <t>Notes Payable/Payable to Assoc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</si>
</sst>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left" indent="1"/>
    </xf>
    <xf numFmtId="0" fontId="0" fillId="2" borderId="0" xfId="0" applyFill="1"/>
    <xf numFmtId="0" fontId="0" fillId="3" borderId="0" xfId="0" applyFill="1" applyAlignment="1">
      <alignment horizontal="left" indent="1"/>
    </xf>
    <xf numFmtId="0" fontId="1" fillId="3" borderId="0" xfId="0" applyFont="1" applyFill="1"/>
    <xf numFmtId="0" fontId="0" fillId="0" borderId="0" xfId="0" applyAlignment="1">
      <alignment horizontal="right"/>
    </xf>
    <xf numFmtId="0" fontId="1" fillId="4" borderId="0" xfId="0" applyFont="1" applyFill="1"/>
    <xf numFmtId="0" fontId="0" fillId="4" borderId="0" xfId="0" applyFill="1" applyAlignment="1">
      <alignment horizontal="left" indent="1"/>
    </xf>
    <xf numFmtId="0" fontId="0" fillId="0" borderId="1" xfId="0" applyBorder="1"/>
    <xf numFmtId="0" fontId="2" fillId="0" borderId="0" xfId="0" applyFont="1" applyAlignment="1">
      <alignment horizontal="right"/>
    </xf>
    <xf numFmtId="4" fontId="0" fillId="2" borderId="0" xfId="0" applyNumberFormat="1" applyFill="1"/>
    <xf numFmtId="6" fontId="5" fillId="0" borderId="0" xfId="1" applyNumberFormat="1" applyFont="1" applyFill="1" applyBorder="1" applyAlignment="1">
      <alignment horizontal="right" vertical="top"/>
    </xf>
    <xf numFmtId="0" fontId="1" fillId="0" borderId="0" xfId="0" applyFont="1" applyFill="1"/>
    <xf numFmtId="0" fontId="0" fillId="0" borderId="0" xfId="0" applyFill="1"/>
    <xf numFmtId="43" fontId="4" fillId="0" borderId="0" xfId="1" applyFont="1" applyFill="1"/>
    <xf numFmtId="4" fontId="4" fillId="0" borderId="0" xfId="0" applyNumberFormat="1" applyFont="1" applyFill="1"/>
    <xf numFmtId="0" fontId="1" fillId="0" borderId="1" xfId="0" applyFont="1" applyFill="1" applyBorder="1"/>
    <xf numFmtId="0" fontId="1" fillId="0" borderId="3" xfId="0" quotePrefix="1" applyFont="1" applyFill="1" applyBorder="1"/>
    <xf numFmtId="17" fontId="1" fillId="0" borderId="3" xfId="0" quotePrefix="1" applyNumberFormat="1" applyFont="1" applyFill="1" applyBorder="1"/>
    <xf numFmtId="6" fontId="0" fillId="0" borderId="0" xfId="0" applyNumberFormat="1" applyFill="1"/>
    <xf numFmtId="6" fontId="0" fillId="0" borderId="1" xfId="0" applyNumberFormat="1" applyFill="1" applyBorder="1"/>
    <xf numFmtId="0" fontId="1" fillId="0" borderId="2" xfId="0" applyFont="1" applyFill="1" applyBorder="1"/>
    <xf numFmtId="6" fontId="0" fillId="0" borderId="2" xfId="0" applyNumberFormat="1" applyFill="1" applyBorder="1"/>
    <xf numFmtId="43" fontId="0" fillId="0" borderId="0" xfId="1" applyFont="1" applyFill="1"/>
    <xf numFmtId="8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51B1F-223A-4FF9-93D6-F43D1C052626}">
  <sheetPr>
    <tabColor rgb="FFFFCCFF"/>
  </sheetPr>
  <dimension ref="A1:D36"/>
  <sheetViews>
    <sheetView workbookViewId="0">
      <selection activeCell="A3" sqref="A3"/>
    </sheetView>
  </sheetViews>
  <sheetFormatPr defaultRowHeight="15" x14ac:dyDescent="0.25"/>
  <cols>
    <col min="1" max="1" width="15.140625" customWidth="1"/>
    <col min="2" max="2" width="12.85546875" customWidth="1"/>
    <col min="3" max="3" width="80.140625" customWidth="1"/>
    <col min="4" max="4" width="30.28515625" customWidth="1"/>
    <col min="5" max="5" width="27.140625" customWidth="1"/>
  </cols>
  <sheetData>
    <row r="1" spans="1:4" x14ac:dyDescent="0.25">
      <c r="A1" s="1" t="s">
        <v>78</v>
      </c>
    </row>
    <row r="2" spans="1:4" x14ac:dyDescent="0.25">
      <c r="A2" s="1" t="s">
        <v>79</v>
      </c>
    </row>
    <row r="3" spans="1:4" x14ac:dyDescent="0.25">
      <c r="A3" s="1" t="s">
        <v>57</v>
      </c>
    </row>
    <row r="5" spans="1:4" x14ac:dyDescent="0.25">
      <c r="D5" s="1" t="s">
        <v>58</v>
      </c>
    </row>
    <row r="6" spans="1:4" x14ac:dyDescent="0.25">
      <c r="C6" s="10"/>
      <c r="D6" s="2" t="s">
        <v>59</v>
      </c>
    </row>
    <row r="7" spans="1:4" x14ac:dyDescent="0.25">
      <c r="B7" s="7" t="s">
        <v>33</v>
      </c>
      <c r="C7" s="1" t="s">
        <v>8</v>
      </c>
      <c r="D7" s="4" t="s">
        <v>60</v>
      </c>
    </row>
    <row r="8" spans="1:4" x14ac:dyDescent="0.25">
      <c r="B8" s="7" t="s">
        <v>34</v>
      </c>
      <c r="C8" s="1" t="s">
        <v>9</v>
      </c>
      <c r="D8" s="4" t="s">
        <v>60</v>
      </c>
    </row>
    <row r="9" spans="1:4" x14ac:dyDescent="0.25">
      <c r="B9" s="7" t="s">
        <v>35</v>
      </c>
      <c r="C9" s="1" t="s">
        <v>10</v>
      </c>
      <c r="D9" t="s">
        <v>27</v>
      </c>
    </row>
    <row r="10" spans="1:4" x14ac:dyDescent="0.25">
      <c r="B10" s="7" t="s">
        <v>36</v>
      </c>
      <c r="C10" s="1" t="s">
        <v>11</v>
      </c>
      <c r="D10" s="4" t="s">
        <v>61</v>
      </c>
    </row>
    <row r="11" spans="1:4" x14ac:dyDescent="0.25">
      <c r="B11" s="7" t="s">
        <v>37</v>
      </c>
      <c r="C11" s="1" t="s">
        <v>12</v>
      </c>
      <c r="D11" t="s">
        <v>27</v>
      </c>
    </row>
    <row r="12" spans="1:4" x14ac:dyDescent="0.25">
      <c r="B12" s="7" t="s">
        <v>38</v>
      </c>
      <c r="C12" s="1" t="s">
        <v>13</v>
      </c>
      <c r="D12" s="4" t="s">
        <v>62</v>
      </c>
    </row>
    <row r="13" spans="1:4" x14ac:dyDescent="0.25">
      <c r="B13" s="7" t="s">
        <v>39</v>
      </c>
      <c r="C13" s="1" t="s">
        <v>14</v>
      </c>
      <c r="D13" s="4" t="s">
        <v>63</v>
      </c>
    </row>
    <row r="14" spans="1:4" x14ac:dyDescent="0.25">
      <c r="B14" s="7" t="s">
        <v>40</v>
      </c>
      <c r="C14" s="1" t="s">
        <v>15</v>
      </c>
      <c r="D14" t="s">
        <v>27</v>
      </c>
    </row>
    <row r="15" spans="1:4" x14ac:dyDescent="0.25">
      <c r="B15" s="7" t="s">
        <v>41</v>
      </c>
      <c r="C15" s="1" t="s">
        <v>16</v>
      </c>
      <c r="D15" t="s">
        <v>27</v>
      </c>
    </row>
    <row r="16" spans="1:4" x14ac:dyDescent="0.25">
      <c r="B16" s="7" t="s">
        <v>42</v>
      </c>
      <c r="C16" s="1" t="s">
        <v>17</v>
      </c>
      <c r="D16" t="s">
        <v>27</v>
      </c>
    </row>
    <row r="17" spans="2:4" x14ac:dyDescent="0.25">
      <c r="B17" s="11">
        <v>1</v>
      </c>
      <c r="C17" s="5" t="s">
        <v>8</v>
      </c>
      <c r="D17" t="s">
        <v>27</v>
      </c>
    </row>
    <row r="18" spans="2:4" x14ac:dyDescent="0.25">
      <c r="B18" s="11">
        <v>2</v>
      </c>
      <c r="C18" s="3" t="s">
        <v>9</v>
      </c>
      <c r="D18" t="s">
        <v>27</v>
      </c>
    </row>
    <row r="19" spans="2:4" x14ac:dyDescent="0.25">
      <c r="B19" s="11">
        <v>3</v>
      </c>
      <c r="C19" s="3" t="s">
        <v>10</v>
      </c>
      <c r="D19" t="s">
        <v>27</v>
      </c>
    </row>
    <row r="20" spans="2:4" x14ac:dyDescent="0.25">
      <c r="B20" s="11">
        <v>4</v>
      </c>
      <c r="C20" s="9" t="s">
        <v>11</v>
      </c>
      <c r="D20" s="12" t="s">
        <v>60</v>
      </c>
    </row>
    <row r="21" spans="2:4" x14ac:dyDescent="0.25">
      <c r="B21" s="11">
        <v>5</v>
      </c>
      <c r="C21" s="3" t="s">
        <v>12</v>
      </c>
      <c r="D21" t="s">
        <v>27</v>
      </c>
    </row>
    <row r="22" spans="2:4" x14ac:dyDescent="0.25">
      <c r="B22" s="11">
        <v>6</v>
      </c>
      <c r="C22" s="3" t="s">
        <v>13</v>
      </c>
      <c r="D22" t="s">
        <v>27</v>
      </c>
    </row>
    <row r="23" spans="2:4" x14ac:dyDescent="0.25">
      <c r="B23" s="11">
        <v>7</v>
      </c>
      <c r="C23" s="3" t="s">
        <v>14</v>
      </c>
      <c r="D23" t="s">
        <v>27</v>
      </c>
    </row>
    <row r="24" spans="2:4" x14ac:dyDescent="0.25">
      <c r="B24" s="11">
        <v>8</v>
      </c>
      <c r="C24" s="3" t="s">
        <v>15</v>
      </c>
      <c r="D24" t="s">
        <v>27</v>
      </c>
    </row>
    <row r="25" spans="2:4" x14ac:dyDescent="0.25">
      <c r="B25" s="11">
        <v>9</v>
      </c>
      <c r="C25" s="3" t="s">
        <v>16</v>
      </c>
      <c r="D25" t="s">
        <v>27</v>
      </c>
    </row>
    <row r="26" spans="2:4" x14ac:dyDescent="0.25">
      <c r="B26" s="7" t="s">
        <v>43</v>
      </c>
      <c r="C26" s="1" t="s">
        <v>18</v>
      </c>
      <c r="D26" t="s">
        <v>27</v>
      </c>
    </row>
    <row r="27" spans="2:4" x14ac:dyDescent="0.25">
      <c r="B27" s="7" t="s">
        <v>44</v>
      </c>
      <c r="C27" s="1" t="s">
        <v>19</v>
      </c>
      <c r="D27" t="s">
        <v>27</v>
      </c>
    </row>
    <row r="28" spans="2:4" x14ac:dyDescent="0.25">
      <c r="B28" s="7" t="s">
        <v>45</v>
      </c>
      <c r="C28" s="1" t="s">
        <v>20</v>
      </c>
      <c r="D28" t="s">
        <v>27</v>
      </c>
    </row>
    <row r="29" spans="2:4" x14ac:dyDescent="0.25">
      <c r="B29" s="7" t="s">
        <v>46</v>
      </c>
      <c r="C29" s="1" t="s">
        <v>21</v>
      </c>
      <c r="D29" t="s">
        <v>27</v>
      </c>
    </row>
    <row r="30" spans="2:4" x14ac:dyDescent="0.25">
      <c r="B30" s="7" t="s">
        <v>47</v>
      </c>
      <c r="C30" s="1" t="s">
        <v>22</v>
      </c>
      <c r="D30" t="s">
        <v>27</v>
      </c>
    </row>
    <row r="31" spans="2:4" x14ac:dyDescent="0.25">
      <c r="B31" s="7" t="s">
        <v>48</v>
      </c>
      <c r="C31" s="6" t="s">
        <v>23</v>
      </c>
      <c r="D31" t="s">
        <v>27</v>
      </c>
    </row>
    <row r="32" spans="2:4" x14ac:dyDescent="0.25">
      <c r="B32" s="7" t="s">
        <v>50</v>
      </c>
      <c r="C32" s="1" t="s">
        <v>24</v>
      </c>
      <c r="D32" t="s">
        <v>27</v>
      </c>
    </row>
    <row r="33" spans="2:4" x14ac:dyDescent="0.25">
      <c r="B33" s="7" t="s">
        <v>51</v>
      </c>
      <c r="C33" s="8" t="s">
        <v>25</v>
      </c>
      <c r="D33" s="12" t="str">
        <f>D20</f>
        <v>Line 15</v>
      </c>
    </row>
    <row r="34" spans="2:4" x14ac:dyDescent="0.25">
      <c r="B34" s="7" t="s">
        <v>49</v>
      </c>
      <c r="C34" s="1" t="s">
        <v>26</v>
      </c>
      <c r="D34" t="s">
        <v>27</v>
      </c>
    </row>
    <row r="35" spans="2:4" x14ac:dyDescent="0.25">
      <c r="C35" s="3" t="s">
        <v>29</v>
      </c>
      <c r="D35" s="4" t="s">
        <v>64</v>
      </c>
    </row>
    <row r="36" spans="2:4" x14ac:dyDescent="0.25">
      <c r="C36" s="3" t="s">
        <v>28</v>
      </c>
      <c r="D36" s="4" t="s">
        <v>65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9C2D-7604-4604-8828-49A704A28889}">
  <sheetPr>
    <tabColor rgb="FFFFCCFF"/>
  </sheetPr>
  <dimension ref="A1:N39"/>
  <sheetViews>
    <sheetView tabSelected="1" zoomScale="70" zoomScaleNormal="70" workbookViewId="0">
      <selection activeCell="G46" sqref="G46"/>
    </sheetView>
  </sheetViews>
  <sheetFormatPr defaultRowHeight="15" x14ac:dyDescent="0.25"/>
  <cols>
    <col min="1" max="1" width="73.42578125" style="14" bestFit="1" customWidth="1"/>
    <col min="2" max="13" width="21" style="15" customWidth="1"/>
    <col min="14" max="14" width="32.28515625" style="15" customWidth="1"/>
    <col min="15" max="15" width="32.5703125" style="15" bestFit="1" customWidth="1"/>
    <col min="16" max="16384" width="9.140625" style="15"/>
  </cols>
  <sheetData>
    <row r="1" spans="1:14" x14ac:dyDescent="0.25">
      <c r="A1" s="14" t="s">
        <v>78</v>
      </c>
    </row>
    <row r="2" spans="1:14" x14ac:dyDescent="0.25">
      <c r="A2" s="14" t="s">
        <v>79</v>
      </c>
    </row>
    <row r="3" spans="1:14" x14ac:dyDescent="0.25">
      <c r="A3" s="1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A5" s="18" t="s">
        <v>0</v>
      </c>
    </row>
    <row r="6" spans="1:14" x14ac:dyDescent="0.25">
      <c r="A6" s="18"/>
      <c r="B6" s="19" t="s">
        <v>66</v>
      </c>
      <c r="C6" s="19" t="s">
        <v>67</v>
      </c>
      <c r="D6" s="19" t="s">
        <v>68</v>
      </c>
      <c r="E6" s="19" t="s">
        <v>69</v>
      </c>
      <c r="F6" s="19" t="s">
        <v>70</v>
      </c>
      <c r="G6" s="19" t="s">
        <v>71</v>
      </c>
      <c r="H6" s="20" t="s">
        <v>72</v>
      </c>
      <c r="I6" s="20" t="s">
        <v>73</v>
      </c>
      <c r="J6" s="20" t="s">
        <v>74</v>
      </c>
      <c r="K6" s="19" t="s">
        <v>75</v>
      </c>
      <c r="L6" s="19" t="s">
        <v>76</v>
      </c>
      <c r="M6" s="19" t="s">
        <v>77</v>
      </c>
      <c r="N6" s="19" t="s">
        <v>30</v>
      </c>
    </row>
    <row r="7" spans="1:14" x14ac:dyDescent="0.25">
      <c r="A7" s="14" t="s">
        <v>1</v>
      </c>
      <c r="B7" s="21">
        <f>C7+2445.77+3672.7</f>
        <v>1359537.46</v>
      </c>
      <c r="C7" s="21">
        <f>D7+2561.79-22678.98</f>
        <v>1353418.99</v>
      </c>
      <c r="D7" s="21">
        <f>E7+2472.32-4818.04</f>
        <v>1373536.18</v>
      </c>
      <c r="E7" s="21">
        <f>F7+2473.91-44731.01</f>
        <v>1375881.9</v>
      </c>
      <c r="F7" s="21">
        <v>1418139</v>
      </c>
      <c r="G7" s="21">
        <f>H7+2466.29-7145.8</f>
        <v>1364774.9485987611</v>
      </c>
      <c r="H7" s="21">
        <f>I7+2438.21+6245.75</f>
        <v>1369454.4585987611</v>
      </c>
      <c r="I7" s="21">
        <f>J7+2423+5922.7</f>
        <v>1360770.4985987612</v>
      </c>
      <c r="J7" s="21">
        <f>K7+2450.17+23348.76</f>
        <v>1352424.7985987612</v>
      </c>
      <c r="K7" s="21">
        <f>L7+2480.24-21958.29</f>
        <v>1326625.8685987613</v>
      </c>
      <c r="L7" s="21">
        <f>M7+2455.54+6237.27</f>
        <v>1346103.9185987613</v>
      </c>
      <c r="M7" s="21">
        <v>1337411.1085987613</v>
      </c>
      <c r="N7" s="21">
        <f>AVERAGE(B7:M7)</f>
        <v>1361506.5941826107</v>
      </c>
    </row>
    <row r="8" spans="1:14" x14ac:dyDescent="0.25">
      <c r="B8" s="21"/>
      <c r="C8" s="21"/>
      <c r="D8" s="21"/>
      <c r="E8" s="21"/>
      <c r="F8" s="21">
        <f>G7+2458.25+50907.47</f>
        <v>1418140.6685987611</v>
      </c>
      <c r="G8" s="21"/>
      <c r="H8" s="21"/>
      <c r="I8" s="21"/>
      <c r="J8" s="21"/>
      <c r="K8" s="21"/>
      <c r="L8" s="21"/>
      <c r="M8" s="21"/>
      <c r="N8" s="21"/>
    </row>
    <row r="9" spans="1:14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A10" s="14" t="s">
        <v>52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f>AVERAGE(B10:M10)</f>
        <v>0</v>
      </c>
    </row>
    <row r="11" spans="1:14" x14ac:dyDescent="0.25">
      <c r="A11" s="14" t="s">
        <v>32</v>
      </c>
      <c r="B11" s="21">
        <v>4204831.0299999928</v>
      </c>
      <c r="C11" s="21">
        <v>4204831.0299999928</v>
      </c>
      <c r="D11" s="21">
        <v>4204831.0299999928</v>
      </c>
      <c r="E11" s="21">
        <v>4204831.0299999928</v>
      </c>
      <c r="F11" s="21">
        <v>4204831.0299999928</v>
      </c>
      <c r="G11" s="21">
        <v>4204831.0299999928</v>
      </c>
      <c r="H11" s="21">
        <v>4204831.0299999928</v>
      </c>
      <c r="I11" s="21">
        <v>4204831.0299999928</v>
      </c>
      <c r="J11" s="21">
        <v>4204831.0299999928</v>
      </c>
      <c r="K11" s="21">
        <v>4204831.0299999928</v>
      </c>
      <c r="L11" s="21">
        <v>4204831.0299999928</v>
      </c>
      <c r="M11" s="21">
        <v>4204831.0299999928</v>
      </c>
      <c r="N11" s="21">
        <f>AVERAGE(B11:M11)</f>
        <v>4204831.0299999928</v>
      </c>
    </row>
    <row r="12" spans="1:14" x14ac:dyDescent="0.25">
      <c r="A12" s="14" t="s">
        <v>53</v>
      </c>
      <c r="B12" s="21">
        <v>-3790374.9980266485</v>
      </c>
      <c r="C12" s="21">
        <v>-3838357.2752307258</v>
      </c>
      <c r="D12" s="21">
        <v>-3886339.5424348125</v>
      </c>
      <c r="E12" s="21">
        <v>-3934321.8096388988</v>
      </c>
      <c r="F12" s="21">
        <v>-3963269.1820096457</v>
      </c>
      <c r="G12" s="21">
        <v>-3918335.071880403</v>
      </c>
      <c r="H12" s="21">
        <v>-3966891.225084479</v>
      </c>
      <c r="I12" s="21">
        <v>-4014698.7982885661</v>
      </c>
      <c r="J12" s="21">
        <v>-4062506.3714926527</v>
      </c>
      <c r="K12" s="21">
        <v>-4110323.9446967291</v>
      </c>
      <c r="L12" s="21">
        <v>-4158121.5279008159</v>
      </c>
      <c r="M12" s="21">
        <v>-4205929.101104903</v>
      </c>
      <c r="N12" s="21">
        <f>AVERAGE(B12:M12)</f>
        <v>-3987455.7373157735</v>
      </c>
    </row>
    <row r="13" spans="1:14" x14ac:dyDescent="0.25">
      <c r="A13" s="14" t="s">
        <v>54</v>
      </c>
      <c r="B13" s="21">
        <v>140654.54999999999</v>
      </c>
      <c r="C13" s="21">
        <v>140654.54999999999</v>
      </c>
      <c r="D13" s="21">
        <v>140654.54999999999</v>
      </c>
      <c r="E13" s="21">
        <v>140654.54999999999</v>
      </c>
      <c r="F13" s="21">
        <v>140654.54999999999</v>
      </c>
      <c r="G13" s="21">
        <v>140654.54999999999</v>
      </c>
      <c r="H13" s="21">
        <v>140654.54999999999</v>
      </c>
      <c r="I13" s="21">
        <v>140654.54999999999</v>
      </c>
      <c r="J13" s="21">
        <v>140654.54999999999</v>
      </c>
      <c r="K13" s="21">
        <v>140654.54999999999</v>
      </c>
      <c r="L13" s="21">
        <v>140654.54999999999</v>
      </c>
      <c r="M13" s="21">
        <v>140654.54999999999</v>
      </c>
      <c r="N13" s="21">
        <f>AVERAGE(B13:M13)</f>
        <v>140654.55000000002</v>
      </c>
    </row>
    <row r="14" spans="1:14" x14ac:dyDescent="0.25">
      <c r="A14" s="18" t="s">
        <v>8</v>
      </c>
      <c r="B14" s="22">
        <v>16765391.859999999</v>
      </c>
      <c r="C14" s="22">
        <v>16765391.859999999</v>
      </c>
      <c r="D14" s="22">
        <v>16759636.76</v>
      </c>
      <c r="E14" s="22">
        <v>16759636.76</v>
      </c>
      <c r="F14" s="22">
        <v>16875826.879999999</v>
      </c>
      <c r="G14" s="22">
        <v>16961826.879999999</v>
      </c>
      <c r="H14" s="22">
        <v>16961826.879999999</v>
      </c>
      <c r="I14" s="22">
        <v>16961826.879999999</v>
      </c>
      <c r="J14" s="22">
        <v>16961826.879999999</v>
      </c>
      <c r="K14" s="22">
        <v>16961826.879999999</v>
      </c>
      <c r="L14" s="22">
        <v>16961826.879999999</v>
      </c>
      <c r="M14" s="22">
        <v>16961826.879999999</v>
      </c>
      <c r="N14" s="22">
        <f>AVERAGE(B14:M14)</f>
        <v>16888222.689999998</v>
      </c>
    </row>
    <row r="15" spans="1:14" x14ac:dyDescent="0.25">
      <c r="A15" s="14" t="s">
        <v>2</v>
      </c>
      <c r="B15" s="21">
        <f>SUM(B10:B14)</f>
        <v>17320502.441973343</v>
      </c>
      <c r="C15" s="21">
        <f t="shared" ref="C15:N15" si="0">SUM(C10:C14)</f>
        <v>17272520.164769266</v>
      </c>
      <c r="D15" s="21">
        <f t="shared" si="0"/>
        <v>17218782.797565181</v>
      </c>
      <c r="E15" s="21">
        <f t="shared" si="0"/>
        <v>17170800.530361094</v>
      </c>
      <c r="F15" s="21">
        <f t="shared" si="0"/>
        <v>17258043.277990345</v>
      </c>
      <c r="G15" s="21">
        <f t="shared" si="0"/>
        <v>17388977.38811959</v>
      </c>
      <c r="H15" s="21">
        <f t="shared" si="0"/>
        <v>17340421.234915514</v>
      </c>
      <c r="I15" s="21">
        <f t="shared" si="0"/>
        <v>17292613.661711425</v>
      </c>
      <c r="J15" s="21">
        <f t="shared" si="0"/>
        <v>17244806.088507339</v>
      </c>
      <c r="K15" s="21">
        <f t="shared" si="0"/>
        <v>17196988.515303262</v>
      </c>
      <c r="L15" s="21">
        <f t="shared" si="0"/>
        <v>17149190.932099175</v>
      </c>
      <c r="M15" s="21">
        <f t="shared" si="0"/>
        <v>17101383.358895089</v>
      </c>
      <c r="N15" s="21">
        <f t="shared" si="0"/>
        <v>17246252.532684218</v>
      </c>
    </row>
    <row r="16" spans="1:14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5">
      <c r="A17" s="14" t="s">
        <v>3</v>
      </c>
      <c r="B17" s="21">
        <f t="shared" ref="B17:E17" si="1">C17+40333.93+1445.09</f>
        <v>785970.9737500007</v>
      </c>
      <c r="C17" s="21">
        <f t="shared" si="1"/>
        <v>744191.95375000068</v>
      </c>
      <c r="D17" s="21">
        <f t="shared" si="1"/>
        <v>702412.93375000067</v>
      </c>
      <c r="E17" s="21">
        <f t="shared" si="1"/>
        <v>660633.91375000065</v>
      </c>
      <c r="F17" s="21">
        <v>618854.89375000063</v>
      </c>
      <c r="G17" s="21">
        <f t="shared" ref="G17:I17" si="2">H17+40333.93+1445.09</f>
        <v>577085.67700000072</v>
      </c>
      <c r="H17" s="21">
        <f t="shared" si="2"/>
        <v>535306.65700000071</v>
      </c>
      <c r="I17" s="21">
        <f t="shared" si="2"/>
        <v>493527.63700000069</v>
      </c>
      <c r="J17" s="21">
        <f>K17+40333.93+1445.09</f>
        <v>451748.61700000067</v>
      </c>
      <c r="K17" s="21">
        <f>L17+20187.99+1445.09</f>
        <v>409969.59700000065</v>
      </c>
      <c r="L17" s="21">
        <f>M17+1455.09</f>
        <v>388336.51700000063</v>
      </c>
      <c r="M17" s="21">
        <v>386881.42700000061</v>
      </c>
      <c r="N17" s="21">
        <f t="shared" ref="N17" si="3">AVERAGE(B17:M17)</f>
        <v>562910.06647916744</v>
      </c>
    </row>
    <row r="18" spans="1:14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.75" thickBot="1" x14ac:dyDescent="0.3">
      <c r="A19" s="23" t="s">
        <v>4</v>
      </c>
      <c r="B19" s="24">
        <f>B7+B15+B17</f>
        <v>19466010.875723343</v>
      </c>
      <c r="C19" s="24">
        <f t="shared" ref="C19:N19" si="4">C7+C15+C17</f>
        <v>19370131.108519264</v>
      </c>
      <c r="D19" s="24">
        <f t="shared" si="4"/>
        <v>19294731.91131518</v>
      </c>
      <c r="E19" s="24">
        <f t="shared" si="4"/>
        <v>19207316.344111092</v>
      </c>
      <c r="F19" s="24">
        <f t="shared" si="4"/>
        <v>19295037.171740346</v>
      </c>
      <c r="G19" s="24">
        <f t="shared" si="4"/>
        <v>19330838.013718352</v>
      </c>
      <c r="H19" s="24">
        <f t="shared" si="4"/>
        <v>19245182.350514278</v>
      </c>
      <c r="I19" s="24">
        <f t="shared" si="4"/>
        <v>19146911.797310188</v>
      </c>
      <c r="J19" s="24">
        <f t="shared" si="4"/>
        <v>19048979.504106104</v>
      </c>
      <c r="K19" s="24">
        <f t="shared" si="4"/>
        <v>18933583.980902024</v>
      </c>
      <c r="L19" s="24">
        <f t="shared" si="4"/>
        <v>18883631.367697936</v>
      </c>
      <c r="M19" s="24">
        <f t="shared" si="4"/>
        <v>18825675.894493852</v>
      </c>
      <c r="N19" s="24">
        <f t="shared" si="4"/>
        <v>19170669.193345997</v>
      </c>
    </row>
    <row r="20" spans="1:14" ht="15.75" thickTop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5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1"/>
    </row>
    <row r="22" spans="1:14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1"/>
    </row>
    <row r="23" spans="1:14" x14ac:dyDescent="0.2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5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5">
      <c r="A25" s="14" t="s">
        <v>5</v>
      </c>
      <c r="B25" s="21">
        <v>469322.14</v>
      </c>
      <c r="C25" s="21">
        <v>469322.14</v>
      </c>
      <c r="D25" s="21">
        <v>469322.14</v>
      </c>
      <c r="E25" s="21">
        <v>469322.14</v>
      </c>
      <c r="F25" s="21">
        <v>469322.14</v>
      </c>
      <c r="G25" s="21">
        <v>469322.14</v>
      </c>
      <c r="H25" s="21">
        <v>469322.14</v>
      </c>
      <c r="I25" s="21">
        <v>469322.14</v>
      </c>
      <c r="J25" s="21">
        <v>469322.14</v>
      </c>
      <c r="K25" s="21">
        <v>469322.14</v>
      </c>
      <c r="L25" s="21">
        <v>469322.14</v>
      </c>
      <c r="M25" s="21">
        <v>469322.14</v>
      </c>
      <c r="N25" s="21">
        <f t="shared" ref="N25" si="5">AVERAGE(B25:M25)</f>
        <v>469322.13999999996</v>
      </c>
    </row>
    <row r="26" spans="1:14" x14ac:dyDescent="0.25">
      <c r="A26" s="14" t="s">
        <v>55</v>
      </c>
      <c r="B26" s="21">
        <v>112829.54999999987</v>
      </c>
      <c r="C26" s="21">
        <v>112829.54999999987</v>
      </c>
      <c r="D26" s="21">
        <v>110099.66999999987</v>
      </c>
      <c r="E26" s="21">
        <v>107369.78999999986</v>
      </c>
      <c r="F26" s="21">
        <v>101910.03000000026</v>
      </c>
      <c r="G26" s="21">
        <v>99180.15</v>
      </c>
      <c r="H26" s="21">
        <v>96450.27</v>
      </c>
      <c r="I26" s="21">
        <v>93720.389999999839</v>
      </c>
      <c r="J26" s="21">
        <v>90990.509999999835</v>
      </c>
      <c r="K26" s="21">
        <v>88260.62999999983</v>
      </c>
      <c r="L26" s="21">
        <v>85530.749999999825</v>
      </c>
      <c r="M26" s="21">
        <v>85530.749999999825</v>
      </c>
      <c r="N26" s="21">
        <f t="shared" ref="N26:N29" si="6">AVERAGE(B26:M26)</f>
        <v>98725.169999999911</v>
      </c>
    </row>
    <row r="27" spans="1:14" x14ac:dyDescent="0.25">
      <c r="A27" s="14" t="s">
        <v>6</v>
      </c>
      <c r="B27" s="21">
        <v>574332</v>
      </c>
      <c r="C27" s="21">
        <v>574332</v>
      </c>
      <c r="D27" s="21">
        <v>574332</v>
      </c>
      <c r="E27" s="21">
        <f>F27-44524</f>
        <v>574332</v>
      </c>
      <c r="F27" s="21">
        <v>618856</v>
      </c>
      <c r="G27" s="21">
        <v>618856</v>
      </c>
      <c r="H27" s="21">
        <v>618856</v>
      </c>
      <c r="I27" s="21">
        <v>618856</v>
      </c>
      <c r="J27" s="21">
        <v>618856</v>
      </c>
      <c r="K27" s="21">
        <v>618856</v>
      </c>
      <c r="L27" s="21">
        <v>618856</v>
      </c>
      <c r="M27" s="21">
        <v>618856</v>
      </c>
      <c r="N27" s="21">
        <f t="shared" si="6"/>
        <v>604014.66666666663</v>
      </c>
    </row>
    <row r="28" spans="1:14" x14ac:dyDescent="0.25">
      <c r="A28" s="14" t="s">
        <v>80</v>
      </c>
      <c r="B28" s="21">
        <v>10221736.070166277</v>
      </c>
      <c r="C28" s="21">
        <v>10329136.222962197</v>
      </c>
      <c r="D28" s="21">
        <v>10446049.265758114</v>
      </c>
      <c r="E28" s="21">
        <v>10540485.878554026</v>
      </c>
      <c r="F28" s="21">
        <v>9273019.4790489264</v>
      </c>
      <c r="G28" s="21">
        <v>9526151.8776026331</v>
      </c>
      <c r="H28" s="21">
        <v>9663274.8243985586</v>
      </c>
      <c r="I28" s="21">
        <v>9813104.15119447</v>
      </c>
      <c r="J28" s="21">
        <v>9949106.7179903872</v>
      </c>
      <c r="K28" s="21">
        <v>10043070.294786306</v>
      </c>
      <c r="L28" s="21">
        <v>10178636.401582217</v>
      </c>
      <c r="M28" s="21">
        <f>2504208+6179752</f>
        <v>8683960</v>
      </c>
      <c r="N28" s="21">
        <f t="shared" si="6"/>
        <v>9888977.5986703429</v>
      </c>
    </row>
    <row r="29" spans="1:14" x14ac:dyDescent="0.25">
      <c r="A29" s="14" t="s">
        <v>7</v>
      </c>
      <c r="B29" s="21">
        <f>C29+203279.92</f>
        <v>8087791.1155570671</v>
      </c>
      <c r="C29" s="21">
        <f>+D29+189582.36</f>
        <v>7884511.1955570672</v>
      </c>
      <c r="D29" s="21">
        <f>E29+179122.3</f>
        <v>7694928.8355570668</v>
      </c>
      <c r="E29" s="21">
        <f>F29+332821.9-1648945</f>
        <v>7515806.535557067</v>
      </c>
      <c r="F29" s="21">
        <v>8831929.6355570666</v>
      </c>
      <c r="G29" s="21">
        <f>+H29+220048.73</f>
        <v>8617327.8461157195</v>
      </c>
      <c r="H29" s="21">
        <f>I29+245370</f>
        <v>8397279.1161157191</v>
      </c>
      <c r="I29" s="21">
        <f>J29+231204.98</f>
        <v>8151909.1161157181</v>
      </c>
      <c r="J29" s="21">
        <f>K29+206629.22</f>
        <v>7920704.1361157177</v>
      </c>
      <c r="K29" s="21">
        <f>L29+182788.84</f>
        <v>7714074.916115718</v>
      </c>
      <c r="L29" s="21">
        <f>M29-1436721</f>
        <v>7531286.0761157181</v>
      </c>
      <c r="M29" s="21">
        <v>8968007.0761157181</v>
      </c>
      <c r="N29" s="21">
        <f t="shared" si="6"/>
        <v>8109629.6333829463</v>
      </c>
    </row>
    <row r="30" spans="1:14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5.75" thickBot="1" x14ac:dyDescent="0.3">
      <c r="A31" s="23" t="s">
        <v>56</v>
      </c>
      <c r="B31" s="24">
        <f>SUM(B25:B30)</f>
        <v>19466010.875723343</v>
      </c>
      <c r="C31" s="24">
        <f t="shared" ref="C31:M31" si="7">SUM(C25:C30)</f>
        <v>19370131.108519264</v>
      </c>
      <c r="D31" s="24">
        <f t="shared" si="7"/>
        <v>19294731.91131518</v>
      </c>
      <c r="E31" s="24">
        <f t="shared" si="7"/>
        <v>19207316.344111092</v>
      </c>
      <c r="F31" s="24">
        <f t="shared" si="7"/>
        <v>19295037.284605995</v>
      </c>
      <c r="G31" s="24">
        <f t="shared" si="7"/>
        <v>19330838.013718352</v>
      </c>
      <c r="H31" s="24">
        <f t="shared" si="7"/>
        <v>19245182.350514278</v>
      </c>
      <c r="I31" s="24">
        <f t="shared" si="7"/>
        <v>19146911.797310188</v>
      </c>
      <c r="J31" s="24">
        <f t="shared" si="7"/>
        <v>19048979.504106104</v>
      </c>
      <c r="K31" s="24">
        <f t="shared" si="7"/>
        <v>18933583.980902024</v>
      </c>
      <c r="L31" s="24">
        <f t="shared" si="7"/>
        <v>18883631.367697936</v>
      </c>
      <c r="M31" s="24">
        <f t="shared" si="7"/>
        <v>18825675.966115721</v>
      </c>
      <c r="N31" s="24">
        <f>AVERAGE(B31:M31)</f>
        <v>19170669.20871995</v>
      </c>
    </row>
    <row r="32" spans="1:14" ht="15.75" thickTop="1" x14ac:dyDescent="0.25">
      <c r="B32" s="21">
        <f>B19-B31</f>
        <v>0</v>
      </c>
      <c r="C32" s="21">
        <f t="shared" ref="C32:N32" si="8">C19-C31</f>
        <v>0</v>
      </c>
      <c r="D32" s="21">
        <f t="shared" si="8"/>
        <v>0</v>
      </c>
      <c r="E32" s="21">
        <f t="shared" si="8"/>
        <v>0</v>
      </c>
      <c r="F32" s="21">
        <f t="shared" si="8"/>
        <v>-0.11286564916372299</v>
      </c>
      <c r="G32" s="21">
        <f t="shared" si="8"/>
        <v>0</v>
      </c>
      <c r="H32" s="21">
        <f t="shared" si="8"/>
        <v>0</v>
      </c>
      <c r="I32" s="21">
        <f t="shared" si="8"/>
        <v>0</v>
      </c>
      <c r="J32" s="21">
        <f t="shared" si="8"/>
        <v>0</v>
      </c>
      <c r="K32" s="21">
        <f t="shared" si="8"/>
        <v>0</v>
      </c>
      <c r="L32" s="21">
        <f t="shared" si="8"/>
        <v>0</v>
      </c>
      <c r="M32" s="21">
        <f t="shared" si="8"/>
        <v>-7.1621868759393692E-2</v>
      </c>
      <c r="N32" s="21">
        <f t="shared" si="8"/>
        <v>-1.5373952686786652E-2</v>
      </c>
    </row>
    <row r="33" spans="1:14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5">
      <c r="A35" s="14" t="s">
        <v>31</v>
      </c>
      <c r="B35" s="21">
        <f t="shared" ref="B35:M35" si="9">B25*0.45</f>
        <v>211194.96300000002</v>
      </c>
      <c r="C35" s="21">
        <f t="shared" si="9"/>
        <v>211194.96300000002</v>
      </c>
      <c r="D35" s="21">
        <f t="shared" si="9"/>
        <v>211194.96300000002</v>
      </c>
      <c r="E35" s="21">
        <f t="shared" si="9"/>
        <v>211194.96300000002</v>
      </c>
      <c r="F35" s="21">
        <f t="shared" si="9"/>
        <v>211194.96300000002</v>
      </c>
      <c r="G35" s="21">
        <f t="shared" si="9"/>
        <v>211194.96300000002</v>
      </c>
      <c r="H35" s="21">
        <f t="shared" si="9"/>
        <v>211194.96300000002</v>
      </c>
      <c r="I35" s="21">
        <f t="shared" si="9"/>
        <v>211194.96300000002</v>
      </c>
      <c r="J35" s="21">
        <f t="shared" si="9"/>
        <v>211194.96300000002</v>
      </c>
      <c r="K35" s="21">
        <f t="shared" si="9"/>
        <v>211194.96300000002</v>
      </c>
      <c r="L35" s="21">
        <f t="shared" si="9"/>
        <v>211194.96300000002</v>
      </c>
      <c r="M35" s="21">
        <f t="shared" si="9"/>
        <v>211194.96300000002</v>
      </c>
      <c r="N35" s="21">
        <f t="shared" ref="N35" si="10">AVERAGE(B35:M35)</f>
        <v>211194.96300000002</v>
      </c>
    </row>
    <row r="37" spans="1:14" x14ac:dyDescent="0.25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4" x14ac:dyDescent="0.25">
      <c r="F38" s="13"/>
      <c r="L38" s="13"/>
      <c r="M38" s="13"/>
    </row>
    <row r="39" spans="1:14" x14ac:dyDescent="0.25">
      <c r="B39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431a850e2900aa2af2b5b11c32d8e0cb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91662091352c51657f1a6be87da12cd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4EPV5CSZ2ZPH-2104175878-279759</_dlc_DocId>
    <_dlc_DocIdUrl xmlns="219c5758-d311-4f49-8eb7-a0c37216249c">
      <Url>https://cswrgroup.sharepoint.com/_layouts/15/DocIdRedir.aspx?ID=4EPV5CSZ2ZPH-2104175878-279759</Url>
      <Description>4EPV5CSZ2ZPH-2104175878-279759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1003DD0-D928-4869-83F8-4E3791FA17D6}"/>
</file>

<file path=customXml/itemProps2.xml><?xml version="1.0" encoding="utf-8"?>
<ds:datastoreItem xmlns:ds="http://schemas.openxmlformats.org/officeDocument/2006/customXml" ds:itemID="{61DC680A-8AAB-4D66-AFD4-DCDC7ED8D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1F7A9-3F47-4AAE-8832-64734B7ECBC5}">
  <ds:schemaRefs>
    <ds:schemaRef ds:uri="ce426531-eb52-4602-919d-027a2a672310"/>
    <ds:schemaRef ds:uri="http://purl.org/dc/dcmitype/"/>
    <ds:schemaRef ds:uri="219c5758-d311-4f49-8eb7-a0c37216249c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6352AC0-131A-4F97-B975-218230E7662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Balance Sheet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O’Reilly</dc:creator>
  <cp:lastModifiedBy>Emily Harlow</cp:lastModifiedBy>
  <dcterms:created xsi:type="dcterms:W3CDTF">2023-04-20T12:15:30Z</dcterms:created>
  <dcterms:modified xsi:type="dcterms:W3CDTF">2025-12-18T16:12:20Z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d6c4f0f0-39d9-41f4-914e-1b15d125766d</vt:lpwstr>
  </property>
</Properties>
</file>