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spen\Strobo Barkley PLLC Dropbox\Strobo Barkley PLLC Team Folder\CASES\scott county (ky psc 2025-00354)\2026 08 26 data requests to scott county\Response to Staff\"/>
    </mc:Choice>
  </mc:AlternateContent>
  <xr:revisionPtr revIDLastSave="0" documentId="13_ncr:1_{FCF7D6C4-B12F-46ED-A3CE-5A71DE5E0B9E}" xr6:coauthVersionLast="47" xr6:coauthVersionMax="47" xr10:uidLastSave="{00000000-0000-0000-0000-000000000000}"/>
  <bookViews>
    <workbookView xWindow="-90" yWindow="0" windowWidth="17380" windowHeight="13770" activeTab="4" xr2:uid="{8C1B515D-E91E-498B-B2DA-8A577FB6821C}"/>
  </bookViews>
  <sheets>
    <sheet name="Table 1" sheetId="2" r:id="rId1"/>
    <sheet name="MPG-1" sheetId="4" r:id="rId2"/>
    <sheet name="MPG-2" sheetId="3" r:id="rId3"/>
    <sheet name="MPG-3" sheetId="5" r:id="rId4"/>
    <sheet name="Table 2     Delaplain Rates" sheetId="1" r:id="rId5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VersionNumber" hidden="1">"4.11.8796"</definedName>
    <definedName name="xdif" hidden="1">"4.11.8796"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39" i="5" l="1"/>
  <c r="W10" i="5"/>
  <c r="I42" i="5"/>
  <c r="G42" i="5"/>
  <c r="H42" i="5"/>
  <c r="I40" i="5"/>
  <c r="J38" i="5"/>
  <c r="H41" i="5"/>
  <c r="H40" i="5"/>
  <c r="W26" i="5"/>
  <c r="X26" i="5" s="1"/>
  <c r="Y26" i="5" s="1"/>
  <c r="E38" i="5"/>
  <c r="D38" i="5"/>
  <c r="W35" i="5"/>
  <c r="X35" i="5" s="1"/>
  <c r="Y35" i="5" s="1"/>
  <c r="J35" i="5"/>
  <c r="K35" i="5" s="1"/>
  <c r="I35" i="5"/>
  <c r="P35" i="5" s="1"/>
  <c r="G35" i="5"/>
  <c r="H35" i="5" s="1"/>
  <c r="N34" i="5"/>
  <c r="G34" i="5"/>
  <c r="W30" i="5"/>
  <c r="X30" i="5" s="1"/>
  <c r="Y30" i="5" s="1"/>
  <c r="G30" i="5"/>
  <c r="N30" i="5" s="1"/>
  <c r="R26" i="5"/>
  <c r="G26" i="5"/>
  <c r="N26" i="5" s="1"/>
  <c r="G22" i="5"/>
  <c r="T17" i="5" s="1"/>
  <c r="N18" i="5"/>
  <c r="G18" i="5"/>
  <c r="T16" i="5"/>
  <c r="G14" i="5"/>
  <c r="N14" i="5" s="1"/>
  <c r="T11" i="5"/>
  <c r="N10" i="5"/>
  <c r="G10" i="5"/>
  <c r="T14" i="5" s="1"/>
  <c r="B9" i="5"/>
  <c r="B10" i="5" s="1"/>
  <c r="B11" i="5" s="1"/>
  <c r="B12" i="5" s="1"/>
  <c r="B13" i="5" s="1"/>
  <c r="B14" i="5" s="1"/>
  <c r="B15" i="5" s="1"/>
  <c r="B16" i="5" s="1"/>
  <c r="B17" i="5" s="1"/>
  <c r="B18" i="5" s="1"/>
  <c r="B19" i="5" s="1"/>
  <c r="B20" i="5" s="1"/>
  <c r="B21" i="5" s="1"/>
  <c r="B22" i="5" s="1"/>
  <c r="B23" i="5" s="1"/>
  <c r="B24" i="5" s="1"/>
  <c r="B25" i="5" s="1"/>
  <c r="B26" i="5" s="1"/>
  <c r="B27" i="5" s="1"/>
  <c r="B28" i="5" s="1"/>
  <c r="B29" i="5" s="1"/>
  <c r="B30" i="5" s="1"/>
  <c r="B31" i="5" s="1"/>
  <c r="B32" i="5" s="1"/>
  <c r="B33" i="5" s="1"/>
  <c r="B34" i="5" s="1"/>
  <c r="B35" i="5" s="1"/>
  <c r="B37" i="5" s="1"/>
  <c r="B38" i="5" s="1"/>
  <c r="B39" i="5" s="1"/>
  <c r="B40" i="5" s="1"/>
  <c r="B41" i="5" s="1"/>
  <c r="B42" i="5" s="1"/>
  <c r="N34" i="4"/>
  <c r="J35" i="3"/>
  <c r="I35" i="3" s="1"/>
  <c r="I34" i="4"/>
  <c r="I35" i="4"/>
  <c r="J34" i="4"/>
  <c r="I38" i="3"/>
  <c r="B9" i="3"/>
  <c r="B10" i="3" s="1"/>
  <c r="B11" i="3" s="1"/>
  <c r="B12" i="3" s="1"/>
  <c r="B13" i="3" s="1"/>
  <c r="B14" i="3" s="1"/>
  <c r="B15" i="3" s="1"/>
  <c r="B16" i="3" s="1"/>
  <c r="B17" i="3" s="1"/>
  <c r="B18" i="3" s="1"/>
  <c r="B19" i="3" s="1"/>
  <c r="B20" i="3" s="1"/>
  <c r="B21" i="3" s="1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7" i="3" s="1"/>
  <c r="B38" i="3" s="1"/>
  <c r="B39" i="3" s="1"/>
  <c r="B40" i="3" s="1"/>
  <c r="B41" i="3" s="1"/>
  <c r="B42" i="3" s="1"/>
  <c r="G10" i="3"/>
  <c r="N10" i="3" s="1"/>
  <c r="T11" i="3"/>
  <c r="G14" i="3"/>
  <c r="N14" i="3" s="1"/>
  <c r="G18" i="3"/>
  <c r="T16" i="3" s="1"/>
  <c r="N18" i="3"/>
  <c r="G22" i="3"/>
  <c r="N22" i="3" s="1"/>
  <c r="G26" i="3"/>
  <c r="N26" i="3" s="1"/>
  <c r="R26" i="3"/>
  <c r="G30" i="3"/>
  <c r="N30" i="3" s="1"/>
  <c r="G34" i="3"/>
  <c r="N34" i="3" s="1"/>
  <c r="G35" i="3"/>
  <c r="N35" i="3" s="1"/>
  <c r="D38" i="3"/>
  <c r="E38" i="3"/>
  <c r="H40" i="3"/>
  <c r="H41" i="3"/>
  <c r="G50" i="4"/>
  <c r="N36" i="4"/>
  <c r="N35" i="4"/>
  <c r="N30" i="4"/>
  <c r="N26" i="4"/>
  <c r="N22" i="4"/>
  <c r="N18" i="4"/>
  <c r="N14" i="4"/>
  <c r="N10" i="4"/>
  <c r="N22" i="5" l="1"/>
  <c r="W18" i="5"/>
  <c r="X18" i="5" s="1"/>
  <c r="Y18" i="5" s="1"/>
  <c r="W22" i="5"/>
  <c r="X22" i="5" s="1"/>
  <c r="Y22" i="5" s="1"/>
  <c r="G38" i="5"/>
  <c r="T15" i="5"/>
  <c r="N35" i="5"/>
  <c r="Q35" i="5" s="1"/>
  <c r="W34" i="5"/>
  <c r="X34" i="5" s="1"/>
  <c r="Y34" i="5" s="1"/>
  <c r="W14" i="5"/>
  <c r="X14" i="5" s="1"/>
  <c r="Y14" i="5" s="1"/>
  <c r="W39" i="3"/>
  <c r="W10" i="3" s="1"/>
  <c r="X10" i="3" s="1"/>
  <c r="J10" i="3" s="1"/>
  <c r="I10" i="3" s="1"/>
  <c r="W35" i="3"/>
  <c r="X35" i="3" s="1"/>
  <c r="Y35" i="3" s="1"/>
  <c r="P35" i="3"/>
  <c r="Q35" i="3" s="1"/>
  <c r="W30" i="3"/>
  <c r="X30" i="3" s="1"/>
  <c r="Y30" i="3" s="1"/>
  <c r="W22" i="3"/>
  <c r="X22" i="3" s="1"/>
  <c r="Y22" i="3" s="1"/>
  <c r="W26" i="3"/>
  <c r="X26" i="3" s="1"/>
  <c r="Y26" i="3" s="1"/>
  <c r="W18" i="3"/>
  <c r="X18" i="3" s="1"/>
  <c r="Y18" i="3" s="1"/>
  <c r="W14" i="3"/>
  <c r="X14" i="3" s="1"/>
  <c r="Y14" i="3" s="1"/>
  <c r="W34" i="3"/>
  <c r="X34" i="3" s="1"/>
  <c r="Y34" i="3" s="1"/>
  <c r="J35" i="4"/>
  <c r="H35" i="4"/>
  <c r="I50" i="4"/>
  <c r="H34" i="4"/>
  <c r="T17" i="3"/>
  <c r="T14" i="3"/>
  <c r="N36" i="3"/>
  <c r="G38" i="3"/>
  <c r="J38" i="3" s="1"/>
  <c r="T15" i="3"/>
  <c r="G19" i="1"/>
  <c r="E19" i="1"/>
  <c r="C18" i="1"/>
  <c r="C14" i="1"/>
  <c r="Q26" i="4"/>
  <c r="I14" i="2"/>
  <c r="K14" i="2" s="1"/>
  <c r="M14" i="2" s="1"/>
  <c r="I28" i="2"/>
  <c r="G28" i="2"/>
  <c r="H41" i="4"/>
  <c r="H40" i="4"/>
  <c r="E38" i="4"/>
  <c r="D38" i="4"/>
  <c r="G35" i="4"/>
  <c r="G34" i="4"/>
  <c r="G30" i="4"/>
  <c r="G24" i="2" s="1"/>
  <c r="R26" i="4"/>
  <c r="G26" i="4"/>
  <c r="G22" i="2" s="1"/>
  <c r="G22" i="4"/>
  <c r="T17" i="4" s="1"/>
  <c r="G19" i="2" s="1"/>
  <c r="G18" i="4"/>
  <c r="T16" i="4" s="1"/>
  <c r="G18" i="2" s="1"/>
  <c r="G14" i="4"/>
  <c r="T15" i="4" s="1"/>
  <c r="G17" i="2" s="1"/>
  <c r="T11" i="4"/>
  <c r="G10" i="4"/>
  <c r="B9" i="4"/>
  <c r="B10" i="4" s="1"/>
  <c r="B11" i="4" s="1"/>
  <c r="B12" i="4" s="1"/>
  <c r="B13" i="4" s="1"/>
  <c r="B14" i="4" s="1"/>
  <c r="B15" i="4" s="1"/>
  <c r="B16" i="4" s="1"/>
  <c r="B17" i="4" s="1"/>
  <c r="B18" i="4" s="1"/>
  <c r="B19" i="4" s="1"/>
  <c r="B20" i="4" s="1"/>
  <c r="B21" i="4" s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7" i="4" s="1"/>
  <c r="B38" i="4" s="1"/>
  <c r="B39" i="4" s="1"/>
  <c r="B40" i="4" s="1"/>
  <c r="B41" i="4" s="1"/>
  <c r="B42" i="4" s="1"/>
  <c r="W38" i="5" l="1"/>
  <c r="X10" i="5"/>
  <c r="N36" i="5"/>
  <c r="W38" i="3"/>
  <c r="G42" i="3"/>
  <c r="H42" i="3" s="1"/>
  <c r="H38" i="3" s="1"/>
  <c r="G26" i="2"/>
  <c r="G38" i="4"/>
  <c r="G42" i="4" s="1"/>
  <c r="H42" i="4" s="1"/>
  <c r="H38" i="4" s="1"/>
  <c r="K28" i="2"/>
  <c r="M28" i="2" s="1"/>
  <c r="T14" i="4"/>
  <c r="G16" i="2" s="1"/>
  <c r="I38" i="4"/>
  <c r="Y10" i="5" l="1"/>
  <c r="J10" i="5"/>
  <c r="I10" i="5" s="1"/>
  <c r="H38" i="5"/>
  <c r="J38" i="4"/>
  <c r="G20" i="2"/>
  <c r="G30" i="2" s="1"/>
  <c r="J10" i="4"/>
  <c r="J14" i="5" l="1"/>
  <c r="J26" i="5"/>
  <c r="J22" i="5"/>
  <c r="K10" i="5"/>
  <c r="L10" i="5" s="1"/>
  <c r="J18" i="5"/>
  <c r="J30" i="5"/>
  <c r="J22" i="4"/>
  <c r="K10" i="4"/>
  <c r="L10" i="4" s="1"/>
  <c r="J26" i="4"/>
  <c r="I10" i="4"/>
  <c r="P10" i="4" s="1"/>
  <c r="J14" i="4"/>
  <c r="J30" i="4"/>
  <c r="I19" i="1" s="1"/>
  <c r="K19" i="1" s="1"/>
  <c r="J18" i="4"/>
  <c r="K30" i="5" l="1"/>
  <c r="L30" i="5" s="1"/>
  <c r="I30" i="5"/>
  <c r="K18" i="5"/>
  <c r="L18" i="5" s="1"/>
  <c r="I18" i="5"/>
  <c r="I22" i="5"/>
  <c r="K22" i="5"/>
  <c r="L22" i="5" s="1"/>
  <c r="K26" i="5"/>
  <c r="L26" i="5" s="1"/>
  <c r="I26" i="5"/>
  <c r="P10" i="5"/>
  <c r="Q10" i="5" s="1"/>
  <c r="U14" i="5"/>
  <c r="H10" i="5"/>
  <c r="J34" i="5"/>
  <c r="K14" i="5"/>
  <c r="L14" i="5" s="1"/>
  <c r="I14" i="5"/>
  <c r="H10" i="4"/>
  <c r="U14" i="4"/>
  <c r="I16" i="2" s="1"/>
  <c r="K18" i="4"/>
  <c r="L18" i="4" s="1"/>
  <c r="I18" i="4"/>
  <c r="P18" i="4" s="1"/>
  <c r="I30" i="4"/>
  <c r="P30" i="4" s="1"/>
  <c r="K30" i="4"/>
  <c r="L30" i="4" s="1"/>
  <c r="K14" i="4"/>
  <c r="L14" i="4" s="1"/>
  <c r="I14" i="4"/>
  <c r="P14" i="4" s="1"/>
  <c r="I26" i="4"/>
  <c r="K26" i="4"/>
  <c r="L26" i="4" s="1"/>
  <c r="K22" i="4"/>
  <c r="L22" i="4" s="1"/>
  <c r="I22" i="4"/>
  <c r="P22" i="4" s="1"/>
  <c r="I34" i="5" l="1"/>
  <c r="K34" i="5"/>
  <c r="L34" i="5" s="1"/>
  <c r="P26" i="5"/>
  <c r="Q26" i="5" s="1"/>
  <c r="S26" i="5" s="1"/>
  <c r="H26" i="5"/>
  <c r="U17" i="5"/>
  <c r="P22" i="5"/>
  <c r="Q22" i="5" s="1"/>
  <c r="H22" i="5"/>
  <c r="H18" i="5"/>
  <c r="U16" i="5"/>
  <c r="P18" i="5"/>
  <c r="Q18" i="5" s="1"/>
  <c r="P30" i="5"/>
  <c r="Q30" i="5" s="1"/>
  <c r="H30" i="5"/>
  <c r="P14" i="5"/>
  <c r="Q14" i="5" s="1"/>
  <c r="U15" i="5"/>
  <c r="H14" i="5"/>
  <c r="P26" i="4"/>
  <c r="S26" i="4"/>
  <c r="K16" i="2"/>
  <c r="H26" i="4"/>
  <c r="I22" i="2"/>
  <c r="K22" i="2" s="1"/>
  <c r="M22" i="2" s="1"/>
  <c r="H30" i="4"/>
  <c r="I24" i="2"/>
  <c r="K24" i="2" s="1"/>
  <c r="M24" i="2" s="1"/>
  <c r="H22" i="4"/>
  <c r="U17" i="4"/>
  <c r="I19" i="2" s="1"/>
  <c r="K19" i="2" s="1"/>
  <c r="M19" i="2" s="1"/>
  <c r="H14" i="4"/>
  <c r="U15" i="4"/>
  <c r="I17" i="2" s="1"/>
  <c r="K17" i="2" s="1"/>
  <c r="M17" i="2" s="1"/>
  <c r="H18" i="4"/>
  <c r="U16" i="4"/>
  <c r="I18" i="2" s="1"/>
  <c r="K18" i="2" s="1"/>
  <c r="M18" i="2" s="1"/>
  <c r="P34" i="4"/>
  <c r="K34" i="4"/>
  <c r="L34" i="4" s="1"/>
  <c r="P34" i="5" l="1"/>
  <c r="H34" i="5"/>
  <c r="X42" i="5"/>
  <c r="M16" i="2"/>
  <c r="K20" i="2"/>
  <c r="I20" i="2"/>
  <c r="Q34" i="5" l="1"/>
  <c r="P36" i="5"/>
  <c r="P35" i="4"/>
  <c r="P36" i="4" s="1"/>
  <c r="I47" i="4"/>
  <c r="I26" i="2"/>
  <c r="K26" i="2" s="1"/>
  <c r="M26" i="2" s="1"/>
  <c r="M20" i="2"/>
  <c r="K35" i="4"/>
  <c r="L35" i="4" s="1"/>
  <c r="H45" i="4"/>
  <c r="K30" i="2" l="1"/>
  <c r="M30" i="2" s="1"/>
  <c r="I30" i="2"/>
  <c r="C17" i="2"/>
  <c r="C18" i="2" s="1"/>
  <c r="C19" i="2" s="1"/>
  <c r="C20" i="2" s="1"/>
  <c r="C22" i="2" s="1"/>
  <c r="C24" i="2" s="1"/>
  <c r="C26" i="2" s="1"/>
  <c r="C28" i="2" s="1"/>
  <c r="C30" i="2" s="1"/>
  <c r="K16" i="1"/>
  <c r="K15" i="1"/>
  <c r="H35" i="3" l="1"/>
  <c r="K35" i="3" l="1"/>
  <c r="J30" i="3"/>
  <c r="K30" i="3" s="1"/>
  <c r="L30" i="3" s="1"/>
  <c r="J22" i="3"/>
  <c r="I22" i="3" s="1"/>
  <c r="J26" i="3"/>
  <c r="K26" i="3" s="1"/>
  <c r="L26" i="3" s="1"/>
  <c r="Y10" i="3"/>
  <c r="K10" i="3"/>
  <c r="L10" i="3" s="1"/>
  <c r="K22" i="3" l="1"/>
  <c r="L22" i="3" s="1"/>
  <c r="H10" i="3"/>
  <c r="U14" i="3"/>
  <c r="P10" i="3"/>
  <c r="Q10" i="3" s="1"/>
  <c r="U17" i="3"/>
  <c r="H22" i="3"/>
  <c r="P22" i="3"/>
  <c r="Q22" i="3" s="1"/>
  <c r="I30" i="3"/>
  <c r="P30" i="3" s="1"/>
  <c r="I26" i="3"/>
  <c r="J14" i="3"/>
  <c r="J34" i="3" s="1"/>
  <c r="J18" i="3"/>
  <c r="H30" i="3" l="1"/>
  <c r="Q30" i="3"/>
  <c r="I18" i="3"/>
  <c r="K18" i="3"/>
  <c r="L18" i="3" s="1"/>
  <c r="P26" i="3"/>
  <c r="Q26" i="3" s="1"/>
  <c r="S26" i="3" s="1"/>
  <c r="H26" i="3"/>
  <c r="K14" i="3"/>
  <c r="L14" i="3" s="1"/>
  <c r="I14" i="3"/>
  <c r="H14" i="3" l="1"/>
  <c r="P14" i="3"/>
  <c r="Q14" i="3" s="1"/>
  <c r="U15" i="3"/>
  <c r="K34" i="3"/>
  <c r="L34" i="3" s="1"/>
  <c r="I34" i="3"/>
  <c r="P34" i="3" s="1"/>
  <c r="Q34" i="3" s="1"/>
  <c r="U16" i="3"/>
  <c r="P18" i="3"/>
  <c r="Q18" i="3" s="1"/>
  <c r="H18" i="3"/>
  <c r="X42" i="3" l="1"/>
  <c r="H34" i="3"/>
  <c r="P36" i="3" l="1"/>
</calcChain>
</file>

<file path=xl/sharedStrings.xml><?xml version="1.0" encoding="utf-8"?>
<sst xmlns="http://schemas.openxmlformats.org/spreadsheetml/2006/main" count="190" uniqueCount="66">
  <si>
    <t>Line</t>
  </si>
  <si>
    <t>Description</t>
  </si>
  <si>
    <t>Current</t>
  </si>
  <si>
    <t>Proposed</t>
  </si>
  <si>
    <t>Increase</t>
  </si>
  <si>
    <t>Monthly Flat Rate</t>
  </si>
  <si>
    <t>C&amp;I Usage Charge ($/kgal)</t>
  </si>
  <si>
    <t>Residential</t>
  </si>
  <si>
    <t>Single</t>
  </si>
  <si>
    <t>Commonwealth</t>
  </si>
  <si>
    <t>Magruder Village</t>
  </si>
  <si>
    <t>Yung Farm</t>
  </si>
  <si>
    <t>Total Residential</t>
  </si>
  <si>
    <t>Multi-Residential</t>
  </si>
  <si>
    <t>Commercial</t>
  </si>
  <si>
    <t>Delaplain Non-Residential</t>
  </si>
  <si>
    <t>Total</t>
  </si>
  <si>
    <t>Current and Proposed Wastewater Revenues</t>
  </si>
  <si>
    <t>Rate Design - Wastewater</t>
  </si>
  <si>
    <t>Line Number</t>
  </si>
  <si>
    <t>Customer Type</t>
  </si>
  <si>
    <t xml:space="preserve">Test Year Bill Count </t>
  </si>
  <si>
    <t>Usage Count (T-Gals)</t>
  </si>
  <si>
    <t>Current Rate</t>
  </si>
  <si>
    <t xml:space="preserve">Test Year At Present Rates Revenue </t>
  </si>
  <si>
    <t>Proposed  Revenue Increase</t>
  </si>
  <si>
    <t>Test Year Proposed Revenue</t>
  </si>
  <si>
    <t xml:space="preserve">Proposed Monthly Charge </t>
  </si>
  <si>
    <t>Increase / Decrease</t>
  </si>
  <si>
    <t>Percentage</t>
  </si>
  <si>
    <t>Factor</t>
  </si>
  <si>
    <t>Res/Non-res Split</t>
  </si>
  <si>
    <t>Single Residential Rate</t>
  </si>
  <si>
    <t xml:space="preserve">   All Meter Sizes</t>
  </si>
  <si>
    <t>Gallonage Revenue</t>
  </si>
  <si>
    <t>Commonwealth Residential Rate</t>
  </si>
  <si>
    <t>Magruder Village Residential Rate</t>
  </si>
  <si>
    <t>Yung Farm Estates Residential Rate</t>
  </si>
  <si>
    <t>Multi Residential Rate</t>
  </si>
  <si>
    <t>Commercial Flat Rate</t>
  </si>
  <si>
    <t>Delaplain Non-Residential Rate</t>
  </si>
  <si>
    <t xml:space="preserve">Subtotal: </t>
  </si>
  <si>
    <t>Late Fees</t>
  </si>
  <si>
    <t>NSF Fees</t>
  </si>
  <si>
    <t>Total:</t>
  </si>
  <si>
    <t>807 KAR 5:001 Section 16 (8)(n)</t>
  </si>
  <si>
    <t>Bluegrass Operating Company, LLC</t>
  </si>
  <si>
    <t>2025-00354</t>
  </si>
  <si>
    <t>Amount</t>
  </si>
  <si>
    <t>Percent</t>
  </si>
  <si>
    <t>Proposed Increase</t>
  </si>
  <si>
    <t>TABLE 2</t>
  </si>
  <si>
    <t>TABLE 1</t>
  </si>
  <si>
    <t>Source:</t>
  </si>
  <si>
    <t xml:space="preserve"> </t>
  </si>
  <si>
    <t>Non-Residential Rates</t>
  </si>
  <si>
    <t>Cost per Bill at Proposed rates</t>
  </si>
  <si>
    <t>Cost per Bill at Current rates</t>
  </si>
  <si>
    <t>Allocate:</t>
  </si>
  <si>
    <t>Percentage Increase</t>
  </si>
  <si>
    <t>Revised Proposed Charge</t>
  </si>
  <si>
    <t>Revised Proposed Revenue</t>
  </si>
  <si>
    <t>Cost per Bill Proposed rate</t>
  </si>
  <si>
    <t>Cost per Bill Current rate</t>
  </si>
  <si>
    <t>Rate Design - Wastewater Uniform Change</t>
  </si>
  <si>
    <t>EQUAL?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</si>
</sst>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_(&quot;$&quot;* #,##0_);_(&quot;$&quot;* \(#,##0\);_(&quot;$&quot;* &quot;-&quot;??_);_(@_)"/>
    <numFmt numFmtId="167" formatCode="0_);\(0\)"/>
    <numFmt numFmtId="168" formatCode="&quot;$&quot;#,##0.0_);\(&quot;$&quot;#,##0.0\)"/>
    <numFmt numFmtId="169" formatCode="_(&quot;$&quot;* #,##0.0000_);_(&quot;$&quot;* \(#,##0.0000\);_(&quot;$&quot;* &quot;-&quot;??_);_(@_)"/>
  </numFmts>
  <fonts count="12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sz val="11"/>
      <color theme="1"/>
      <name val="Aptos Narrow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u/>
      <sz val="11"/>
      <color theme="1"/>
      <name val="Arial"/>
      <family val="2"/>
    </font>
    <font>
      <b/>
      <sz val="12"/>
      <color theme="1"/>
      <name val="Times New Roman"/>
      <family val="1"/>
    </font>
    <font>
      <b/>
      <u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8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44" fontId="0" fillId="0" borderId="0" xfId="1" applyFont="1" applyBorder="1"/>
    <xf numFmtId="164" fontId="0" fillId="0" borderId="0" xfId="2" applyNumberFormat="1" applyFont="1" applyBorder="1"/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0" fillId="0" borderId="0" xfId="0" applyAlignment="1">
      <alignment horizontal="left" indent="1"/>
    </xf>
    <xf numFmtId="0" fontId="0" fillId="0" borderId="0" xfId="0" applyAlignment="1">
      <alignment vertical="center" wrapText="1"/>
    </xf>
    <xf numFmtId="0" fontId="5" fillId="0" borderId="0" xfId="3" applyFont="1"/>
    <xf numFmtId="0" fontId="6" fillId="0" borderId="9" xfId="3" applyFont="1" applyBorder="1" applyAlignment="1">
      <alignment horizontal="center" vertical="center" wrapText="1"/>
    </xf>
    <xf numFmtId="1" fontId="6" fillId="0" borderId="9" xfId="3" applyNumberFormat="1" applyFont="1" applyBorder="1" applyAlignment="1">
      <alignment horizontal="center" vertical="center" wrapText="1"/>
    </xf>
    <xf numFmtId="0" fontId="5" fillId="0" borderId="0" xfId="3" applyFont="1" applyAlignment="1">
      <alignment vertical="center"/>
    </xf>
    <xf numFmtId="0" fontId="7" fillId="0" borderId="0" xfId="3" applyFont="1" applyAlignment="1">
      <alignment horizontal="center"/>
    </xf>
    <xf numFmtId="0" fontId="8" fillId="0" borderId="0" xfId="3" applyFont="1"/>
    <xf numFmtId="43" fontId="8" fillId="0" borderId="0" xfId="3" applyNumberFormat="1" applyFont="1"/>
    <xf numFmtId="0" fontId="2" fillId="0" borderId="0" xfId="3" applyFont="1"/>
    <xf numFmtId="0" fontId="7" fillId="0" borderId="0" xfId="3" applyFont="1"/>
    <xf numFmtId="0" fontId="1" fillId="0" borderId="0" xfId="3" applyFont="1"/>
    <xf numFmtId="165" fontId="1" fillId="0" borderId="0" xfId="3" applyNumberFormat="1" applyFont="1"/>
    <xf numFmtId="165" fontId="7" fillId="0" borderId="0" xfId="4" applyNumberFormat="1" applyFont="1" applyFill="1"/>
    <xf numFmtId="44" fontId="1" fillId="0" borderId="0" xfId="5" applyFont="1"/>
    <xf numFmtId="166" fontId="7" fillId="0" borderId="0" xfId="5" applyNumberFormat="1" applyFont="1" applyFill="1"/>
    <xf numFmtId="166" fontId="1" fillId="0" borderId="0" xfId="3" applyNumberFormat="1" applyFont="1"/>
    <xf numFmtId="44" fontId="1" fillId="0" borderId="0" xfId="3" applyNumberFormat="1" applyFont="1"/>
    <xf numFmtId="164" fontId="1" fillId="0" borderId="0" xfId="6" applyNumberFormat="1" applyFont="1"/>
    <xf numFmtId="165" fontId="1" fillId="0" borderId="0" xfId="4" applyNumberFormat="1" applyFont="1"/>
    <xf numFmtId="10" fontId="1" fillId="0" borderId="0" xfId="6" applyNumberFormat="1" applyFont="1"/>
    <xf numFmtId="8" fontId="1" fillId="0" borderId="0" xfId="3" applyNumberFormat="1" applyFont="1"/>
    <xf numFmtId="44" fontId="7" fillId="0" borderId="0" xfId="5" applyFont="1" applyFill="1"/>
    <xf numFmtId="43" fontId="1" fillId="0" borderId="0" xfId="3" applyNumberFormat="1" applyFont="1"/>
    <xf numFmtId="9" fontId="1" fillId="0" borderId="0" xfId="6" applyFont="1"/>
    <xf numFmtId="166" fontId="2" fillId="0" borderId="0" xfId="3" applyNumberFormat="1" applyFont="1"/>
    <xf numFmtId="166" fontId="7" fillId="0" borderId="0" xfId="5" applyNumberFormat="1" applyFont="1"/>
    <xf numFmtId="43" fontId="7" fillId="0" borderId="0" xfId="4" applyFont="1" applyFill="1"/>
    <xf numFmtId="165" fontId="2" fillId="0" borderId="0" xfId="3" applyNumberFormat="1" applyFont="1"/>
    <xf numFmtId="43" fontId="2" fillId="0" borderId="0" xfId="3" applyNumberFormat="1" applyFont="1"/>
    <xf numFmtId="6" fontId="2" fillId="0" borderId="0" xfId="3" applyNumberFormat="1" applyFont="1"/>
    <xf numFmtId="166" fontId="0" fillId="0" borderId="0" xfId="1" applyNumberFormat="1" applyFont="1" applyBorder="1"/>
    <xf numFmtId="41" fontId="0" fillId="0" borderId="0" xfId="1" applyNumberFormat="1" applyFont="1" applyBorder="1"/>
    <xf numFmtId="41" fontId="0" fillId="0" borderId="1" xfId="1" applyNumberFormat="1" applyFont="1" applyBorder="1"/>
    <xf numFmtId="0" fontId="3" fillId="0" borderId="0" xfId="0" applyFont="1" applyAlignment="1">
      <alignment horizontal="center"/>
    </xf>
    <xf numFmtId="0" fontId="2" fillId="0" borderId="9" xfId="0" applyFont="1" applyBorder="1" applyAlignment="1">
      <alignment horizontal="center"/>
    </xf>
    <xf numFmtId="166" fontId="0" fillId="0" borderId="1" xfId="1" applyNumberFormat="1" applyFont="1" applyBorder="1"/>
    <xf numFmtId="167" fontId="0" fillId="0" borderId="0" xfId="0" applyNumberFormat="1" applyAlignment="1">
      <alignment horizontal="center"/>
    </xf>
    <xf numFmtId="167" fontId="0" fillId="0" borderId="6" xfId="0" applyNumberFormat="1" applyBorder="1" applyAlignment="1">
      <alignment horizontal="center"/>
    </xf>
    <xf numFmtId="0" fontId="5" fillId="0" borderId="1" xfId="3" applyFont="1" applyBorder="1"/>
    <xf numFmtId="0" fontId="6" fillId="0" borderId="0" xfId="3" applyFont="1" applyAlignment="1">
      <alignment horizontal="center"/>
    </xf>
    <xf numFmtId="7" fontId="1" fillId="0" borderId="0" xfId="3" applyNumberFormat="1" applyFont="1"/>
    <xf numFmtId="5" fontId="1" fillId="0" borderId="0" xfId="3" applyNumberFormat="1" applyFont="1"/>
    <xf numFmtId="2" fontId="1" fillId="0" borderId="0" xfId="3" applyNumberFormat="1" applyFont="1"/>
    <xf numFmtId="0" fontId="5" fillId="0" borderId="9" xfId="3" applyFont="1" applyBorder="1" applyAlignment="1">
      <alignment vertical="center"/>
    </xf>
    <xf numFmtId="0" fontId="5" fillId="0" borderId="10" xfId="3" applyFont="1" applyBorder="1" applyAlignment="1">
      <alignment horizontal="center" vertical="center" wrapText="1"/>
    </xf>
    <xf numFmtId="7" fontId="9" fillId="0" borderId="0" xfId="3" applyNumberFormat="1" applyFont="1"/>
    <xf numFmtId="165" fontId="7" fillId="0" borderId="0" xfId="4" applyNumberFormat="1" applyFont="1" applyFill="1" applyAlignment="1">
      <alignment horizontal="center"/>
    </xf>
    <xf numFmtId="0" fontId="10" fillId="0" borderId="0" xfId="3" applyFont="1" applyAlignment="1">
      <alignment horizontal="center"/>
    </xf>
    <xf numFmtId="0" fontId="11" fillId="0" borderId="0" xfId="3" applyFont="1" applyAlignment="1">
      <alignment horizontal="center"/>
    </xf>
    <xf numFmtId="164" fontId="1" fillId="0" borderId="0" xfId="2" applyNumberFormat="1" applyFont="1"/>
    <xf numFmtId="44" fontId="1" fillId="0" borderId="0" xfId="5" applyFont="1" applyFill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7" fontId="1" fillId="0" borderId="0" xfId="6" applyNumberFormat="1" applyFont="1" applyAlignment="1">
      <alignment horizontal="center"/>
    </xf>
    <xf numFmtId="7" fontId="9" fillId="0" borderId="0" xfId="6" applyNumberFormat="1" applyFont="1" applyAlignment="1">
      <alignment horizontal="center"/>
    </xf>
    <xf numFmtId="164" fontId="1" fillId="0" borderId="0" xfId="2" applyNumberFormat="1" applyFont="1" applyAlignment="1">
      <alignment horizontal="center"/>
    </xf>
    <xf numFmtId="0" fontId="1" fillId="0" borderId="0" xfId="3" applyFont="1" applyAlignment="1">
      <alignment horizontal="center"/>
    </xf>
    <xf numFmtId="0" fontId="5" fillId="0" borderId="9" xfId="3" applyFont="1" applyBorder="1" applyAlignment="1">
      <alignment horizontal="center" vertical="center" wrapText="1"/>
    </xf>
    <xf numFmtId="0" fontId="1" fillId="0" borderId="0" xfId="3" applyFont="1" applyAlignment="1">
      <alignment horizontal="right"/>
    </xf>
    <xf numFmtId="168" fontId="1" fillId="0" borderId="0" xfId="6" applyNumberFormat="1" applyFont="1"/>
    <xf numFmtId="7" fontId="9" fillId="0" borderId="0" xfId="7" applyNumberFormat="1" applyFont="1"/>
    <xf numFmtId="165" fontId="1" fillId="0" borderId="0" xfId="7" applyNumberFormat="1" applyFont="1"/>
    <xf numFmtId="7" fontId="1" fillId="0" borderId="0" xfId="7" applyNumberFormat="1" applyFont="1"/>
    <xf numFmtId="169" fontId="1" fillId="0" borderId="0" xfId="3" applyNumberFormat="1" applyFont="1"/>
    <xf numFmtId="164" fontId="1" fillId="0" borderId="0" xfId="6" applyNumberFormat="1" applyFont="1" applyFill="1"/>
    <xf numFmtId="10" fontId="1" fillId="0" borderId="0" xfId="2" applyNumberFormat="1" applyFont="1"/>
    <xf numFmtId="0" fontId="10" fillId="0" borderId="0" xfId="3" applyFont="1" applyAlignment="1">
      <alignment horizontal="center"/>
    </xf>
    <xf numFmtId="0" fontId="6" fillId="0" borderId="0" xfId="3" applyFont="1" applyAlignment="1">
      <alignment horizontal="center"/>
    </xf>
    <xf numFmtId="0" fontId="11" fillId="0" borderId="0" xfId="3" applyFont="1" applyAlignment="1">
      <alignment horizontal="center"/>
    </xf>
    <xf numFmtId="0" fontId="6" fillId="0" borderId="0" xfId="3" quotePrefix="1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</cellXfs>
  <cellStyles count="8">
    <cellStyle name="Comma" xfId="7" builtinId="3"/>
    <cellStyle name="Comma 2" xfId="4" xr:uid="{9F0E95C8-B34A-44A7-9D64-09EC2F840447}"/>
    <cellStyle name="Currency" xfId="1" builtinId="4"/>
    <cellStyle name="Currency 2" xfId="5" xr:uid="{BEB248A8-1BDA-40F9-8E3E-2D05332FAF53}"/>
    <cellStyle name="Normal" xfId="0" builtinId="0"/>
    <cellStyle name="Normal 2" xfId="3" xr:uid="{05627437-5EEF-4BCD-A441-F61404FBCF53}"/>
    <cellStyle name="Percent" xfId="2" builtinId="5"/>
    <cellStyle name="Percent 2" xfId="6" xr:uid="{5C153897-B6BA-4CD7-AA0D-EEC7ECB0C4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1A189-43FE-4530-9171-6D9BE012C387}">
  <sheetPr>
    <pageSetUpPr fitToPage="1"/>
  </sheetPr>
  <dimension ref="B7:N33"/>
  <sheetViews>
    <sheetView showGridLines="0" topLeftCell="A10" workbookViewId="0">
      <selection activeCell="R29" sqref="R29"/>
    </sheetView>
  </sheetViews>
  <sheetFormatPr defaultRowHeight="14" x14ac:dyDescent="0.3"/>
  <cols>
    <col min="2" max="2" width="0.58203125" customWidth="1"/>
    <col min="3" max="3" width="4.75" bestFit="1" customWidth="1"/>
    <col min="4" max="4" width="0.83203125" customWidth="1"/>
    <col min="5" max="5" width="24.08203125" customWidth="1"/>
    <col min="6" max="6" width="0.83203125" customWidth="1"/>
    <col min="7" max="7" width="11.08203125" bestFit="1" customWidth="1"/>
    <col min="8" max="8" width="0.83203125" customWidth="1"/>
    <col min="9" max="9" width="11.08203125" bestFit="1" customWidth="1"/>
    <col min="10" max="10" width="0.83203125" customWidth="1"/>
    <col min="11" max="11" width="11.08203125" bestFit="1" customWidth="1"/>
    <col min="12" max="12" width="0.83203125" customWidth="1"/>
    <col min="13" max="13" width="7.83203125" bestFit="1" customWidth="1"/>
    <col min="14" max="14" width="0.58203125" customWidth="1"/>
  </cols>
  <sheetData>
    <row r="7" spans="2:14" x14ac:dyDescent="0.3">
      <c r="B7" s="2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4"/>
    </row>
    <row r="8" spans="2:14" x14ac:dyDescent="0.3">
      <c r="B8" s="5"/>
      <c r="C8" s="85" t="s">
        <v>52</v>
      </c>
      <c r="D8" s="85"/>
      <c r="E8" s="85"/>
      <c r="F8" s="85"/>
      <c r="G8" s="85"/>
      <c r="H8" s="85"/>
      <c r="I8" s="85"/>
      <c r="J8" s="85"/>
      <c r="K8" s="85"/>
      <c r="L8" s="85"/>
      <c r="M8" s="85"/>
      <c r="N8" s="6"/>
    </row>
    <row r="9" spans="2:14" x14ac:dyDescent="0.3">
      <c r="B9" s="5"/>
      <c r="N9" s="6"/>
    </row>
    <row r="10" spans="2:14" x14ac:dyDescent="0.3">
      <c r="B10" s="5"/>
      <c r="C10" s="86" t="s">
        <v>17</v>
      </c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6"/>
    </row>
    <row r="11" spans="2:14" x14ac:dyDescent="0.3">
      <c r="B11" s="5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6"/>
    </row>
    <row r="12" spans="2:14" x14ac:dyDescent="0.3">
      <c r="B12" s="5"/>
      <c r="K12" s="87" t="s">
        <v>50</v>
      </c>
      <c r="L12" s="87"/>
      <c r="M12" s="87"/>
      <c r="N12" s="6"/>
    </row>
    <row r="13" spans="2:14" x14ac:dyDescent="0.3">
      <c r="B13" s="5"/>
      <c r="C13" s="1" t="s">
        <v>0</v>
      </c>
      <c r="D13" s="7"/>
      <c r="E13" s="1" t="s">
        <v>1</v>
      </c>
      <c r="F13" s="7"/>
      <c r="G13" s="1" t="s">
        <v>2</v>
      </c>
      <c r="H13" s="7"/>
      <c r="I13" s="1" t="s">
        <v>3</v>
      </c>
      <c r="J13" s="7"/>
      <c r="K13" s="49" t="s">
        <v>48</v>
      </c>
      <c r="L13" s="7"/>
      <c r="M13" s="1" t="s">
        <v>49</v>
      </c>
      <c r="N13" s="6"/>
    </row>
    <row r="14" spans="2:14" x14ac:dyDescent="0.3">
      <c r="B14" s="5"/>
      <c r="G14" s="51">
        <v>-1</v>
      </c>
      <c r="H14" s="51"/>
      <c r="I14" s="51">
        <f>G14-1</f>
        <v>-2</v>
      </c>
      <c r="J14" s="51"/>
      <c r="K14" s="51">
        <f>I14-1</f>
        <v>-3</v>
      </c>
      <c r="L14" s="51"/>
      <c r="M14" s="51">
        <f>K14-1</f>
        <v>-4</v>
      </c>
      <c r="N14" s="52"/>
    </row>
    <row r="15" spans="2:14" x14ac:dyDescent="0.3">
      <c r="B15" s="5"/>
      <c r="C15" s="8"/>
      <c r="D15" s="8"/>
      <c r="E15" t="s">
        <v>7</v>
      </c>
      <c r="G15" s="9"/>
      <c r="H15" s="9"/>
      <c r="I15" s="9"/>
      <c r="J15" s="9"/>
      <c r="K15" s="9"/>
      <c r="L15" s="9"/>
      <c r="M15" s="10"/>
      <c r="N15" s="6"/>
    </row>
    <row r="16" spans="2:14" x14ac:dyDescent="0.3">
      <c r="B16" s="5"/>
      <c r="C16" s="8">
        <v>1</v>
      </c>
      <c r="D16" s="8"/>
      <c r="E16" s="14" t="s">
        <v>8</v>
      </c>
      <c r="G16" s="45">
        <f>'MPG-1'!T14</f>
        <v>2092329.099999957</v>
      </c>
      <c r="H16" s="9"/>
      <c r="I16" s="45">
        <f>'MPG-1'!U14</f>
        <v>3067072.6040808503</v>
      </c>
      <c r="J16" s="9"/>
      <c r="K16" s="45">
        <f>I16-G16</f>
        <v>974743.50408089324</v>
      </c>
      <c r="L16" s="9"/>
      <c r="M16" s="10">
        <f>K16/G16</f>
        <v>0.46586529054196746</v>
      </c>
      <c r="N16" s="6"/>
    </row>
    <row r="17" spans="2:14" x14ac:dyDescent="0.3">
      <c r="B17" s="5"/>
      <c r="C17" s="8">
        <f>C16+1</f>
        <v>2</v>
      </c>
      <c r="D17" s="8"/>
      <c r="E17" s="14" t="s">
        <v>9</v>
      </c>
      <c r="G17" s="46">
        <f>'MPG-1'!T15</f>
        <v>5447.5200000000013</v>
      </c>
      <c r="H17" s="9"/>
      <c r="I17" s="46">
        <f>'MPG-1'!U15</f>
        <v>17784.053608690017</v>
      </c>
      <c r="J17" s="9"/>
      <c r="K17" s="46">
        <f t="shared" ref="K17:K19" si="0">I17-G17</f>
        <v>12336.533608690017</v>
      </c>
      <c r="L17" s="9"/>
      <c r="M17" s="10">
        <f t="shared" ref="M17:M20" si="1">K17/G17</f>
        <v>2.2646146519315238</v>
      </c>
      <c r="N17" s="6"/>
    </row>
    <row r="18" spans="2:14" x14ac:dyDescent="0.3">
      <c r="B18" s="5"/>
      <c r="C18" s="8">
        <f t="shared" ref="C18:C20" si="2">C17+1</f>
        <v>3</v>
      </c>
      <c r="D18" s="8"/>
      <c r="E18" s="14" t="s">
        <v>10</v>
      </c>
      <c r="G18" s="46">
        <f>'MPG-1'!T16</f>
        <v>6720</v>
      </c>
      <c r="H18" s="9"/>
      <c r="I18" s="46">
        <f>'MPG-1'!U16</f>
        <v>21888.06597992617</v>
      </c>
      <c r="J18" s="9"/>
      <c r="K18" s="46">
        <f t="shared" si="0"/>
        <v>15168.06597992617</v>
      </c>
      <c r="L18" s="9"/>
      <c r="M18" s="10">
        <f t="shared" si="1"/>
        <v>2.2571526755842517</v>
      </c>
      <c r="N18" s="6"/>
    </row>
    <row r="19" spans="2:14" x14ac:dyDescent="0.3">
      <c r="B19" s="5"/>
      <c r="C19" s="8">
        <f t="shared" si="2"/>
        <v>4</v>
      </c>
      <c r="D19" s="8"/>
      <c r="E19" s="14" t="s">
        <v>11</v>
      </c>
      <c r="G19" s="47">
        <f>'MPG-1'!T17</f>
        <v>14400</v>
      </c>
      <c r="H19" s="9"/>
      <c r="I19" s="47">
        <f>'MPG-1'!U17</f>
        <v>27360.082474907715</v>
      </c>
      <c r="J19" s="9"/>
      <c r="K19" s="47">
        <f t="shared" si="0"/>
        <v>12960.082474907715</v>
      </c>
      <c r="L19" s="9"/>
      <c r="M19" s="10">
        <f t="shared" si="1"/>
        <v>0.90000572742414686</v>
      </c>
      <c r="N19" s="6"/>
    </row>
    <row r="20" spans="2:14" x14ac:dyDescent="0.3">
      <c r="B20" s="5"/>
      <c r="C20" s="8">
        <f t="shared" si="2"/>
        <v>5</v>
      </c>
      <c r="D20" s="8"/>
      <c r="E20" s="14" t="s">
        <v>12</v>
      </c>
      <c r="G20" s="45">
        <f>SUM(G16:G19)</f>
        <v>2118896.6199999568</v>
      </c>
      <c r="H20" s="9"/>
      <c r="I20" s="45">
        <f>SUM(I16:I19)</f>
        <v>3134104.8061443744</v>
      </c>
      <c r="J20" s="9"/>
      <c r="K20" s="45">
        <f>SUM(K16:K19)</f>
        <v>1015208.1861444172</v>
      </c>
      <c r="L20" s="9"/>
      <c r="M20" s="10">
        <f t="shared" si="1"/>
        <v>0.47912115039592534</v>
      </c>
      <c r="N20" s="6"/>
    </row>
    <row r="21" spans="2:14" x14ac:dyDescent="0.3">
      <c r="B21" s="5"/>
      <c r="C21" s="8"/>
      <c r="D21" s="8"/>
      <c r="E21" s="14"/>
      <c r="G21" s="9"/>
      <c r="H21" s="9"/>
      <c r="I21" s="9"/>
      <c r="J21" s="9"/>
      <c r="K21" s="9"/>
      <c r="L21" s="9"/>
      <c r="M21" s="10"/>
      <c r="N21" s="6"/>
    </row>
    <row r="22" spans="2:14" x14ac:dyDescent="0.3">
      <c r="B22" s="5"/>
      <c r="C22" s="8">
        <f>C20+1</f>
        <v>6</v>
      </c>
      <c r="D22" s="8"/>
      <c r="E22" t="s">
        <v>13</v>
      </c>
      <c r="G22" s="45">
        <f>'MPG-1'!G26</f>
        <v>67901.749999999985</v>
      </c>
      <c r="H22" s="9"/>
      <c r="I22" s="45">
        <f>'MPG-1'!I26</f>
        <v>99534.818492058024</v>
      </c>
      <c r="J22" s="9"/>
      <c r="K22" s="45">
        <f>I22-G22</f>
        <v>31633.068492058039</v>
      </c>
      <c r="L22" s="9"/>
      <c r="M22" s="10">
        <f>K22/G22</f>
        <v>0.46586529054196757</v>
      </c>
      <c r="N22" s="6"/>
    </row>
    <row r="23" spans="2:14" x14ac:dyDescent="0.3">
      <c r="B23" s="5"/>
      <c r="C23" s="8"/>
      <c r="D23" s="8"/>
      <c r="E23" s="14"/>
      <c r="G23" s="9"/>
      <c r="H23" s="9"/>
      <c r="I23" s="9"/>
      <c r="J23" s="9"/>
      <c r="K23" s="9"/>
      <c r="L23" s="9"/>
      <c r="M23" s="10"/>
      <c r="N23" s="6"/>
    </row>
    <row r="24" spans="2:14" x14ac:dyDescent="0.3">
      <c r="B24" s="5"/>
      <c r="C24" s="8">
        <f>C22+1</f>
        <v>7</v>
      </c>
      <c r="D24" s="8"/>
      <c r="E24" t="s">
        <v>14</v>
      </c>
      <c r="G24" s="45">
        <f>'MPG-1'!G30</f>
        <v>2369.16</v>
      </c>
      <c r="H24" s="9"/>
      <c r="I24" s="45">
        <f>'MPG-1'!I30</f>
        <v>3420.0103093634643</v>
      </c>
      <c r="J24" s="9"/>
      <c r="K24" s="45">
        <f>I24-G24</f>
        <v>1050.8503093634645</v>
      </c>
      <c r="L24" s="9"/>
      <c r="M24" s="10">
        <f>K24/G24</f>
        <v>0.44355396400558195</v>
      </c>
      <c r="N24" s="6"/>
    </row>
    <row r="25" spans="2:14" x14ac:dyDescent="0.3">
      <c r="B25" s="5"/>
      <c r="C25" s="8"/>
      <c r="D25" s="8"/>
      <c r="E25" s="14"/>
      <c r="G25" s="9"/>
      <c r="H25" s="9"/>
      <c r="I25" s="9"/>
      <c r="J25" s="9"/>
      <c r="K25" s="9"/>
      <c r="L25" s="9"/>
      <c r="M25" s="10"/>
      <c r="N25" s="6"/>
    </row>
    <row r="26" spans="2:14" x14ac:dyDescent="0.3">
      <c r="B26" s="5"/>
      <c r="C26" s="8">
        <f>C24+1</f>
        <v>8</v>
      </c>
      <c r="D26" s="8"/>
      <c r="E26" t="s">
        <v>15</v>
      </c>
      <c r="G26" s="50">
        <f>'MPG-1'!G34+'MPG-1'!G35</f>
        <v>508751.25977000024</v>
      </c>
      <c r="H26" s="9"/>
      <c r="I26" s="50">
        <f>'MPG-1'!I34+'MPG-1'!I35</f>
        <v>2158039.7566305306</v>
      </c>
      <c r="J26" s="9"/>
      <c r="K26" s="50">
        <f>I26-G26</f>
        <v>1649288.4968605302</v>
      </c>
      <c r="L26" s="9"/>
      <c r="M26" s="10">
        <f>K26/G26</f>
        <v>3.2418366838170618</v>
      </c>
      <c r="N26" s="6"/>
    </row>
    <row r="27" spans="2:14" x14ac:dyDescent="0.3">
      <c r="B27" s="5"/>
      <c r="C27" s="8"/>
      <c r="D27" s="8"/>
      <c r="G27" s="45"/>
      <c r="H27" s="9"/>
      <c r="I27" s="45"/>
      <c r="J27" s="9"/>
      <c r="K27" s="45"/>
      <c r="L27" s="9"/>
      <c r="M27" s="10"/>
      <c r="N27" s="6"/>
    </row>
    <row r="28" spans="2:14" x14ac:dyDescent="0.3">
      <c r="B28" s="5"/>
      <c r="C28" s="8">
        <f>C26+1</f>
        <v>9</v>
      </c>
      <c r="D28" s="8"/>
      <c r="E28" t="s">
        <v>42</v>
      </c>
      <c r="G28" s="45">
        <f>'MPG-1'!G40</f>
        <v>14244</v>
      </c>
      <c r="H28" s="9"/>
      <c r="I28" s="45">
        <f>'MPG-1'!I40</f>
        <v>119529.3160232636</v>
      </c>
      <c r="J28" s="9"/>
      <c r="K28" s="45">
        <f>I28-G28</f>
        <v>105285.3160232636</v>
      </c>
      <c r="L28" s="9"/>
      <c r="M28" s="10">
        <f>K28/G28</f>
        <v>7.3915554635821117</v>
      </c>
      <c r="N28" s="6"/>
    </row>
    <row r="29" spans="2:14" x14ac:dyDescent="0.3">
      <c r="B29" s="5"/>
      <c r="C29" s="8"/>
      <c r="D29" s="8"/>
      <c r="E29" s="14"/>
      <c r="G29" s="9"/>
      <c r="H29" s="9"/>
      <c r="I29" s="9"/>
      <c r="J29" s="9"/>
      <c r="K29" s="9"/>
      <c r="L29" s="9"/>
      <c r="M29" s="10"/>
      <c r="N29" s="6"/>
    </row>
    <row r="30" spans="2:14" x14ac:dyDescent="0.3">
      <c r="B30" s="5"/>
      <c r="C30" s="8">
        <f>C28+1</f>
        <v>10</v>
      </c>
      <c r="D30" s="8"/>
      <c r="E30" s="14" t="s">
        <v>16</v>
      </c>
      <c r="G30" s="45">
        <f>SUM(G20:G28)</f>
        <v>2712162.7897699573</v>
      </c>
      <c r="H30" s="9"/>
      <c r="I30" s="45">
        <f>SUM(I20:I28)</f>
        <v>5514628.7075995896</v>
      </c>
      <c r="J30" s="9"/>
      <c r="K30" s="45">
        <f>SUM(K20:K28)</f>
        <v>2802465.9178296323</v>
      </c>
      <c r="L30" s="9"/>
      <c r="M30" s="10">
        <f>K30/G30</f>
        <v>1.0332956149978498</v>
      </c>
      <c r="N30" s="6"/>
    </row>
    <row r="31" spans="2:14" x14ac:dyDescent="0.3">
      <c r="B31" s="5"/>
      <c r="C31" s="8"/>
      <c r="D31" s="8"/>
      <c r="E31" s="14"/>
      <c r="G31" s="9"/>
      <c r="H31" s="9"/>
      <c r="I31" s="9"/>
      <c r="J31" s="9"/>
      <c r="K31" s="9"/>
      <c r="L31" s="9"/>
      <c r="M31" s="10"/>
      <c r="N31" s="6"/>
    </row>
    <row r="32" spans="2:14" x14ac:dyDescent="0.3">
      <c r="B32" s="5"/>
      <c r="C32" t="s">
        <v>53</v>
      </c>
      <c r="N32" s="6"/>
    </row>
    <row r="33" spans="2:14" x14ac:dyDescent="0.3">
      <c r="B33" s="11"/>
      <c r="C33" s="53" t="s">
        <v>45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3"/>
    </row>
  </sheetData>
  <mergeCells count="3">
    <mergeCell ref="C8:M8"/>
    <mergeCell ref="C10:M10"/>
    <mergeCell ref="K12:M12"/>
  </mergeCells>
  <pageMargins left="0.7" right="0.7" top="0.75" bottom="0.75" header="0.3" footer="0.3"/>
  <pageSetup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58B55-A0E3-4CF2-A2D4-CBD87D106B2A}">
  <sheetPr>
    <pageSetUpPr fitToPage="1"/>
  </sheetPr>
  <dimension ref="B3:X50"/>
  <sheetViews>
    <sheetView view="pageLayout" zoomScale="70" zoomScaleNormal="100" zoomScaleSheetLayoutView="80" zoomScalePageLayoutView="70" workbookViewId="0">
      <selection activeCell="C3" sqref="C3:L3"/>
    </sheetView>
  </sheetViews>
  <sheetFormatPr defaultColWidth="7.33203125" defaultRowHeight="14" x14ac:dyDescent="0.3"/>
  <cols>
    <col min="1" max="2" width="7.33203125" style="25"/>
    <col min="3" max="3" width="35.33203125" style="25" customWidth="1"/>
    <col min="4" max="4" width="15.75" style="25" customWidth="1"/>
    <col min="5" max="6" width="12.58203125" style="25" customWidth="1"/>
    <col min="7" max="7" width="15.25" style="25" bestFit="1" customWidth="1"/>
    <col min="8" max="8" width="12.58203125" style="25" bestFit="1" customWidth="1"/>
    <col min="9" max="9" width="13.5" style="25" customWidth="1"/>
    <col min="10" max="10" width="19.08203125" style="25" customWidth="1"/>
    <col min="11" max="11" width="9.08203125" style="25" customWidth="1"/>
    <col min="12" max="12" width="11.75" style="25" bestFit="1" customWidth="1"/>
    <col min="13" max="13" width="3" style="25" customWidth="1"/>
    <col min="14" max="14" width="11.75" style="25" customWidth="1"/>
    <col min="15" max="15" width="3" style="25" customWidth="1"/>
    <col min="16" max="17" width="13.5" style="25" customWidth="1"/>
    <col min="18" max="18" width="9.08203125" style="25" bestFit="1" customWidth="1"/>
    <col min="19" max="19" width="13.5" style="25" bestFit="1" customWidth="1"/>
    <col min="20" max="21" width="11.08203125" style="25" bestFit="1" customWidth="1"/>
    <col min="22" max="22" width="7.33203125" style="25"/>
    <col min="23" max="23" width="17" style="25" customWidth="1"/>
    <col min="24" max="24" width="15.58203125" style="25" customWidth="1"/>
    <col min="25" max="16384" width="7.33203125" style="25"/>
  </cols>
  <sheetData>
    <row r="3" spans="2:24" s="16" customFormat="1" ht="15" x14ac:dyDescent="0.3">
      <c r="C3" s="81" t="s">
        <v>46</v>
      </c>
      <c r="D3" s="81"/>
      <c r="E3" s="81"/>
      <c r="F3" s="81"/>
      <c r="G3" s="81"/>
      <c r="H3" s="81"/>
      <c r="I3" s="81"/>
      <c r="J3" s="81"/>
      <c r="K3" s="81"/>
      <c r="L3" s="81"/>
      <c r="M3" s="62"/>
      <c r="N3" s="62"/>
    </row>
    <row r="4" spans="2:24" s="16" customFormat="1" ht="13" x14ac:dyDescent="0.3">
      <c r="C4" s="82" t="s">
        <v>47</v>
      </c>
      <c r="D4" s="82"/>
      <c r="E4" s="82"/>
      <c r="F4" s="82"/>
      <c r="G4" s="82"/>
      <c r="H4" s="82"/>
      <c r="I4" s="82"/>
      <c r="J4" s="82"/>
      <c r="K4" s="82"/>
      <c r="L4" s="82"/>
      <c r="M4" s="54"/>
      <c r="N4" s="54"/>
    </row>
    <row r="5" spans="2:24" s="16" customFormat="1" ht="13" x14ac:dyDescent="0.3">
      <c r="C5" s="83" t="s">
        <v>18</v>
      </c>
      <c r="D5" s="83"/>
      <c r="E5" s="83"/>
      <c r="F5" s="83"/>
      <c r="G5" s="83"/>
      <c r="H5" s="83"/>
      <c r="I5" s="83"/>
      <c r="J5" s="83"/>
      <c r="K5" s="83"/>
      <c r="L5" s="83"/>
      <c r="M5" s="63"/>
      <c r="N5" s="63"/>
    </row>
    <row r="6" spans="2:24" s="16" customFormat="1" ht="13" x14ac:dyDescent="0.3">
      <c r="C6" s="84"/>
      <c r="D6" s="84"/>
      <c r="E6" s="84"/>
      <c r="F6" s="84"/>
    </row>
    <row r="7" spans="2:24" s="19" customFormat="1" ht="58.5" customHeight="1" x14ac:dyDescent="0.3">
      <c r="B7" s="17" t="s">
        <v>19</v>
      </c>
      <c r="C7" s="17" t="s">
        <v>20</v>
      </c>
      <c r="D7" s="18" t="s">
        <v>21</v>
      </c>
      <c r="E7" s="18" t="s">
        <v>22</v>
      </c>
      <c r="F7" s="18" t="s">
        <v>23</v>
      </c>
      <c r="G7" s="18" t="s">
        <v>24</v>
      </c>
      <c r="H7" s="18" t="s">
        <v>25</v>
      </c>
      <c r="I7" s="18" t="s">
        <v>26</v>
      </c>
      <c r="J7" s="18" t="s">
        <v>27</v>
      </c>
      <c r="K7" s="18" t="s">
        <v>28</v>
      </c>
      <c r="L7" s="18" t="s">
        <v>29</v>
      </c>
      <c r="M7" s="18"/>
      <c r="N7" s="72" t="s">
        <v>57</v>
      </c>
      <c r="O7" s="58"/>
      <c r="P7" s="59" t="s">
        <v>56</v>
      </c>
      <c r="R7" s="19" t="s">
        <v>30</v>
      </c>
      <c r="T7" s="19" t="s">
        <v>31</v>
      </c>
    </row>
    <row r="8" spans="2:24" ht="15.5" x14ac:dyDescent="0.35">
      <c r="B8" s="20">
        <v>1</v>
      </c>
      <c r="C8" s="21"/>
      <c r="D8" s="22"/>
      <c r="E8" s="22"/>
      <c r="F8" s="21"/>
      <c r="G8" s="21"/>
      <c r="H8" s="21"/>
      <c r="I8" s="23"/>
      <c r="J8" s="21"/>
      <c r="K8" s="24"/>
      <c r="P8" s="25" t="s">
        <v>54</v>
      </c>
    </row>
    <row r="9" spans="2:24" ht="15.5" x14ac:dyDescent="0.35">
      <c r="B9" s="20">
        <f>B8+1</f>
        <v>2</v>
      </c>
      <c r="C9" s="21" t="s">
        <v>32</v>
      </c>
      <c r="D9" s="24"/>
      <c r="E9" s="24"/>
      <c r="F9" s="21"/>
      <c r="G9" s="21"/>
      <c r="H9" s="21"/>
      <c r="I9" s="23"/>
      <c r="J9" s="21"/>
      <c r="K9" s="24"/>
      <c r="L9" s="26"/>
      <c r="M9" s="26"/>
      <c r="N9" s="26"/>
    </row>
    <row r="10" spans="2:24" ht="15.5" x14ac:dyDescent="0.35">
      <c r="B10" s="20">
        <f>B9+1</f>
        <v>3</v>
      </c>
      <c r="C10" s="24" t="s">
        <v>33</v>
      </c>
      <c r="D10" s="27">
        <v>26904.064549311523</v>
      </c>
      <c r="E10" s="27"/>
      <c r="F10" s="28">
        <v>77.77</v>
      </c>
      <c r="G10" s="29">
        <f>D10*F10</f>
        <v>2092329.099999957</v>
      </c>
      <c r="H10" s="29">
        <f>I10-G10</f>
        <v>974743.50408089324</v>
      </c>
      <c r="I10" s="30">
        <f>J10*D10</f>
        <v>3067072.6040808503</v>
      </c>
      <c r="J10" s="31">
        <f>(I38*T10)/SUM(D10:D22,D26*R26,D30*R30)</f>
        <v>114.00034364544881</v>
      </c>
      <c r="K10" s="31">
        <f>J10-F10</f>
        <v>36.230343645448812</v>
      </c>
      <c r="L10" s="32">
        <f>K10/F10</f>
        <v>0.46586529054196751</v>
      </c>
      <c r="M10" s="32"/>
      <c r="N10" s="68">
        <f>+G10/D10</f>
        <v>77.77</v>
      </c>
      <c r="P10" s="55">
        <f>+I10/D10</f>
        <v>114.00034364544881</v>
      </c>
      <c r="Q10" s="55"/>
      <c r="R10" s="57">
        <v>1</v>
      </c>
      <c r="S10" s="33"/>
      <c r="T10" s="34">
        <v>0.6</v>
      </c>
      <c r="W10" s="35"/>
      <c r="X10" s="35"/>
    </row>
    <row r="11" spans="2:24" ht="15.5" x14ac:dyDescent="0.35">
      <c r="B11" s="20">
        <f t="shared" ref="B11:B42" si="0">B10+1</f>
        <v>4</v>
      </c>
      <c r="C11" s="24" t="s">
        <v>34</v>
      </c>
      <c r="D11" s="24"/>
      <c r="E11" s="24"/>
      <c r="G11" s="36"/>
      <c r="H11" s="37"/>
      <c r="I11" s="30"/>
      <c r="J11" s="31"/>
      <c r="L11" s="26"/>
      <c r="M11" s="26"/>
      <c r="N11" s="26"/>
      <c r="P11" s="55"/>
      <c r="Q11" s="55"/>
      <c r="R11" s="57"/>
      <c r="T11" s="34">
        <f>1-T10</f>
        <v>0.4</v>
      </c>
      <c r="W11" s="35"/>
      <c r="X11" s="35"/>
    </row>
    <row r="12" spans="2:24" ht="15.5" x14ac:dyDescent="0.35">
      <c r="B12" s="20">
        <f t="shared" si="0"/>
        <v>5</v>
      </c>
      <c r="C12" s="24"/>
      <c r="D12" s="24"/>
      <c r="E12" s="24"/>
      <c r="G12" s="31"/>
      <c r="H12" s="37"/>
      <c r="I12" s="30"/>
      <c r="J12" s="31"/>
      <c r="L12" s="31"/>
      <c r="M12" s="31"/>
      <c r="N12" s="31"/>
      <c r="P12" s="55"/>
      <c r="Q12" s="55"/>
      <c r="R12" s="57"/>
      <c r="V12" s="38"/>
    </row>
    <row r="13" spans="2:24" ht="15.5" x14ac:dyDescent="0.35">
      <c r="B13" s="20">
        <f t="shared" si="0"/>
        <v>6</v>
      </c>
      <c r="C13" s="21" t="s">
        <v>35</v>
      </c>
      <c r="D13" s="24"/>
      <c r="E13" s="24"/>
      <c r="F13" s="21"/>
      <c r="G13" s="21"/>
      <c r="H13" s="21"/>
      <c r="I13" s="23"/>
      <c r="J13" s="21"/>
      <c r="K13" s="24"/>
      <c r="L13" s="26"/>
      <c r="M13" s="26"/>
      <c r="N13" s="26"/>
      <c r="P13" s="55"/>
      <c r="Q13" s="55"/>
      <c r="R13" s="57"/>
    </row>
    <row r="14" spans="2:24" ht="15.5" x14ac:dyDescent="0.35">
      <c r="B14" s="20">
        <f t="shared" si="0"/>
        <v>7</v>
      </c>
      <c r="C14" s="24" t="s">
        <v>33</v>
      </c>
      <c r="D14" s="27">
        <v>156.00000000000003</v>
      </c>
      <c r="E14" s="27"/>
      <c r="F14" s="28">
        <v>34.92</v>
      </c>
      <c r="G14" s="29">
        <f>D14*F14</f>
        <v>5447.5200000000013</v>
      </c>
      <c r="H14" s="29">
        <f>I14-G14</f>
        <v>12336.533608690017</v>
      </c>
      <c r="I14" s="30">
        <f>J14*D14</f>
        <v>17784.053608690017</v>
      </c>
      <c r="J14" s="31">
        <f>J10</f>
        <v>114.00034364544881</v>
      </c>
      <c r="K14" s="31">
        <f>J14-F14</f>
        <v>79.080343645448806</v>
      </c>
      <c r="L14" s="32">
        <f>K14/F14</f>
        <v>2.2646146519315233</v>
      </c>
      <c r="M14" s="32"/>
      <c r="N14" s="68">
        <f>+G14/D14</f>
        <v>34.92</v>
      </c>
      <c r="P14" s="55">
        <f>+I14/D14</f>
        <v>114.00034364544881</v>
      </c>
      <c r="Q14" s="55"/>
      <c r="R14" s="57">
        <v>1</v>
      </c>
      <c r="S14" s="33"/>
      <c r="T14" s="30">
        <f>G10</f>
        <v>2092329.099999957</v>
      </c>
      <c r="U14" s="30">
        <f>I10</f>
        <v>3067072.6040808503</v>
      </c>
    </row>
    <row r="15" spans="2:24" ht="15.5" x14ac:dyDescent="0.35">
      <c r="B15" s="20">
        <f t="shared" si="0"/>
        <v>8</v>
      </c>
      <c r="C15" s="24" t="s">
        <v>34</v>
      </c>
      <c r="D15" s="24"/>
      <c r="E15" s="24"/>
      <c r="G15" s="36"/>
      <c r="H15" s="37"/>
      <c r="I15" s="30"/>
      <c r="J15" s="31"/>
      <c r="L15" s="26"/>
      <c r="M15" s="26"/>
      <c r="N15" s="26"/>
      <c r="P15" s="55"/>
      <c r="Q15" s="55"/>
      <c r="R15" s="57"/>
      <c r="T15" s="30">
        <f>G14</f>
        <v>5447.5200000000013</v>
      </c>
      <c r="U15" s="30">
        <f>I14</f>
        <v>17784.053608690017</v>
      </c>
    </row>
    <row r="16" spans="2:24" ht="15.5" x14ac:dyDescent="0.35">
      <c r="B16" s="20">
        <f t="shared" si="0"/>
        <v>9</v>
      </c>
      <c r="C16" s="24"/>
      <c r="D16" s="24"/>
      <c r="E16" s="24"/>
      <c r="G16" s="31"/>
      <c r="H16" s="37"/>
      <c r="I16" s="30"/>
      <c r="J16" s="31"/>
      <c r="L16" s="31"/>
      <c r="M16" s="31"/>
      <c r="N16" s="31"/>
      <c r="P16" s="55"/>
      <c r="Q16" s="55"/>
      <c r="R16" s="57"/>
      <c r="T16" s="30">
        <f>G18</f>
        <v>6720</v>
      </c>
      <c r="U16" s="30">
        <f>I18</f>
        <v>21888.06597992617</v>
      </c>
    </row>
    <row r="17" spans="2:21" ht="15.5" x14ac:dyDescent="0.35">
      <c r="B17" s="20">
        <f t="shared" si="0"/>
        <v>10</v>
      </c>
      <c r="C17" s="21" t="s">
        <v>36</v>
      </c>
      <c r="D17" s="24"/>
      <c r="E17" s="24"/>
      <c r="F17" s="21"/>
      <c r="G17" s="21"/>
      <c r="H17" s="21"/>
      <c r="I17" s="23"/>
      <c r="J17" s="21"/>
      <c r="K17" s="24"/>
      <c r="L17" s="26"/>
      <c r="M17" s="26"/>
      <c r="N17" s="26"/>
      <c r="P17" s="55"/>
      <c r="Q17" s="55"/>
      <c r="R17" s="57"/>
      <c r="T17" s="30">
        <f>G22</f>
        <v>14400</v>
      </c>
      <c r="U17" s="30">
        <f>I22</f>
        <v>27360.082474907715</v>
      </c>
    </row>
    <row r="18" spans="2:21" ht="15.5" x14ac:dyDescent="0.35">
      <c r="B18" s="20">
        <f t="shared" si="0"/>
        <v>11</v>
      </c>
      <c r="C18" s="24" t="s">
        <v>33</v>
      </c>
      <c r="D18" s="27">
        <v>192</v>
      </c>
      <c r="E18" s="27"/>
      <c r="F18" s="28">
        <v>35</v>
      </c>
      <c r="G18" s="29">
        <f>D18*F18</f>
        <v>6720</v>
      </c>
      <c r="H18" s="29">
        <f>I18-G18</f>
        <v>15168.06597992617</v>
      </c>
      <c r="I18" s="30">
        <f>J18*D18</f>
        <v>21888.06597992617</v>
      </c>
      <c r="J18" s="31">
        <f>J10</f>
        <v>114.00034364544881</v>
      </c>
      <c r="K18" s="31">
        <f>J18-F18</f>
        <v>79.000343645448808</v>
      </c>
      <c r="L18" s="32">
        <f>K18/F18</f>
        <v>2.2571526755842517</v>
      </c>
      <c r="M18" s="32"/>
      <c r="N18" s="68">
        <f>+G18/D18</f>
        <v>35</v>
      </c>
      <c r="P18" s="55">
        <f>+I18/D18</f>
        <v>114.00034364544881</v>
      </c>
      <c r="Q18" s="55"/>
      <c r="R18" s="57">
        <v>1</v>
      </c>
      <c r="S18" s="33"/>
    </row>
    <row r="19" spans="2:21" ht="15.5" x14ac:dyDescent="0.35">
      <c r="B19" s="20">
        <f t="shared" si="0"/>
        <v>12</v>
      </c>
      <c r="C19" s="24" t="s">
        <v>34</v>
      </c>
      <c r="D19" s="24"/>
      <c r="E19" s="24"/>
      <c r="G19" s="36"/>
      <c r="H19" s="37"/>
      <c r="I19" s="30"/>
      <c r="J19" s="31"/>
      <c r="L19" s="26"/>
      <c r="M19" s="26"/>
      <c r="N19" s="26"/>
      <c r="P19" s="55"/>
      <c r="Q19" s="55"/>
      <c r="R19" s="57"/>
    </row>
    <row r="20" spans="2:21" ht="15.5" x14ac:dyDescent="0.35">
      <c r="B20" s="20">
        <f t="shared" si="0"/>
        <v>13</v>
      </c>
      <c r="C20" s="24"/>
      <c r="D20" s="24"/>
      <c r="E20" s="24"/>
      <c r="G20" s="31"/>
      <c r="H20" s="37"/>
      <c r="I20" s="30"/>
      <c r="J20" s="31"/>
      <c r="L20" s="31"/>
      <c r="M20" s="31"/>
      <c r="N20" s="31"/>
      <c r="P20" s="55"/>
      <c r="Q20" s="55"/>
      <c r="R20" s="57"/>
    </row>
    <row r="21" spans="2:21" ht="15.5" x14ac:dyDescent="0.35">
      <c r="B21" s="20">
        <f t="shared" si="0"/>
        <v>14</v>
      </c>
      <c r="C21" s="21" t="s">
        <v>37</v>
      </c>
      <c r="D21" s="24"/>
      <c r="E21" s="24"/>
      <c r="F21" s="21"/>
      <c r="G21" s="21"/>
      <c r="H21" s="21"/>
      <c r="I21" s="23"/>
      <c r="J21" s="21"/>
      <c r="K21" s="24"/>
      <c r="L21" s="26"/>
      <c r="M21" s="26"/>
      <c r="N21" s="26"/>
      <c r="P21" s="55"/>
      <c r="Q21" s="55"/>
      <c r="R21" s="57"/>
    </row>
    <row r="22" spans="2:21" ht="15.5" x14ac:dyDescent="0.35">
      <c r="B22" s="20">
        <f t="shared" si="0"/>
        <v>15</v>
      </c>
      <c r="C22" s="24" t="s">
        <v>33</v>
      </c>
      <c r="D22" s="27">
        <v>240</v>
      </c>
      <c r="E22" s="27"/>
      <c r="F22" s="28">
        <v>60</v>
      </c>
      <c r="G22" s="29">
        <f>D22*F22</f>
        <v>14400</v>
      </c>
      <c r="H22" s="29">
        <f>I22-G22</f>
        <v>12960.082474907715</v>
      </c>
      <c r="I22" s="30">
        <f>J22*D22</f>
        <v>27360.082474907715</v>
      </c>
      <c r="J22" s="31">
        <f>J10</f>
        <v>114.00034364544881</v>
      </c>
      <c r="K22" s="31">
        <f>J22-F22</f>
        <v>54.000343645448808</v>
      </c>
      <c r="L22" s="32">
        <f>K22/F22</f>
        <v>0.90000572742414675</v>
      </c>
      <c r="M22" s="32"/>
      <c r="N22" s="68">
        <f>+G22/D22</f>
        <v>60</v>
      </c>
      <c r="P22" s="55">
        <f>+I22/D22</f>
        <v>114.00034364544881</v>
      </c>
      <c r="Q22" s="55"/>
      <c r="R22" s="57">
        <v>1</v>
      </c>
      <c r="S22" s="33"/>
    </row>
    <row r="23" spans="2:21" ht="15.5" x14ac:dyDescent="0.35">
      <c r="B23" s="20">
        <f t="shared" si="0"/>
        <v>16</v>
      </c>
      <c r="C23" s="24" t="s">
        <v>34</v>
      </c>
      <c r="D23" s="24"/>
      <c r="E23" s="24"/>
      <c r="G23" s="36"/>
      <c r="H23" s="37"/>
      <c r="I23" s="30"/>
      <c r="J23" s="31"/>
      <c r="L23" s="26"/>
      <c r="M23" s="26"/>
      <c r="N23" s="26"/>
      <c r="P23" s="55"/>
      <c r="Q23" s="55"/>
      <c r="R23" s="57"/>
    </row>
    <row r="24" spans="2:21" ht="15.5" x14ac:dyDescent="0.35">
      <c r="B24" s="20">
        <f t="shared" si="0"/>
        <v>17</v>
      </c>
      <c r="C24" s="24"/>
      <c r="D24" s="24"/>
      <c r="E24" s="24"/>
      <c r="G24" s="31"/>
      <c r="H24" s="37"/>
      <c r="I24" s="30"/>
      <c r="J24" s="31"/>
      <c r="L24" s="31"/>
      <c r="M24" s="31"/>
      <c r="N24" s="31"/>
      <c r="P24" s="55"/>
      <c r="Q24" s="55"/>
      <c r="R24" s="57"/>
    </row>
    <row r="25" spans="2:21" ht="15.5" x14ac:dyDescent="0.35">
      <c r="B25" s="20">
        <f t="shared" si="0"/>
        <v>18</v>
      </c>
      <c r="C25" s="21" t="s">
        <v>38</v>
      </c>
      <c r="D25" s="24"/>
      <c r="E25" s="24"/>
      <c r="F25" s="21"/>
      <c r="G25" s="21"/>
      <c r="H25" s="21"/>
      <c r="I25" s="39"/>
      <c r="J25" s="21"/>
      <c r="K25" s="24"/>
      <c r="P25" s="55"/>
      <c r="Q25" s="55"/>
      <c r="R25" s="57"/>
    </row>
    <row r="26" spans="2:21" ht="15.5" x14ac:dyDescent="0.35">
      <c r="B26" s="20">
        <f t="shared" si="0"/>
        <v>19</v>
      </c>
      <c r="C26" s="24" t="s">
        <v>33</v>
      </c>
      <c r="D26" s="27">
        <v>1164.0965198011313</v>
      </c>
      <c r="E26" s="27"/>
      <c r="F26" s="28">
        <v>58.33</v>
      </c>
      <c r="G26" s="29">
        <f>D26*F26</f>
        <v>67901.749999999985</v>
      </c>
      <c r="H26" s="40">
        <f>I26-G26</f>
        <v>31633.068492058039</v>
      </c>
      <c r="I26" s="30">
        <f>J26*D26</f>
        <v>99534.818492058024</v>
      </c>
      <c r="J26" s="31">
        <f>J10*R26</f>
        <v>85.503922397312962</v>
      </c>
      <c r="K26" s="31">
        <f>J26-F26</f>
        <v>27.173922397312964</v>
      </c>
      <c r="L26" s="32">
        <f>K26/F26</f>
        <v>0.46586529054196751</v>
      </c>
      <c r="M26" s="32"/>
      <c r="N26" s="68">
        <f>+G26/D26</f>
        <v>58.33</v>
      </c>
      <c r="P26" s="55">
        <f>+I26/D26</f>
        <v>85.503922397312962</v>
      </c>
      <c r="Q26" s="56">
        <f>285*D26</f>
        <v>331767.50814332243</v>
      </c>
      <c r="R26" s="57">
        <f>F26/$F$10</f>
        <v>0.75003214607175006</v>
      </c>
      <c r="S26" s="33">
        <f>+Q26-I26</f>
        <v>232232.6896512644</v>
      </c>
    </row>
    <row r="27" spans="2:21" ht="15.5" x14ac:dyDescent="0.35">
      <c r="B27" s="20">
        <f t="shared" si="0"/>
        <v>20</v>
      </c>
      <c r="C27" s="24" t="s">
        <v>34</v>
      </c>
      <c r="D27" s="24"/>
      <c r="E27" s="24"/>
      <c r="G27" s="36"/>
      <c r="H27" s="37"/>
      <c r="I27" s="30"/>
      <c r="J27" s="31"/>
      <c r="L27" s="26"/>
      <c r="M27" s="26"/>
      <c r="N27" s="26"/>
      <c r="P27" s="55"/>
      <c r="Q27" s="55"/>
      <c r="R27" s="57"/>
    </row>
    <row r="28" spans="2:21" ht="15.5" x14ac:dyDescent="0.35">
      <c r="B28" s="20">
        <f t="shared" si="0"/>
        <v>21</v>
      </c>
      <c r="C28" s="24"/>
      <c r="D28" s="24"/>
      <c r="E28" s="24"/>
      <c r="G28" s="31"/>
      <c r="H28" s="37"/>
      <c r="I28" s="30"/>
      <c r="J28" s="31"/>
      <c r="L28" s="31"/>
      <c r="M28" s="31"/>
      <c r="N28" s="31"/>
      <c r="P28" s="55"/>
      <c r="Q28" s="55"/>
      <c r="R28" s="57"/>
    </row>
    <row r="29" spans="2:21" ht="15.5" x14ac:dyDescent="0.35">
      <c r="B29" s="20">
        <f t="shared" si="0"/>
        <v>22</v>
      </c>
      <c r="C29" s="21" t="s">
        <v>39</v>
      </c>
      <c r="D29" s="24"/>
      <c r="E29" s="24"/>
      <c r="F29" s="21"/>
      <c r="G29" s="21"/>
      <c r="H29" s="21"/>
      <c r="I29" s="39"/>
      <c r="J29" s="21"/>
      <c r="K29" s="24"/>
      <c r="P29" s="55"/>
      <c r="Q29" s="55"/>
      <c r="R29" s="57"/>
    </row>
    <row r="30" spans="2:21" ht="15.5" x14ac:dyDescent="0.35">
      <c r="B30" s="20">
        <f t="shared" si="0"/>
        <v>23</v>
      </c>
      <c r="C30" s="24" t="s">
        <v>33</v>
      </c>
      <c r="D30" s="27">
        <v>12</v>
      </c>
      <c r="E30" s="27"/>
      <c r="F30" s="28">
        <v>197.43</v>
      </c>
      <c r="G30" s="29">
        <f>D30*F30</f>
        <v>2369.16</v>
      </c>
      <c r="H30" s="40">
        <f>I30-G30</f>
        <v>1050.8503093634645</v>
      </c>
      <c r="I30" s="30">
        <f>J30*D30</f>
        <v>3420.0103093634643</v>
      </c>
      <c r="J30" s="31">
        <f>J10*R30</f>
        <v>285.00085911362203</v>
      </c>
      <c r="K30" s="31">
        <f>J30-F30</f>
        <v>87.570859113622021</v>
      </c>
      <c r="L30" s="32">
        <f>K30/F30</f>
        <v>0.44355396400558184</v>
      </c>
      <c r="M30" s="32"/>
      <c r="N30" s="68">
        <f>+G30/D30</f>
        <v>197.42999999999998</v>
      </c>
      <c r="P30" s="55">
        <f>+I30/D30</f>
        <v>285.00085911362203</v>
      </c>
      <c r="Q30" s="55"/>
      <c r="R30" s="57">
        <v>2.5</v>
      </c>
      <c r="S30" s="33"/>
    </row>
    <row r="31" spans="2:21" ht="15.5" x14ac:dyDescent="0.35">
      <c r="B31" s="20">
        <f t="shared" si="0"/>
        <v>24</v>
      </c>
      <c r="C31" s="24" t="s">
        <v>34</v>
      </c>
      <c r="D31" s="24"/>
      <c r="E31" s="24"/>
      <c r="G31" s="36"/>
      <c r="H31" s="37"/>
      <c r="I31" s="30"/>
      <c r="J31" s="31"/>
      <c r="L31" s="26"/>
      <c r="M31" s="26"/>
      <c r="N31" s="26"/>
      <c r="P31" s="55"/>
      <c r="Q31" s="55"/>
      <c r="R31" s="57"/>
    </row>
    <row r="32" spans="2:21" ht="15.5" x14ac:dyDescent="0.35">
      <c r="B32" s="20">
        <f t="shared" si="0"/>
        <v>25</v>
      </c>
      <c r="C32" s="24"/>
      <c r="D32" s="24"/>
      <c r="E32" s="24"/>
      <c r="G32" s="31"/>
      <c r="I32" s="30"/>
      <c r="J32" s="31"/>
      <c r="L32" s="31"/>
      <c r="M32" s="31"/>
      <c r="N32" s="31"/>
      <c r="P32" s="55"/>
      <c r="Q32" s="55"/>
      <c r="R32" s="57"/>
    </row>
    <row r="33" spans="2:19" ht="15.5" x14ac:dyDescent="0.35">
      <c r="B33" s="20">
        <f t="shared" si="0"/>
        <v>26</v>
      </c>
      <c r="C33" s="21" t="s">
        <v>40</v>
      </c>
      <c r="D33" s="24"/>
      <c r="E33" s="24"/>
      <c r="F33" s="21"/>
      <c r="G33" s="21"/>
      <c r="H33" s="21"/>
      <c r="I33" s="39"/>
      <c r="J33" s="21"/>
      <c r="K33" s="24"/>
      <c r="P33" s="55"/>
      <c r="Q33" s="55"/>
      <c r="R33" s="57"/>
    </row>
    <row r="34" spans="2:19" ht="15.5" x14ac:dyDescent="0.35">
      <c r="B34" s="20">
        <f t="shared" si="0"/>
        <v>27</v>
      </c>
      <c r="C34" s="24" t="s">
        <v>33</v>
      </c>
      <c r="D34" s="27">
        <v>420.00029418021694</v>
      </c>
      <c r="E34" s="27"/>
      <c r="F34" s="28">
        <v>197.43</v>
      </c>
      <c r="G34" s="29">
        <f>D34*F34</f>
        <v>82920.658080000227</v>
      </c>
      <c r="H34" s="40">
        <f>I34-G34</f>
        <v>36779.786589335592</v>
      </c>
      <c r="I34" s="30">
        <f>J34*D34</f>
        <v>119700.44466933582</v>
      </c>
      <c r="J34" s="31">
        <f>J14*R34</f>
        <v>285.00085911362203</v>
      </c>
      <c r="K34" s="31">
        <f>J34-F34</f>
        <v>87.570859113622021</v>
      </c>
      <c r="L34" s="32">
        <f>K34/F34</f>
        <v>0.44355396400558184</v>
      </c>
      <c r="M34" s="32"/>
      <c r="N34" s="68">
        <f>+G34/D34</f>
        <v>197.42999999999998</v>
      </c>
      <c r="P34" s="55">
        <f>+I34/D34</f>
        <v>285.00085911362203</v>
      </c>
      <c r="Q34" s="55"/>
      <c r="R34" s="57">
        <v>2.5</v>
      </c>
      <c r="S34" s="33"/>
    </row>
    <row r="35" spans="2:19" ht="15.5" x14ac:dyDescent="0.35">
      <c r="B35" s="20">
        <f t="shared" si="0"/>
        <v>28</v>
      </c>
      <c r="C35" s="24" t="s">
        <v>34</v>
      </c>
      <c r="E35" s="61">
        <v>36489.340333333334</v>
      </c>
      <c r="F35" s="65">
        <v>11.67</v>
      </c>
      <c r="G35" s="29">
        <f>E35*F35</f>
        <v>425830.60168999998</v>
      </c>
      <c r="H35" s="40">
        <f>I35-G35</f>
        <v>1612508.7102711948</v>
      </c>
      <c r="I35" s="30">
        <f>I38*T11-I34</f>
        <v>2038339.3119611947</v>
      </c>
      <c r="J35" s="31">
        <f>I35/E35</f>
        <v>55.861226685404169</v>
      </c>
      <c r="K35" s="31">
        <f>J35-F35</f>
        <v>44.191226685404168</v>
      </c>
      <c r="L35" s="32">
        <f>K35/F35</f>
        <v>3.786737505176021</v>
      </c>
      <c r="M35" s="32"/>
      <c r="N35" s="69">
        <f>+G35/D34</f>
        <v>1013.8816748239736</v>
      </c>
      <c r="P35" s="60">
        <f>+I35/D34</f>
        <v>4853.1854386905943</v>
      </c>
      <c r="Q35" s="55"/>
    </row>
    <row r="36" spans="2:19" ht="15.5" x14ac:dyDescent="0.35">
      <c r="B36" s="20"/>
      <c r="C36" s="24"/>
      <c r="D36" s="26" t="s">
        <v>54</v>
      </c>
      <c r="E36" s="41"/>
      <c r="F36" s="28"/>
      <c r="G36" s="29"/>
      <c r="H36" s="40"/>
      <c r="I36" s="29"/>
      <c r="J36" s="31"/>
      <c r="K36" s="31"/>
      <c r="L36" s="32"/>
      <c r="M36" s="32"/>
      <c r="N36" s="68">
        <f>+N34+N35</f>
        <v>1211.3116748239736</v>
      </c>
      <c r="P36" s="55">
        <f>+P35+P34</f>
        <v>5138.1862978042163</v>
      </c>
      <c r="Q36" s="55"/>
      <c r="R36" s="37" t="s">
        <v>54</v>
      </c>
    </row>
    <row r="37" spans="2:19" ht="15.5" x14ac:dyDescent="0.35">
      <c r="B37" s="20">
        <f>B35+1</f>
        <v>29</v>
      </c>
      <c r="C37" s="24"/>
      <c r="D37" s="24"/>
      <c r="E37" s="24"/>
      <c r="G37" s="31"/>
      <c r="H37" s="37"/>
      <c r="I37" s="30"/>
      <c r="J37" s="31"/>
      <c r="L37" s="31"/>
      <c r="M37" s="31"/>
      <c r="N37" s="31"/>
    </row>
    <row r="38" spans="2:19" ht="15.5" x14ac:dyDescent="0.35">
      <c r="B38" s="20">
        <f t="shared" si="0"/>
        <v>30</v>
      </c>
      <c r="C38" s="23" t="s">
        <v>41</v>
      </c>
      <c r="D38" s="42">
        <f>SUM(D10:D35)</f>
        <v>29088.161363292871</v>
      </c>
      <c r="E38" s="43">
        <f>SUM(E10:E35)</f>
        <v>36489.340333333334</v>
      </c>
      <c r="F38" s="23"/>
      <c r="G38" s="39">
        <f>SUM(G10:G35)</f>
        <v>2697918.7897699573</v>
      </c>
      <c r="H38" s="39">
        <f>H42-SUM(H40:H41)</f>
        <v>2697180.6018063687</v>
      </c>
      <c r="I38" s="39">
        <f>I42-SUM(I40:I41)</f>
        <v>5395099.3915763265</v>
      </c>
      <c r="J38" s="64">
        <f>+I38/G38-1</f>
        <v>0.99972638614387233</v>
      </c>
      <c r="R38" s="30"/>
    </row>
    <row r="39" spans="2:19" ht="15.5" x14ac:dyDescent="0.35">
      <c r="B39" s="20">
        <f t="shared" si="0"/>
        <v>31</v>
      </c>
      <c r="C39" s="23"/>
      <c r="D39" s="42"/>
      <c r="E39" s="43"/>
      <c r="F39" s="23"/>
      <c r="G39" s="39"/>
      <c r="H39" s="44"/>
      <c r="I39" s="39"/>
    </row>
    <row r="40" spans="2:19" ht="15.5" x14ac:dyDescent="0.35">
      <c r="B40" s="20">
        <f t="shared" si="0"/>
        <v>32</v>
      </c>
      <c r="C40" s="23" t="s">
        <v>42</v>
      </c>
      <c r="D40" s="42"/>
      <c r="E40" s="43"/>
      <c r="F40" s="23"/>
      <c r="G40" s="39">
        <v>14244</v>
      </c>
      <c r="H40" s="39">
        <f>I40-G40</f>
        <v>105285.3160232636</v>
      </c>
      <c r="I40" s="39">
        <v>119529.3160232636</v>
      </c>
    </row>
    <row r="41" spans="2:19" ht="15.5" x14ac:dyDescent="0.35">
      <c r="B41" s="20">
        <f t="shared" si="0"/>
        <v>33</v>
      </c>
      <c r="C41" s="23" t="s">
        <v>43</v>
      </c>
      <c r="D41" s="42"/>
      <c r="E41" s="43"/>
      <c r="F41" s="23"/>
      <c r="G41" s="39">
        <v>0</v>
      </c>
      <c r="H41" s="39">
        <f>I41-G41</f>
        <v>0</v>
      </c>
      <c r="I41" s="39">
        <v>0</v>
      </c>
    </row>
    <row r="42" spans="2:19" ht="15.5" x14ac:dyDescent="0.35">
      <c r="B42" s="20">
        <f t="shared" si="0"/>
        <v>34</v>
      </c>
      <c r="C42" s="23" t="s">
        <v>44</v>
      </c>
      <c r="D42" s="42"/>
      <c r="E42" s="43"/>
      <c r="F42" s="23"/>
      <c r="G42" s="39">
        <f>SUM(G38:G41)</f>
        <v>2712162.7897699573</v>
      </c>
      <c r="H42" s="39">
        <f>I42-G42</f>
        <v>2802465.9178296323</v>
      </c>
      <c r="I42" s="39">
        <v>5514628.7075995896</v>
      </c>
    </row>
    <row r="43" spans="2:19" ht="15.5" x14ac:dyDescent="0.35">
      <c r="B43" s="20"/>
      <c r="D43" s="26"/>
      <c r="E43" s="37"/>
      <c r="I43" s="30"/>
      <c r="J43" s="78"/>
    </row>
    <row r="44" spans="2:19" x14ac:dyDescent="0.3">
      <c r="C44" s="16" t="s">
        <v>45</v>
      </c>
      <c r="F44" s="31"/>
      <c r="G44" s="31"/>
      <c r="H44" s="31"/>
      <c r="I44" s="32"/>
    </row>
    <row r="45" spans="2:19" x14ac:dyDescent="0.3">
      <c r="G45" s="31"/>
      <c r="H45" s="30">
        <f>SUM(H10:H35)-H38</f>
        <v>0</v>
      </c>
    </row>
    <row r="47" spans="2:19" x14ac:dyDescent="0.3">
      <c r="I47" s="30">
        <f>+I35+I34+I30+I26+I22+I18+I14+I10</f>
        <v>5395099.3915763265</v>
      </c>
    </row>
    <row r="50" spans="7:9" x14ac:dyDescent="0.3">
      <c r="G50" s="70">
        <f>+(G34+G35)/G38</f>
        <v>0.18857174711822211</v>
      </c>
      <c r="H50" s="71"/>
      <c r="I50" s="70">
        <f>+(I34+I35)/I38</f>
        <v>0.4</v>
      </c>
    </row>
  </sheetData>
  <mergeCells count="4">
    <mergeCell ref="C3:L3"/>
    <mergeCell ref="C4:L4"/>
    <mergeCell ref="C5:L5"/>
    <mergeCell ref="C6:F6"/>
  </mergeCells>
  <pageMargins left="0.7" right="0.7" top="0.75" bottom="0.75" header="0.3" footer="0.3"/>
  <pageSetup scale="41" orientation="landscape" r:id="rId1"/>
  <headerFooter>
    <oddHeader xml:space="preserve">&amp;R&amp;"Arial,Bold"Exhibit MPG-1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5A9BE-3141-4284-A45B-B06ED83FE70E}">
  <sheetPr>
    <pageSetUpPr fitToPage="1"/>
  </sheetPr>
  <dimension ref="A1:Z63"/>
  <sheetViews>
    <sheetView view="pageLayout" topLeftCell="C34" zoomScaleNormal="100" workbookViewId="0">
      <selection activeCell="I46" sqref="I46"/>
    </sheetView>
  </sheetViews>
  <sheetFormatPr defaultRowHeight="14" x14ac:dyDescent="0.3"/>
  <cols>
    <col min="2" max="2" width="9" customWidth="1"/>
    <col min="3" max="3" width="34.58203125" customWidth="1"/>
    <col min="5" max="5" width="10.33203125" customWidth="1"/>
    <col min="6" max="6" width="9" customWidth="1"/>
    <col min="7" max="7" width="13.75" customWidth="1"/>
    <col min="8" max="8" width="13" customWidth="1"/>
    <col min="9" max="9" width="11.25" customWidth="1"/>
    <col min="10" max="10" width="11.08203125" bestFit="1" customWidth="1"/>
    <col min="11" max="11" width="15.75" bestFit="1" customWidth="1"/>
    <col min="13" max="13" width="3" customWidth="1"/>
    <col min="14" max="14" width="10.83203125" customWidth="1"/>
    <col min="15" max="15" width="3" customWidth="1"/>
    <col min="16" max="16" width="10.75" customWidth="1"/>
    <col min="23" max="23" width="15.33203125" customWidth="1"/>
    <col min="24" max="24" width="13.75" bestFit="1" customWidth="1"/>
  </cols>
  <sheetData>
    <row r="1" spans="1:26" x14ac:dyDescent="0.3">
      <c r="A1" s="1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</row>
    <row r="2" spans="1:26" x14ac:dyDescent="0.3"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</row>
    <row r="3" spans="1:26" ht="15" x14ac:dyDescent="0.3">
      <c r="B3" s="16"/>
      <c r="C3" s="81" t="s">
        <v>46</v>
      </c>
      <c r="D3" s="81"/>
      <c r="E3" s="81"/>
      <c r="F3" s="81"/>
      <c r="G3" s="81"/>
      <c r="H3" s="81"/>
      <c r="I3" s="81"/>
      <c r="J3" s="81"/>
      <c r="K3" s="81"/>
      <c r="L3" s="81"/>
      <c r="M3" s="62"/>
      <c r="N3" s="62"/>
      <c r="O3" s="16"/>
      <c r="P3" s="16"/>
      <c r="Q3" s="16"/>
      <c r="R3" s="16"/>
      <c r="S3" s="16"/>
      <c r="T3" s="16"/>
      <c r="U3" s="16"/>
      <c r="V3" s="16"/>
      <c r="W3" s="62"/>
      <c r="X3" s="62"/>
      <c r="Y3" s="62"/>
    </row>
    <row r="4" spans="1:26" x14ac:dyDescent="0.3">
      <c r="B4" s="16"/>
      <c r="C4" s="82" t="s">
        <v>47</v>
      </c>
      <c r="D4" s="82"/>
      <c r="E4" s="82"/>
      <c r="F4" s="82"/>
      <c r="G4" s="82"/>
      <c r="H4" s="82"/>
      <c r="I4" s="82"/>
      <c r="J4" s="82"/>
      <c r="K4" s="82"/>
      <c r="L4" s="82"/>
      <c r="M4" s="54"/>
      <c r="N4" s="54"/>
      <c r="O4" s="16"/>
      <c r="P4" s="16"/>
      <c r="Q4" s="16"/>
      <c r="R4" s="16"/>
      <c r="S4" s="16"/>
      <c r="T4" s="16"/>
      <c r="U4" s="16"/>
      <c r="V4" s="16"/>
      <c r="W4" s="54"/>
      <c r="X4" s="54"/>
      <c r="Y4" s="54"/>
    </row>
    <row r="5" spans="1:26" x14ac:dyDescent="0.3">
      <c r="B5" s="16"/>
      <c r="C5" s="83" t="s">
        <v>64</v>
      </c>
      <c r="D5" s="83"/>
      <c r="E5" s="83"/>
      <c r="F5" s="83"/>
      <c r="G5" s="83"/>
      <c r="H5" s="83"/>
      <c r="I5" s="83"/>
      <c r="J5" s="83"/>
      <c r="K5" s="83"/>
      <c r="L5" s="83"/>
      <c r="M5" s="63"/>
      <c r="N5" s="63"/>
      <c r="O5" s="16"/>
      <c r="P5" s="16"/>
      <c r="Q5" s="16"/>
      <c r="R5" s="16"/>
      <c r="S5" s="16"/>
      <c r="T5" s="16"/>
      <c r="U5" s="16"/>
      <c r="V5" s="16"/>
      <c r="W5" s="63"/>
      <c r="X5" s="63"/>
      <c r="Y5" s="63"/>
    </row>
    <row r="6" spans="1:26" x14ac:dyDescent="0.3">
      <c r="B6" s="16"/>
      <c r="C6" s="84"/>
      <c r="D6" s="84"/>
      <c r="E6" s="84"/>
      <c r="F6" s="84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</row>
    <row r="7" spans="1:26" ht="39" x14ac:dyDescent="0.3">
      <c r="B7" s="17" t="s">
        <v>19</v>
      </c>
      <c r="C7" s="17" t="s">
        <v>20</v>
      </c>
      <c r="D7" s="18" t="s">
        <v>21</v>
      </c>
      <c r="E7" s="18" t="s">
        <v>22</v>
      </c>
      <c r="F7" s="18" t="s">
        <v>23</v>
      </c>
      <c r="G7" s="18" t="s">
        <v>24</v>
      </c>
      <c r="H7" s="18" t="s">
        <v>25</v>
      </c>
      <c r="I7" s="18" t="s">
        <v>26</v>
      </c>
      <c r="J7" s="18" t="s">
        <v>27</v>
      </c>
      <c r="K7" s="18" t="s">
        <v>28</v>
      </c>
      <c r="L7" s="18" t="s">
        <v>29</v>
      </c>
      <c r="M7" s="18"/>
      <c r="N7" s="59" t="s">
        <v>63</v>
      </c>
      <c r="O7" s="58"/>
      <c r="P7" s="59" t="s">
        <v>62</v>
      </c>
      <c r="Q7" s="19"/>
      <c r="R7" s="19" t="s">
        <v>30</v>
      </c>
      <c r="S7" s="19"/>
      <c r="T7" s="19" t="s">
        <v>31</v>
      </c>
      <c r="U7" s="19"/>
      <c r="V7" s="19"/>
      <c r="W7" s="18" t="s">
        <v>61</v>
      </c>
      <c r="X7" s="18" t="s">
        <v>60</v>
      </c>
      <c r="Y7" s="18" t="s">
        <v>59</v>
      </c>
    </row>
    <row r="8" spans="1:26" ht="15.5" x14ac:dyDescent="0.35">
      <c r="B8" s="20">
        <v>1</v>
      </c>
      <c r="C8" s="21"/>
      <c r="D8" s="22"/>
      <c r="E8" s="22"/>
      <c r="F8" s="21"/>
      <c r="G8" s="21"/>
      <c r="H8" s="21"/>
      <c r="I8" s="23"/>
      <c r="J8" s="21"/>
      <c r="K8" s="24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</row>
    <row r="9" spans="1:26" ht="15.5" x14ac:dyDescent="0.35">
      <c r="B9" s="20">
        <f t="shared" ref="B9:B35" si="0">B8+1</f>
        <v>2</v>
      </c>
      <c r="C9" s="21" t="s">
        <v>32</v>
      </c>
      <c r="D9" s="24"/>
      <c r="E9" s="24"/>
      <c r="F9" s="21"/>
      <c r="G9" s="21"/>
      <c r="H9" s="21"/>
      <c r="I9" s="23"/>
      <c r="J9" s="21"/>
      <c r="K9" s="24"/>
      <c r="L9" s="26"/>
      <c r="M9" s="26"/>
      <c r="N9" s="26"/>
      <c r="O9" s="25"/>
      <c r="P9" s="25"/>
      <c r="Q9" s="25"/>
      <c r="R9" s="25"/>
      <c r="S9" s="25"/>
      <c r="T9" s="25"/>
      <c r="U9" s="25"/>
      <c r="V9" s="25"/>
      <c r="W9" s="26"/>
      <c r="X9" s="26"/>
      <c r="Y9" s="26"/>
    </row>
    <row r="10" spans="1:26" ht="15.5" x14ac:dyDescent="0.35">
      <c r="B10" s="20">
        <f t="shared" si="0"/>
        <v>3</v>
      </c>
      <c r="C10" s="24" t="s">
        <v>33</v>
      </c>
      <c r="D10" s="27">
        <v>26904.064549311523</v>
      </c>
      <c r="E10" s="27"/>
      <c r="F10" s="28">
        <v>77.77</v>
      </c>
      <c r="G10" s="29">
        <f>D10*F10</f>
        <v>2092329.099999957</v>
      </c>
      <c r="H10" s="29">
        <f>I10-G10</f>
        <v>2059011.6168943539</v>
      </c>
      <c r="I10" s="30">
        <f>J10*D10</f>
        <v>4151340.7168943109</v>
      </c>
      <c r="J10" s="31">
        <f>X10</f>
        <v>154.30161897231042</v>
      </c>
      <c r="K10" s="31">
        <f>J10-F10</f>
        <v>76.531618972310426</v>
      </c>
      <c r="L10" s="32">
        <f>K10/F10</f>
        <v>0.98407636585200498</v>
      </c>
      <c r="M10" s="76"/>
      <c r="N10" s="77">
        <f>+G10/D10</f>
        <v>77.77</v>
      </c>
      <c r="O10" s="25"/>
      <c r="P10" s="55">
        <f>+I10/D10</f>
        <v>154.30161897231042</v>
      </c>
      <c r="Q10" s="64">
        <f>+P10/N10-1</f>
        <v>0.98407636585200509</v>
      </c>
      <c r="R10" s="57">
        <v>1</v>
      </c>
      <c r="S10" s="33"/>
      <c r="T10" s="34">
        <v>0.6</v>
      </c>
      <c r="U10" s="25"/>
      <c r="V10" s="25"/>
      <c r="W10" s="30">
        <f>(('MPG-1'!I10/('MPG-1'!$I$38-'MPG-1'!$I$35)*$W$39)+'MPG-1'!I10)</f>
        <v>4151340.7168943114</v>
      </c>
      <c r="X10" s="31">
        <f>W10/D10</f>
        <v>154.30161897231042</v>
      </c>
      <c r="Y10" s="79">
        <f>X10/F10-1</f>
        <v>0.98407636585200509</v>
      </c>
    </row>
    <row r="11" spans="1:26" ht="15.5" x14ac:dyDescent="0.35">
      <c r="B11" s="20">
        <f t="shared" si="0"/>
        <v>4</v>
      </c>
      <c r="C11" s="24" t="s">
        <v>34</v>
      </c>
      <c r="D11" s="24"/>
      <c r="E11" s="24"/>
      <c r="F11" s="25"/>
      <c r="G11" s="36"/>
      <c r="H11" s="37"/>
      <c r="I11" s="30"/>
      <c r="J11" s="31"/>
      <c r="K11" s="25"/>
      <c r="L11" s="26"/>
      <c r="M11" s="26"/>
      <c r="N11" s="26"/>
      <c r="O11" s="25"/>
      <c r="P11" s="55"/>
      <c r="Q11" s="55"/>
      <c r="R11" s="57"/>
      <c r="S11" s="25"/>
      <c r="T11" s="34">
        <f>1-T10</f>
        <v>0.4</v>
      </c>
      <c r="U11" s="25"/>
      <c r="V11" s="25"/>
      <c r="W11" s="31"/>
      <c r="X11" s="25"/>
      <c r="Y11" s="26"/>
    </row>
    <row r="12" spans="1:26" ht="15.5" x14ac:dyDescent="0.35">
      <c r="B12" s="20">
        <f t="shared" si="0"/>
        <v>5</v>
      </c>
      <c r="C12" s="24"/>
      <c r="D12" s="24"/>
      <c r="E12" s="24"/>
      <c r="F12" s="25"/>
      <c r="G12" s="31"/>
      <c r="H12" s="37"/>
      <c r="I12" s="30"/>
      <c r="J12" s="31"/>
      <c r="K12" s="25"/>
      <c r="L12" s="31"/>
      <c r="M12" s="31"/>
      <c r="N12" s="31"/>
      <c r="O12" s="25"/>
      <c r="P12" s="55"/>
      <c r="Q12" s="55"/>
      <c r="R12" s="57"/>
      <c r="S12" s="25"/>
      <c r="T12" s="25"/>
      <c r="U12" s="25"/>
      <c r="V12" s="38"/>
      <c r="W12" s="31"/>
      <c r="X12" s="25"/>
      <c r="Y12" s="31"/>
    </row>
    <row r="13" spans="1:26" ht="15.5" x14ac:dyDescent="0.35">
      <c r="B13" s="20">
        <f t="shared" si="0"/>
        <v>6</v>
      </c>
      <c r="C13" s="21" t="s">
        <v>35</v>
      </c>
      <c r="D13" s="24"/>
      <c r="E13" s="24"/>
      <c r="F13" s="21"/>
      <c r="G13" s="21"/>
      <c r="H13" s="21"/>
      <c r="I13" s="23"/>
      <c r="J13" s="21"/>
      <c r="K13" s="24"/>
      <c r="L13" s="26"/>
      <c r="M13" s="26"/>
      <c r="N13" s="26"/>
      <c r="O13" s="25"/>
      <c r="P13" s="55"/>
      <c r="Q13" s="55"/>
      <c r="R13" s="57"/>
      <c r="S13" s="25"/>
      <c r="T13" s="25"/>
      <c r="U13" s="25"/>
      <c r="V13" s="25"/>
      <c r="W13" s="21"/>
      <c r="X13" s="24"/>
      <c r="Y13" s="26"/>
      <c r="Z13" t="s">
        <v>54</v>
      </c>
    </row>
    <row r="14" spans="1:26" ht="15.5" x14ac:dyDescent="0.35">
      <c r="B14" s="20">
        <f t="shared" si="0"/>
        <v>7</v>
      </c>
      <c r="C14" s="24" t="s">
        <v>33</v>
      </c>
      <c r="D14" s="27">
        <v>156.00000000000003</v>
      </c>
      <c r="E14" s="27"/>
      <c r="F14" s="28">
        <v>34.92</v>
      </c>
      <c r="G14" s="29">
        <f>D14*F14</f>
        <v>5447.5200000000013</v>
      </c>
      <c r="H14" s="29">
        <f>I14-G14</f>
        <v>18623.532559680429</v>
      </c>
      <c r="I14" s="30">
        <f>J14*D14</f>
        <v>24071.052559680429</v>
      </c>
      <c r="J14" s="31">
        <f>J10</f>
        <v>154.30161897231042</v>
      </c>
      <c r="K14" s="31">
        <f>J14-F14</f>
        <v>119.38161897231042</v>
      </c>
      <c r="L14" s="32">
        <f>K14/F14</f>
        <v>3.4187176108909054</v>
      </c>
      <c r="M14" s="76"/>
      <c r="N14" s="77">
        <f>+G14/D14</f>
        <v>34.92</v>
      </c>
      <c r="O14" s="25"/>
      <c r="P14" s="55">
        <f>+I14/D14</f>
        <v>154.30161897231042</v>
      </c>
      <c r="Q14" s="64">
        <f>+P14/N14-1</f>
        <v>3.418717610890905</v>
      </c>
      <c r="R14" s="57">
        <v>1</v>
      </c>
      <c r="S14" s="33"/>
      <c r="T14" s="30">
        <f>G10</f>
        <v>2092329.099999957</v>
      </c>
      <c r="U14" s="30">
        <f>I10</f>
        <v>4151340.7168943109</v>
      </c>
      <c r="V14" s="25"/>
      <c r="W14" s="30">
        <f>(('MPG-1'!I14/('MPG-1'!$I$38-'MPG-1'!$I$35)*$W$39)+'MPG-1'!I14)</f>
        <v>24071.052559680433</v>
      </c>
      <c r="X14" s="31">
        <f>W14/D14</f>
        <v>154.30161897231045</v>
      </c>
      <c r="Y14" s="79">
        <f>X14/F14-1</f>
        <v>3.4187176108909059</v>
      </c>
    </row>
    <row r="15" spans="1:26" ht="15.5" x14ac:dyDescent="0.35">
      <c r="B15" s="20">
        <f t="shared" si="0"/>
        <v>8</v>
      </c>
      <c r="C15" s="24" t="s">
        <v>34</v>
      </c>
      <c r="D15" s="24"/>
      <c r="E15" s="24"/>
      <c r="F15" s="25"/>
      <c r="G15" s="36"/>
      <c r="H15" s="37"/>
      <c r="I15" s="30"/>
      <c r="J15" s="31"/>
      <c r="K15" s="25"/>
      <c r="L15" s="26"/>
      <c r="M15" s="26"/>
      <c r="N15" s="26"/>
      <c r="O15" s="25"/>
      <c r="P15" s="55"/>
      <c r="Q15" s="55"/>
      <c r="R15" s="57"/>
      <c r="S15" s="25"/>
      <c r="T15" s="30">
        <f>G14</f>
        <v>5447.5200000000013</v>
      </c>
      <c r="U15" s="30">
        <f>I14</f>
        <v>24071.052559680429</v>
      </c>
      <c r="V15" s="25"/>
      <c r="W15" s="31"/>
      <c r="X15" s="25"/>
      <c r="Y15" s="26"/>
    </row>
    <row r="16" spans="1:26" ht="15.5" x14ac:dyDescent="0.35">
      <c r="B16" s="20">
        <f t="shared" si="0"/>
        <v>9</v>
      </c>
      <c r="C16" s="24"/>
      <c r="D16" s="24"/>
      <c r="E16" s="24"/>
      <c r="F16" s="25"/>
      <c r="G16" s="31"/>
      <c r="H16" s="37"/>
      <c r="I16" s="30"/>
      <c r="J16" s="31"/>
      <c r="K16" s="25"/>
      <c r="L16" s="31"/>
      <c r="M16" s="31"/>
      <c r="N16" s="31"/>
      <c r="O16" s="25"/>
      <c r="P16" s="55"/>
      <c r="Q16" s="55"/>
      <c r="R16" s="57"/>
      <c r="S16" s="25"/>
      <c r="T16" s="30">
        <f>G18</f>
        <v>6720</v>
      </c>
      <c r="U16" s="30">
        <f>I18</f>
        <v>29625.910842683603</v>
      </c>
      <c r="V16" s="25"/>
      <c r="W16" s="31"/>
      <c r="X16" s="25"/>
      <c r="Y16" s="31"/>
    </row>
    <row r="17" spans="2:25" ht="15.5" x14ac:dyDescent="0.35">
      <c r="B17" s="20">
        <f t="shared" si="0"/>
        <v>10</v>
      </c>
      <c r="C17" s="21" t="s">
        <v>36</v>
      </c>
      <c r="D17" s="24"/>
      <c r="E17" s="24"/>
      <c r="F17" s="21"/>
      <c r="G17" s="21"/>
      <c r="H17" s="21"/>
      <c r="I17" s="23"/>
      <c r="J17" s="21"/>
      <c r="K17" s="24"/>
      <c r="L17" s="26"/>
      <c r="M17" s="26"/>
      <c r="N17" s="26"/>
      <c r="O17" s="25"/>
      <c r="P17" s="55"/>
      <c r="Q17" s="55"/>
      <c r="R17" s="57"/>
      <c r="S17" s="25"/>
      <c r="T17" s="30">
        <f>G22</f>
        <v>14400</v>
      </c>
      <c r="U17" s="30">
        <f>I22</f>
        <v>37032.388553354504</v>
      </c>
      <c r="V17" s="25"/>
      <c r="W17" s="21"/>
      <c r="X17" s="24"/>
      <c r="Y17" s="26"/>
    </row>
    <row r="18" spans="2:25" ht="15.5" x14ac:dyDescent="0.35">
      <c r="B18" s="20">
        <f t="shared" si="0"/>
        <v>11</v>
      </c>
      <c r="C18" s="24" t="s">
        <v>33</v>
      </c>
      <c r="D18" s="27">
        <v>192</v>
      </c>
      <c r="E18" s="27"/>
      <c r="F18" s="28">
        <v>35</v>
      </c>
      <c r="G18" s="29">
        <f>D18*F18</f>
        <v>6720</v>
      </c>
      <c r="H18" s="29">
        <f>I18-G18</f>
        <v>22905.910842683603</v>
      </c>
      <c r="I18" s="30">
        <f>J18*D18</f>
        <v>29625.910842683603</v>
      </c>
      <c r="J18" s="31">
        <f>J10</f>
        <v>154.30161897231042</v>
      </c>
      <c r="K18" s="31">
        <f>J18-F18</f>
        <v>119.30161897231042</v>
      </c>
      <c r="L18" s="32">
        <f>K18/F18</f>
        <v>3.4086176849231551</v>
      </c>
      <c r="M18" s="76"/>
      <c r="N18" s="77">
        <f>+G18/D18</f>
        <v>35</v>
      </c>
      <c r="O18" s="25"/>
      <c r="P18" s="55">
        <f>+I18/D18</f>
        <v>154.30161897231042</v>
      </c>
      <c r="Q18" s="64">
        <f>+P18/N18-1</f>
        <v>3.4086176849231551</v>
      </c>
      <c r="R18" s="57">
        <v>1</v>
      </c>
      <c r="S18" s="33"/>
      <c r="T18" s="25"/>
      <c r="U18" s="25"/>
      <c r="V18" s="25"/>
      <c r="W18" s="30">
        <f>(('MPG-1'!I18/('MPG-1'!$I$38-'MPG-1'!$I$35)*$W$39)+'MPG-1'!I18)</f>
        <v>29625.910842683603</v>
      </c>
      <c r="X18" s="31">
        <f>W18/D18</f>
        <v>154.30161897231042</v>
      </c>
      <c r="Y18" s="79">
        <f>X18/F18-1</f>
        <v>3.4086176849231551</v>
      </c>
    </row>
    <row r="19" spans="2:25" ht="15.5" x14ac:dyDescent="0.35">
      <c r="B19" s="20">
        <f t="shared" si="0"/>
        <v>12</v>
      </c>
      <c r="C19" s="24" t="s">
        <v>34</v>
      </c>
      <c r="D19" s="24"/>
      <c r="E19" s="24"/>
      <c r="F19" s="25"/>
      <c r="G19" s="36"/>
      <c r="H19" s="37"/>
      <c r="I19" s="30"/>
      <c r="J19" s="31"/>
      <c r="K19" s="25"/>
      <c r="L19" s="26"/>
      <c r="M19" s="26"/>
      <c r="N19" s="26"/>
      <c r="O19" s="25"/>
      <c r="P19" s="55"/>
      <c r="Q19" s="55"/>
      <c r="R19" s="57"/>
      <c r="S19" s="25"/>
      <c r="T19" s="25"/>
      <c r="U19" s="25"/>
      <c r="V19" s="25"/>
      <c r="W19" s="31"/>
      <c r="X19" s="25"/>
      <c r="Y19" s="26"/>
    </row>
    <row r="20" spans="2:25" ht="15.5" x14ac:dyDescent="0.35">
      <c r="B20" s="20">
        <f t="shared" si="0"/>
        <v>13</v>
      </c>
      <c r="C20" s="24"/>
      <c r="D20" s="24"/>
      <c r="E20" s="24"/>
      <c r="F20" s="25"/>
      <c r="G20" s="31"/>
      <c r="H20" s="37"/>
      <c r="I20" s="30"/>
      <c r="J20" s="31"/>
      <c r="K20" s="25"/>
      <c r="L20" s="31"/>
      <c r="M20" s="31"/>
      <c r="N20" s="31"/>
      <c r="O20" s="25"/>
      <c r="P20" s="55"/>
      <c r="Q20" s="55"/>
      <c r="R20" s="57"/>
      <c r="S20" s="25"/>
      <c r="T20" s="25"/>
      <c r="U20" s="25"/>
      <c r="V20" s="25"/>
      <c r="W20" s="31"/>
      <c r="X20" s="25"/>
      <c r="Y20" s="31"/>
    </row>
    <row r="21" spans="2:25" ht="15.5" x14ac:dyDescent="0.35">
      <c r="B21" s="20">
        <f t="shared" si="0"/>
        <v>14</v>
      </c>
      <c r="C21" s="21" t="s">
        <v>37</v>
      </c>
      <c r="D21" s="24"/>
      <c r="E21" s="24"/>
      <c r="F21" s="21"/>
      <c r="G21" s="21"/>
      <c r="H21" s="21"/>
      <c r="I21" s="23"/>
      <c r="J21" s="21"/>
      <c r="K21" s="24"/>
      <c r="L21" s="26"/>
      <c r="M21" s="26"/>
      <c r="N21" s="26"/>
      <c r="O21" s="25"/>
      <c r="P21" s="55"/>
      <c r="Q21" s="55"/>
      <c r="R21" s="57"/>
      <c r="S21" s="25"/>
      <c r="T21" s="25"/>
      <c r="U21" s="25"/>
      <c r="V21" s="25"/>
      <c r="W21" s="21"/>
      <c r="X21" s="24"/>
      <c r="Y21" s="26"/>
    </row>
    <row r="22" spans="2:25" ht="15.5" x14ac:dyDescent="0.35">
      <c r="B22" s="20">
        <f t="shared" si="0"/>
        <v>15</v>
      </c>
      <c r="C22" s="24" t="s">
        <v>33</v>
      </c>
      <c r="D22" s="27">
        <v>240</v>
      </c>
      <c r="E22" s="27"/>
      <c r="F22" s="28">
        <v>60</v>
      </c>
      <c r="G22" s="29">
        <f>D22*F22</f>
        <v>14400</v>
      </c>
      <c r="H22" s="29">
        <f>I22-G22</f>
        <v>22632.388553354504</v>
      </c>
      <c r="I22" s="30">
        <f>J22*D22</f>
        <v>37032.388553354504</v>
      </c>
      <c r="J22" s="31">
        <f>J10</f>
        <v>154.30161897231042</v>
      </c>
      <c r="K22" s="31">
        <f>J22-F22</f>
        <v>94.301618972310422</v>
      </c>
      <c r="L22" s="32">
        <f>K22/F22</f>
        <v>1.571693649538507</v>
      </c>
      <c r="M22" s="76"/>
      <c r="N22" s="77">
        <f>+G22/D22</f>
        <v>60</v>
      </c>
      <c r="O22" s="25"/>
      <c r="P22" s="55">
        <f>+I22/D22</f>
        <v>154.30161897231042</v>
      </c>
      <c r="Q22" s="64">
        <f>+P22/N22-1</f>
        <v>1.5716936495385072</v>
      </c>
      <c r="R22" s="57">
        <v>1</v>
      </c>
      <c r="S22" s="33"/>
      <c r="T22" s="25"/>
      <c r="U22" s="25"/>
      <c r="V22" s="25"/>
      <c r="W22" s="30">
        <f>(('MPG-1'!I22/('MPG-1'!$I$38-'MPG-1'!$I$35)*$W$39)+'MPG-1'!I22)</f>
        <v>37032.388553354504</v>
      </c>
      <c r="X22" s="31">
        <f>W22/D22</f>
        <v>154.30161897231042</v>
      </c>
      <c r="Y22" s="79">
        <f>X22/F22-1</f>
        <v>1.5716936495385072</v>
      </c>
    </row>
    <row r="23" spans="2:25" ht="15.5" x14ac:dyDescent="0.35">
      <c r="B23" s="20">
        <f t="shared" si="0"/>
        <v>16</v>
      </c>
      <c r="C23" s="24" t="s">
        <v>34</v>
      </c>
      <c r="D23" s="24"/>
      <c r="E23" s="24"/>
      <c r="F23" s="25"/>
      <c r="G23" s="36"/>
      <c r="H23" s="37"/>
      <c r="I23" s="30"/>
      <c r="J23" s="31"/>
      <c r="K23" s="25"/>
      <c r="L23" s="26"/>
      <c r="M23" s="26"/>
      <c r="N23" s="26"/>
      <c r="O23" s="25"/>
      <c r="P23" s="55"/>
      <c r="Q23" s="55"/>
      <c r="R23" s="57"/>
      <c r="S23" s="25"/>
      <c r="T23" s="25"/>
      <c r="U23" s="25"/>
      <c r="V23" s="25"/>
      <c r="W23" s="31"/>
      <c r="X23" s="25"/>
      <c r="Y23" s="26"/>
    </row>
    <row r="24" spans="2:25" ht="15.5" x14ac:dyDescent="0.35">
      <c r="B24" s="20">
        <f t="shared" si="0"/>
        <v>17</v>
      </c>
      <c r="C24" s="24"/>
      <c r="D24" s="24"/>
      <c r="E24" s="24"/>
      <c r="F24" s="25"/>
      <c r="G24" s="31"/>
      <c r="H24" s="37"/>
      <c r="I24" s="30"/>
      <c r="J24" s="31"/>
      <c r="K24" s="25"/>
      <c r="L24" s="31"/>
      <c r="M24" s="31"/>
      <c r="N24" s="31"/>
      <c r="O24" s="25"/>
      <c r="P24" s="55"/>
      <c r="Q24" s="55"/>
      <c r="R24" s="57"/>
      <c r="S24" s="25"/>
      <c r="T24" s="25"/>
      <c r="U24" s="25"/>
      <c r="V24" s="25"/>
      <c r="W24" s="31"/>
      <c r="X24" s="25"/>
      <c r="Y24" s="31"/>
    </row>
    <row r="25" spans="2:25" ht="15.5" x14ac:dyDescent="0.35">
      <c r="B25" s="20">
        <f t="shared" si="0"/>
        <v>18</v>
      </c>
      <c r="C25" s="21" t="s">
        <v>38</v>
      </c>
      <c r="D25" s="24"/>
      <c r="E25" s="24"/>
      <c r="F25" s="21"/>
      <c r="G25" s="21"/>
      <c r="H25" s="21"/>
      <c r="I25" s="39"/>
      <c r="J25" s="21"/>
      <c r="K25" s="24"/>
      <c r="L25" s="25"/>
      <c r="M25" s="25"/>
      <c r="N25" s="25"/>
      <c r="O25" s="25"/>
      <c r="P25" s="55"/>
      <c r="Q25" s="55"/>
      <c r="R25" s="57"/>
      <c r="S25" s="25"/>
      <c r="T25" s="25"/>
      <c r="U25" s="25"/>
      <c r="V25" s="25"/>
      <c r="W25" s="21"/>
      <c r="X25" s="24"/>
      <c r="Y25" s="25"/>
    </row>
    <row r="26" spans="2:25" ht="15.5" x14ac:dyDescent="0.35">
      <c r="B26" s="20">
        <f t="shared" si="0"/>
        <v>19</v>
      </c>
      <c r="C26" s="24" t="s">
        <v>33</v>
      </c>
      <c r="D26" s="27">
        <v>1164.0965198011313</v>
      </c>
      <c r="E26" s="27"/>
      <c r="F26" s="28">
        <v>58.33</v>
      </c>
      <c r="G26" s="29">
        <f>D26*F26</f>
        <v>67901.749999999985</v>
      </c>
      <c r="H26" s="40">
        <f>I26-G26</f>
        <v>66820.507374991386</v>
      </c>
      <c r="I26" s="30">
        <f>J26*D26</f>
        <v>134722.25737499137</v>
      </c>
      <c r="J26" s="31">
        <f>J10*R26</f>
        <v>115.73117442014745</v>
      </c>
      <c r="K26" s="31">
        <f>J26-F26</f>
        <v>57.401174420147456</v>
      </c>
      <c r="L26" s="32">
        <f>K26/F26</f>
        <v>0.98407636585200509</v>
      </c>
      <c r="M26" s="76"/>
      <c r="N26" s="77">
        <f>+G26/D26</f>
        <v>58.33</v>
      </c>
      <c r="O26" s="25"/>
      <c r="P26" s="55">
        <f>+I26/D26</f>
        <v>115.73117442014747</v>
      </c>
      <c r="Q26" s="64">
        <f>+P26/N26-1</f>
        <v>0.98407636585200531</v>
      </c>
      <c r="R26" s="57">
        <f>F26/$F$10</f>
        <v>0.75003214607175006</v>
      </c>
      <c r="S26" s="33">
        <f>+Q26-I26</f>
        <v>-134721.27329862551</v>
      </c>
      <c r="T26" s="25"/>
      <c r="U26" s="25"/>
      <c r="V26" s="25"/>
      <c r="W26" s="30">
        <f>(('MPG-1'!I26/('MPG-1'!$I$38-'MPG-1'!$I$35)*$W$39)+'MPG-1'!I26)</f>
        <v>134722.25737499137</v>
      </c>
      <c r="X26" s="31">
        <f>W26/D26</f>
        <v>115.73117442014747</v>
      </c>
      <c r="Y26" s="79">
        <f>X26/F26-1</f>
        <v>0.98407636585200531</v>
      </c>
    </row>
    <row r="27" spans="2:25" ht="15.5" x14ac:dyDescent="0.35">
      <c r="B27" s="20">
        <f t="shared" si="0"/>
        <v>20</v>
      </c>
      <c r="C27" s="24" t="s">
        <v>34</v>
      </c>
      <c r="D27" s="24"/>
      <c r="E27" s="24"/>
      <c r="F27" s="25"/>
      <c r="G27" s="36"/>
      <c r="H27" s="37"/>
      <c r="I27" s="30"/>
      <c r="J27" s="31"/>
      <c r="K27" s="25"/>
      <c r="L27" s="26"/>
      <c r="M27" s="26"/>
      <c r="N27" s="26"/>
      <c r="O27" s="25"/>
      <c r="P27" s="55"/>
      <c r="Q27" s="55"/>
      <c r="R27" s="57"/>
      <c r="S27" s="25"/>
      <c r="T27" s="25"/>
      <c r="U27" s="25"/>
      <c r="V27" s="25"/>
      <c r="W27" s="31"/>
      <c r="X27" s="25"/>
      <c r="Y27" s="26"/>
    </row>
    <row r="28" spans="2:25" ht="15.5" x14ac:dyDescent="0.35">
      <c r="B28" s="20">
        <f t="shared" si="0"/>
        <v>21</v>
      </c>
      <c r="C28" s="24"/>
      <c r="D28" s="24"/>
      <c r="E28" s="24"/>
      <c r="F28" s="25"/>
      <c r="G28" s="31"/>
      <c r="H28" s="37"/>
      <c r="I28" s="30"/>
      <c r="J28" s="31"/>
      <c r="K28" s="25"/>
      <c r="L28" s="31"/>
      <c r="M28" s="31"/>
      <c r="N28" s="31"/>
      <c r="O28" s="25"/>
      <c r="P28" s="55"/>
      <c r="Q28" s="55"/>
      <c r="R28" s="57"/>
      <c r="S28" s="25"/>
      <c r="T28" s="25"/>
      <c r="U28" s="25"/>
      <c r="V28" s="25"/>
      <c r="W28" s="31"/>
      <c r="X28" s="25"/>
      <c r="Y28" s="31"/>
    </row>
    <row r="29" spans="2:25" ht="15.5" x14ac:dyDescent="0.35">
      <c r="B29" s="20">
        <f t="shared" si="0"/>
        <v>22</v>
      </c>
      <c r="C29" s="21" t="s">
        <v>39</v>
      </c>
      <c r="D29" s="24"/>
      <c r="E29" s="24"/>
      <c r="F29" s="21"/>
      <c r="G29" s="21"/>
      <c r="H29" s="21"/>
      <c r="I29" s="39"/>
      <c r="J29" s="21"/>
      <c r="K29" s="24"/>
      <c r="L29" s="25"/>
      <c r="M29" s="25"/>
      <c r="N29" s="25"/>
      <c r="O29" s="25"/>
      <c r="P29" s="55"/>
      <c r="Q29" s="55"/>
      <c r="R29" s="57"/>
      <c r="S29" s="25"/>
      <c r="T29" s="25"/>
      <c r="U29" s="25"/>
      <c r="V29" s="25"/>
      <c r="W29" s="21"/>
      <c r="X29" s="24"/>
      <c r="Y29" s="25"/>
    </row>
    <row r="30" spans="2:25" ht="15.5" x14ac:dyDescent="0.35">
      <c r="B30" s="20">
        <f t="shared" si="0"/>
        <v>23</v>
      </c>
      <c r="C30" s="24" t="s">
        <v>33</v>
      </c>
      <c r="D30" s="27">
        <v>12</v>
      </c>
      <c r="E30" s="27"/>
      <c r="F30" s="28">
        <v>197.43</v>
      </c>
      <c r="G30" s="29">
        <f>D30*F30</f>
        <v>2369.16</v>
      </c>
      <c r="H30" s="40">
        <f>I30-G30</f>
        <v>2259.8885691693122</v>
      </c>
      <c r="I30" s="30">
        <f>J30*D30</f>
        <v>4629.048569169312</v>
      </c>
      <c r="J30" s="31">
        <f>J10*R30</f>
        <v>385.75404743077604</v>
      </c>
      <c r="K30" s="31">
        <f>J30-F30</f>
        <v>188.32404743077603</v>
      </c>
      <c r="L30" s="32">
        <f>K30/F30</f>
        <v>0.95387756384934419</v>
      </c>
      <c r="M30" s="76"/>
      <c r="N30" s="77">
        <f>+G30/D30</f>
        <v>197.42999999999998</v>
      </c>
      <c r="O30" s="25"/>
      <c r="P30" s="55">
        <f>+I30/D30</f>
        <v>385.75404743077598</v>
      </c>
      <c r="Q30" s="64">
        <f>+P30/N30-1</f>
        <v>0.95387756384934419</v>
      </c>
      <c r="R30" s="57">
        <v>2.5</v>
      </c>
      <c r="S30" s="33"/>
      <c r="T30" s="25"/>
      <c r="U30" s="25"/>
      <c r="V30" s="25"/>
      <c r="W30" s="30">
        <f>(('MPG-1'!I30/('MPG-1'!$I$38-'MPG-1'!$I$35)*$W$39)+'MPG-1'!I30)</f>
        <v>4629.0485691693129</v>
      </c>
      <c r="X30" s="31">
        <f>W30/D30</f>
        <v>385.7540474307761</v>
      </c>
      <c r="Y30" s="79">
        <f>X30/F30-1</f>
        <v>0.95387756384934441</v>
      </c>
    </row>
    <row r="31" spans="2:25" ht="15.5" x14ac:dyDescent="0.35">
      <c r="B31" s="20">
        <f t="shared" si="0"/>
        <v>24</v>
      </c>
      <c r="C31" s="24" t="s">
        <v>34</v>
      </c>
      <c r="D31" s="24"/>
      <c r="E31" s="24"/>
      <c r="F31" s="25"/>
      <c r="G31" s="36"/>
      <c r="H31" s="37"/>
      <c r="I31" s="30"/>
      <c r="J31" s="31"/>
      <c r="K31" s="25"/>
      <c r="L31" s="26"/>
      <c r="M31" s="26"/>
      <c r="N31" s="26"/>
      <c r="O31" s="25"/>
      <c r="P31" s="55"/>
      <c r="Q31" s="55"/>
      <c r="R31" s="57"/>
      <c r="S31" s="25"/>
      <c r="T31" s="25"/>
      <c r="U31" s="25"/>
      <c r="V31" s="25"/>
      <c r="W31" s="31"/>
      <c r="X31" s="25"/>
      <c r="Y31" s="26"/>
    </row>
    <row r="32" spans="2:25" ht="15.5" x14ac:dyDescent="0.35">
      <c r="B32" s="20">
        <f t="shared" si="0"/>
        <v>25</v>
      </c>
      <c r="C32" s="24"/>
      <c r="D32" s="24"/>
      <c r="E32" s="24"/>
      <c r="F32" s="25"/>
      <c r="G32" s="31"/>
      <c r="H32" s="37"/>
      <c r="I32" s="30"/>
      <c r="J32" s="31"/>
      <c r="K32" s="25"/>
      <c r="L32" s="31"/>
      <c r="M32" s="31"/>
      <c r="N32" s="31"/>
      <c r="O32" s="25"/>
      <c r="P32" s="55"/>
      <c r="Q32" s="55"/>
      <c r="R32" s="57"/>
      <c r="S32" s="25"/>
      <c r="T32" s="25"/>
      <c r="U32" s="25"/>
      <c r="V32" s="25"/>
      <c r="W32" s="31"/>
      <c r="X32" s="25"/>
      <c r="Y32" s="31"/>
    </row>
    <row r="33" spans="2:25" ht="15.5" x14ac:dyDescent="0.35">
      <c r="B33" s="20">
        <f t="shared" si="0"/>
        <v>26</v>
      </c>
      <c r="C33" s="21" t="s">
        <v>40</v>
      </c>
      <c r="D33" s="24"/>
      <c r="E33" s="24"/>
      <c r="F33" s="21"/>
      <c r="G33" s="21"/>
      <c r="H33" s="21"/>
      <c r="I33" s="39"/>
      <c r="J33" s="21"/>
      <c r="K33" s="24"/>
      <c r="L33" s="25"/>
      <c r="M33" s="25"/>
      <c r="N33" s="25"/>
      <c r="O33" s="25"/>
      <c r="P33" s="55"/>
      <c r="Q33" s="55"/>
      <c r="R33" s="57"/>
      <c r="S33" s="25"/>
      <c r="T33" s="25"/>
      <c r="U33" s="25"/>
      <c r="V33" s="25"/>
      <c r="W33" s="21"/>
      <c r="X33" s="24"/>
      <c r="Y33" s="25"/>
    </row>
    <row r="34" spans="2:25" ht="15.5" x14ac:dyDescent="0.35">
      <c r="B34" s="20">
        <f t="shared" si="0"/>
        <v>27</v>
      </c>
      <c r="C34" s="24" t="s">
        <v>33</v>
      </c>
      <c r="D34" s="27">
        <v>420.00029418021694</v>
      </c>
      <c r="E34" s="27"/>
      <c r="F34" s="28">
        <v>197.43</v>
      </c>
      <c r="G34" s="29">
        <f>D34*F34</f>
        <v>82920.658080000227</v>
      </c>
      <c r="H34" s="40">
        <f>I34-G34</f>
        <v>79096.155322135077</v>
      </c>
      <c r="I34" s="30">
        <f>J34*D34</f>
        <v>162016.8134021353</v>
      </c>
      <c r="J34" s="31">
        <f>J14*R34</f>
        <v>385.75404743077604</v>
      </c>
      <c r="K34" s="31">
        <f>J34-F34</f>
        <v>188.32404743077603</v>
      </c>
      <c r="L34" s="32">
        <f>K34/F34</f>
        <v>0.95387756384934419</v>
      </c>
      <c r="M34" s="76"/>
      <c r="N34" s="77">
        <f>+G34/D34</f>
        <v>197.42999999999998</v>
      </c>
      <c r="O34" s="25"/>
      <c r="P34" s="55">
        <f>+I34/D34</f>
        <v>385.75404743077604</v>
      </c>
      <c r="Q34" s="64">
        <f>+P34/N34-1</f>
        <v>0.95387756384934441</v>
      </c>
      <c r="R34" s="57">
        <v>2.5</v>
      </c>
      <c r="S34" s="33"/>
      <c r="T34" s="25"/>
      <c r="U34" s="25"/>
      <c r="V34" s="25"/>
      <c r="W34" s="30">
        <f>(('MPG-1'!I34/('MPG-1'!$I$38-'MPG-1'!$I$35)*$W$39)+'MPG-1'!I34)</f>
        <v>162016.81340213533</v>
      </c>
      <c r="X34" s="31">
        <f>W34/D34</f>
        <v>385.75404743077615</v>
      </c>
      <c r="Y34" s="79">
        <f>X34/F34-1</f>
        <v>0.95387756384934486</v>
      </c>
    </row>
    <row r="35" spans="2:25" ht="15.5" x14ac:dyDescent="0.35">
      <c r="B35" s="20">
        <f t="shared" si="0"/>
        <v>28</v>
      </c>
      <c r="C35" s="24" t="s">
        <v>34</v>
      </c>
      <c r="D35" s="25"/>
      <c r="E35" s="61">
        <v>36489.340333333334</v>
      </c>
      <c r="F35" s="65">
        <v>11.67</v>
      </c>
      <c r="G35" s="29">
        <f>E35*F35</f>
        <v>425830.60168999998</v>
      </c>
      <c r="H35" s="40">
        <f>I35-G35</f>
        <v>425830.60168999998</v>
      </c>
      <c r="I35" s="30">
        <f>E35*J35</f>
        <v>851661.20337999996</v>
      </c>
      <c r="J35" s="31">
        <f>(L35+1)*F35</f>
        <v>23.34</v>
      </c>
      <c r="K35" s="31">
        <f>J35-F35</f>
        <v>11.67</v>
      </c>
      <c r="L35" s="79">
        <v>1</v>
      </c>
      <c r="M35" s="76"/>
      <c r="N35" s="75">
        <f>+G35/D34</f>
        <v>1013.8816748239736</v>
      </c>
      <c r="O35" s="25"/>
      <c r="P35" s="60">
        <f>+I35/D34</f>
        <v>2027.7633496479473</v>
      </c>
      <c r="Q35" s="64">
        <f>+P35/N35-1</f>
        <v>1</v>
      </c>
      <c r="R35" s="25"/>
      <c r="S35" s="25"/>
      <c r="T35" s="25"/>
      <c r="U35" s="25"/>
      <c r="V35" s="25"/>
      <c r="W35" s="30">
        <f>I35</f>
        <v>851661.20337999996</v>
      </c>
      <c r="X35" s="31">
        <f>W35/E35</f>
        <v>23.34</v>
      </c>
      <c r="Y35" s="79">
        <f>X35/F35-1</f>
        <v>1</v>
      </c>
    </row>
    <row r="36" spans="2:25" ht="15.5" x14ac:dyDescent="0.35">
      <c r="B36" s="20"/>
      <c r="C36" s="24"/>
      <c r="D36" s="26" t="s">
        <v>54</v>
      </c>
      <c r="E36" s="41"/>
      <c r="F36" s="28"/>
      <c r="G36" s="29"/>
      <c r="H36" s="40"/>
      <c r="I36" s="29"/>
      <c r="K36" s="31"/>
      <c r="L36" s="32"/>
      <c r="M36" s="32"/>
      <c r="N36" s="74">
        <f>+N34+N35</f>
        <v>1211.3116748239736</v>
      </c>
      <c r="O36" s="25"/>
      <c r="P36" s="55">
        <f>+P35+P34</f>
        <v>2413.5173970787232</v>
      </c>
      <c r="Q36" s="55"/>
      <c r="R36" s="37" t="s">
        <v>54</v>
      </c>
      <c r="S36" s="25"/>
      <c r="T36" s="25"/>
      <c r="U36" s="25"/>
      <c r="V36" s="25"/>
      <c r="W36" s="30"/>
      <c r="X36" s="79"/>
      <c r="Y36" s="79"/>
    </row>
    <row r="37" spans="2:25" ht="15.5" x14ac:dyDescent="0.35">
      <c r="B37" s="20">
        <f>B35+1</f>
        <v>29</v>
      </c>
      <c r="C37" s="24"/>
      <c r="D37" s="24"/>
      <c r="E37" s="24"/>
      <c r="F37" s="25"/>
      <c r="G37" s="31"/>
      <c r="H37" s="37"/>
      <c r="I37" s="30"/>
      <c r="J37" s="31"/>
      <c r="K37" s="25"/>
      <c r="L37" s="31"/>
      <c r="M37" s="31"/>
      <c r="N37" s="31"/>
      <c r="O37" s="25"/>
      <c r="P37" s="25"/>
      <c r="Q37" s="25"/>
      <c r="R37" s="25"/>
      <c r="S37" s="25"/>
      <c r="T37" s="25"/>
      <c r="U37" s="25"/>
      <c r="V37" s="25"/>
      <c r="W37" s="31"/>
      <c r="X37" s="31"/>
      <c r="Y37" s="31"/>
    </row>
    <row r="38" spans="2:25" ht="15.5" x14ac:dyDescent="0.35">
      <c r="B38" s="20">
        <f>B37+1</f>
        <v>30</v>
      </c>
      <c r="C38" s="23" t="s">
        <v>41</v>
      </c>
      <c r="D38" s="42">
        <f>SUM(D10:D35)</f>
        <v>29088.161363292871</v>
      </c>
      <c r="E38" s="43">
        <f>SUM(E10:E35)</f>
        <v>36489.340333333334</v>
      </c>
      <c r="F38" s="23"/>
      <c r="G38" s="39">
        <f>SUM(G10:G35)</f>
        <v>2697918.7897699573</v>
      </c>
      <c r="H38" s="39">
        <f>H42-SUM(H40:H41)</f>
        <v>2697180.6018063682</v>
      </c>
      <c r="I38" s="39">
        <f>I42-SUM(I40:I41)</f>
        <v>5395099.3915763255</v>
      </c>
      <c r="J38" s="64">
        <f>+I38/G38-1</f>
        <v>0.9997263861438721</v>
      </c>
      <c r="K38" s="25"/>
      <c r="M38" s="26"/>
      <c r="N38" s="26"/>
      <c r="O38" s="25"/>
      <c r="P38" s="25"/>
      <c r="Q38" s="25"/>
      <c r="R38" s="30"/>
      <c r="S38" s="25"/>
      <c r="T38" s="25"/>
      <c r="U38" s="25"/>
      <c r="V38" s="25" t="s">
        <v>16</v>
      </c>
      <c r="W38" s="30">
        <f>SUM(W10:W35)</f>
        <v>5395099.3915763255</v>
      </c>
      <c r="X38" s="25"/>
      <c r="Y38" s="25"/>
    </row>
    <row r="39" spans="2:25" ht="15.5" x14ac:dyDescent="0.35">
      <c r="B39" s="20">
        <f>B38+1</f>
        <v>31</v>
      </c>
      <c r="C39" s="23"/>
      <c r="D39" s="42"/>
      <c r="E39" s="43"/>
      <c r="F39" s="23"/>
      <c r="G39" s="39"/>
      <c r="H39" s="44"/>
      <c r="I39" s="39"/>
      <c r="J39" s="25"/>
      <c r="K39" s="25"/>
      <c r="M39" s="73"/>
      <c r="N39" s="73"/>
      <c r="O39" s="25"/>
      <c r="P39" s="25"/>
      <c r="Q39" s="25"/>
      <c r="R39" s="25"/>
      <c r="S39" s="25"/>
      <c r="T39" s="25"/>
      <c r="U39" s="25"/>
      <c r="V39" s="73" t="s">
        <v>58</v>
      </c>
      <c r="W39" s="30">
        <f>'MPG-1'!I35-'MPG-2'!I35</f>
        <v>1186678.1085811947</v>
      </c>
      <c r="X39" s="25"/>
      <c r="Y39" s="25"/>
    </row>
    <row r="40" spans="2:25" ht="15.5" x14ac:dyDescent="0.35">
      <c r="B40" s="20">
        <f>B39+1</f>
        <v>32</v>
      </c>
      <c r="C40" s="23" t="s">
        <v>42</v>
      </c>
      <c r="D40" s="42"/>
      <c r="E40" s="43"/>
      <c r="F40" s="23"/>
      <c r="G40" s="39">
        <v>14244</v>
      </c>
      <c r="H40" s="39">
        <f>I40-G40</f>
        <v>105285.31602326399</v>
      </c>
      <c r="I40" s="39">
        <v>119529.31602326399</v>
      </c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</row>
    <row r="41" spans="2:25" ht="15.5" x14ac:dyDescent="0.35">
      <c r="B41" s="20">
        <f>B40+1</f>
        <v>33</v>
      </c>
      <c r="C41" s="23" t="s">
        <v>43</v>
      </c>
      <c r="D41" s="42"/>
      <c r="E41" s="43"/>
      <c r="F41" s="23"/>
      <c r="G41" s="39">
        <v>0</v>
      </c>
      <c r="H41" s="39">
        <f>I41-G41</f>
        <v>0</v>
      </c>
      <c r="I41" s="39">
        <v>0</v>
      </c>
      <c r="J41" s="25" t="s">
        <v>54</v>
      </c>
      <c r="K41" s="25"/>
      <c r="L41" s="25"/>
      <c r="M41" s="25"/>
      <c r="N41" s="25"/>
      <c r="O41" s="25"/>
      <c r="P41" s="25"/>
      <c r="Q41" s="25"/>
      <c r="R41" s="25"/>
      <c r="S41" s="25" t="s">
        <v>54</v>
      </c>
      <c r="T41" s="25"/>
      <c r="U41" s="25"/>
      <c r="V41" s="25"/>
      <c r="W41" s="25"/>
      <c r="X41" s="25"/>
      <c r="Y41" s="25"/>
    </row>
    <row r="42" spans="2:25" ht="15.5" x14ac:dyDescent="0.35">
      <c r="B42" s="20">
        <f>B41+1</f>
        <v>34</v>
      </c>
      <c r="C42" s="23" t="s">
        <v>44</v>
      </c>
      <c r="D42" s="42"/>
      <c r="E42" s="43"/>
      <c r="F42" s="23"/>
      <c r="G42" s="39">
        <f>SUM(G38:G41)</f>
        <v>2712162.7897699573</v>
      </c>
      <c r="H42" s="39">
        <f>I42-G42</f>
        <v>2802465.9178296323</v>
      </c>
      <c r="I42" s="39">
        <v>5514628.7075995896</v>
      </c>
      <c r="J42" s="30"/>
      <c r="K42" s="78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 t="s">
        <v>65</v>
      </c>
      <c r="X42" s="25" t="str">
        <f>IF(ABS(SUM(I10:I35)-SUM('MPG-1'!I10:I35))&lt;0.01,"YES","NO")</f>
        <v>YES</v>
      </c>
      <c r="Y42" s="25"/>
    </row>
    <row r="43" spans="2:25" ht="15.5" x14ac:dyDescent="0.35">
      <c r="B43" s="20"/>
      <c r="C43" s="25"/>
      <c r="D43" s="26"/>
      <c r="E43" s="37"/>
      <c r="F43" s="25"/>
      <c r="G43" s="25"/>
      <c r="H43" s="25"/>
      <c r="I43" s="30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</row>
    <row r="44" spans="2:25" x14ac:dyDescent="0.3">
      <c r="B44" s="25"/>
      <c r="C44" s="16" t="s">
        <v>45</v>
      </c>
      <c r="D44" s="25"/>
      <c r="E44" s="25"/>
      <c r="F44" s="31"/>
      <c r="G44" s="31"/>
      <c r="H44" s="31"/>
      <c r="I44" s="32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</row>
    <row r="45" spans="2:25" x14ac:dyDescent="0.3">
      <c r="B45" s="25"/>
      <c r="C45" s="25"/>
      <c r="D45" s="25"/>
      <c r="E45" s="25"/>
      <c r="F45" s="25"/>
      <c r="G45" s="31"/>
      <c r="H45" s="30" t="s">
        <v>54</v>
      </c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</row>
    <row r="46" spans="2:25" x14ac:dyDescent="0.3"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</row>
    <row r="47" spans="2:25" x14ac:dyDescent="0.3">
      <c r="B47" s="25"/>
      <c r="C47" s="25"/>
      <c r="D47" s="25"/>
      <c r="E47" s="25"/>
      <c r="F47" s="25"/>
      <c r="G47" s="80"/>
      <c r="H47" s="80"/>
      <c r="I47" s="80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</row>
    <row r="48" spans="2:25" x14ac:dyDescent="0.3"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</row>
    <row r="49" spans="2:25" x14ac:dyDescent="0.3"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</row>
    <row r="50" spans="2:25" x14ac:dyDescent="0.3"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</row>
    <row r="51" spans="2:25" x14ac:dyDescent="0.3"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</row>
    <row r="52" spans="2:25" x14ac:dyDescent="0.3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</row>
    <row r="53" spans="2:25" x14ac:dyDescent="0.3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</row>
    <row r="54" spans="2:25" x14ac:dyDescent="0.3"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</row>
    <row r="55" spans="2:25" x14ac:dyDescent="0.3"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</row>
    <row r="56" spans="2:25" x14ac:dyDescent="0.3"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</row>
    <row r="57" spans="2:25" x14ac:dyDescent="0.3"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</row>
    <row r="58" spans="2:25" x14ac:dyDescent="0.3"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</row>
    <row r="59" spans="2:25" x14ac:dyDescent="0.3"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</row>
    <row r="60" spans="2:25" x14ac:dyDescent="0.3"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</row>
    <row r="61" spans="2:25" x14ac:dyDescent="0.3"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</row>
    <row r="62" spans="2:25" x14ac:dyDescent="0.3"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</row>
    <row r="63" spans="2:25" x14ac:dyDescent="0.3"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</row>
  </sheetData>
  <mergeCells count="4">
    <mergeCell ref="C3:L3"/>
    <mergeCell ref="C4:L4"/>
    <mergeCell ref="C5:L5"/>
    <mergeCell ref="C6:F6"/>
  </mergeCells>
  <pageMargins left="0.7" right="0.7" top="0.75" bottom="0.75" header="0.3" footer="0.3"/>
  <pageSetup scale="39" fitToHeight="0" orientation="landscape" r:id="rId1"/>
  <headerFooter>
    <oddHeader>&amp;R&amp;"Arial,Bold"Exhibit MPG-2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C4FD3-4B04-4437-83D0-7A346E4642EE}">
  <sheetPr>
    <pageSetUpPr fitToPage="1"/>
  </sheetPr>
  <dimension ref="A1:Z63"/>
  <sheetViews>
    <sheetView view="pageLayout" topLeftCell="K30" zoomScaleNormal="100" workbookViewId="0">
      <selection activeCell="R43" sqref="R43"/>
    </sheetView>
  </sheetViews>
  <sheetFormatPr defaultRowHeight="14" x14ac:dyDescent="0.3"/>
  <cols>
    <col min="2" max="2" width="9" customWidth="1"/>
    <col min="3" max="3" width="34.58203125" customWidth="1"/>
    <col min="5" max="5" width="10.33203125" customWidth="1"/>
    <col min="6" max="6" width="9" customWidth="1"/>
    <col min="7" max="7" width="13.75" customWidth="1"/>
    <col min="8" max="8" width="13" customWidth="1"/>
    <col min="9" max="9" width="11.25" customWidth="1"/>
    <col min="10" max="10" width="11.08203125" bestFit="1" customWidth="1"/>
    <col min="11" max="11" width="15.75" bestFit="1" customWidth="1"/>
    <col min="13" max="13" width="3" customWidth="1"/>
    <col min="14" max="14" width="10.83203125" customWidth="1"/>
    <col min="15" max="15" width="3" customWidth="1"/>
    <col min="16" max="16" width="10.75" customWidth="1"/>
    <col min="23" max="23" width="15.33203125" customWidth="1"/>
    <col min="24" max="24" width="13.75" bestFit="1" customWidth="1"/>
  </cols>
  <sheetData>
    <row r="1" spans="1:26" x14ac:dyDescent="0.3">
      <c r="A1" s="1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</row>
    <row r="2" spans="1:26" x14ac:dyDescent="0.3"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</row>
    <row r="3" spans="1:26" ht="15" x14ac:dyDescent="0.3">
      <c r="B3" s="16"/>
      <c r="C3" s="81" t="s">
        <v>46</v>
      </c>
      <c r="D3" s="81"/>
      <c r="E3" s="81"/>
      <c r="F3" s="81"/>
      <c r="G3" s="81"/>
      <c r="H3" s="81"/>
      <c r="I3" s="81"/>
      <c r="J3" s="81"/>
      <c r="K3" s="81"/>
      <c r="L3" s="81"/>
      <c r="M3" s="62"/>
      <c r="N3" s="62"/>
      <c r="O3" s="16"/>
      <c r="P3" s="16"/>
      <c r="Q3" s="16"/>
      <c r="R3" s="16"/>
      <c r="S3" s="16"/>
      <c r="T3" s="16"/>
      <c r="U3" s="16"/>
      <c r="V3" s="16"/>
      <c r="W3" s="62"/>
      <c r="X3" s="62"/>
      <c r="Y3" s="62"/>
    </row>
    <row r="4" spans="1:26" x14ac:dyDescent="0.3">
      <c r="B4" s="16"/>
      <c r="C4" s="82" t="s">
        <v>47</v>
      </c>
      <c r="D4" s="82"/>
      <c r="E4" s="82"/>
      <c r="F4" s="82"/>
      <c r="G4" s="82"/>
      <c r="H4" s="82"/>
      <c r="I4" s="82"/>
      <c r="J4" s="82"/>
      <c r="K4" s="82"/>
      <c r="L4" s="82"/>
      <c r="M4" s="54"/>
      <c r="N4" s="54"/>
      <c r="O4" s="16"/>
      <c r="P4" s="16"/>
      <c r="Q4" s="16"/>
      <c r="R4" s="16"/>
      <c r="S4" s="16"/>
      <c r="T4" s="16"/>
      <c r="U4" s="16"/>
      <c r="V4" s="16"/>
      <c r="W4" s="54"/>
      <c r="X4" s="54"/>
      <c r="Y4" s="54"/>
    </row>
    <row r="5" spans="1:26" x14ac:dyDescent="0.3">
      <c r="B5" s="16"/>
      <c r="C5" s="83" t="s">
        <v>64</v>
      </c>
      <c r="D5" s="83"/>
      <c r="E5" s="83"/>
      <c r="F5" s="83"/>
      <c r="G5" s="83"/>
      <c r="H5" s="83"/>
      <c r="I5" s="83"/>
      <c r="J5" s="83"/>
      <c r="K5" s="83"/>
      <c r="L5" s="83"/>
      <c r="M5" s="63"/>
      <c r="N5" s="63"/>
      <c r="O5" s="16"/>
      <c r="P5" s="16"/>
      <c r="Q5" s="16"/>
      <c r="R5" s="16"/>
      <c r="S5" s="16"/>
      <c r="T5" s="16"/>
      <c r="U5" s="16"/>
      <c r="V5" s="16"/>
      <c r="W5" s="63"/>
      <c r="X5" s="63"/>
      <c r="Y5" s="63"/>
    </row>
    <row r="6" spans="1:26" x14ac:dyDescent="0.3">
      <c r="B6" s="16"/>
      <c r="C6" s="84"/>
      <c r="D6" s="84"/>
      <c r="E6" s="84"/>
      <c r="F6" s="84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</row>
    <row r="7" spans="1:26" ht="39" x14ac:dyDescent="0.3">
      <c r="B7" s="17" t="s">
        <v>19</v>
      </c>
      <c r="C7" s="17" t="s">
        <v>20</v>
      </c>
      <c r="D7" s="18" t="s">
        <v>21</v>
      </c>
      <c r="E7" s="18" t="s">
        <v>22</v>
      </c>
      <c r="F7" s="18" t="s">
        <v>23</v>
      </c>
      <c r="G7" s="18" t="s">
        <v>24</v>
      </c>
      <c r="H7" s="18" t="s">
        <v>25</v>
      </c>
      <c r="I7" s="18" t="s">
        <v>26</v>
      </c>
      <c r="J7" s="18" t="s">
        <v>27</v>
      </c>
      <c r="K7" s="18" t="s">
        <v>28</v>
      </c>
      <c r="L7" s="18" t="s">
        <v>29</v>
      </c>
      <c r="M7" s="18"/>
      <c r="N7" s="59" t="s">
        <v>63</v>
      </c>
      <c r="O7" s="58"/>
      <c r="P7" s="59" t="s">
        <v>62</v>
      </c>
      <c r="Q7" s="19"/>
      <c r="R7" s="19" t="s">
        <v>30</v>
      </c>
      <c r="S7" s="19"/>
      <c r="T7" s="19" t="s">
        <v>31</v>
      </c>
      <c r="U7" s="19"/>
      <c r="V7" s="19"/>
      <c r="W7" s="18" t="s">
        <v>61</v>
      </c>
      <c r="X7" s="18" t="s">
        <v>60</v>
      </c>
      <c r="Y7" s="18" t="s">
        <v>59</v>
      </c>
    </row>
    <row r="8" spans="1:26" ht="15.5" x14ac:dyDescent="0.35">
      <c r="B8" s="20">
        <v>1</v>
      </c>
      <c r="C8" s="21"/>
      <c r="D8" s="22"/>
      <c r="E8" s="22"/>
      <c r="F8" s="21"/>
      <c r="G8" s="21"/>
      <c r="H8" s="21"/>
      <c r="I8" s="23"/>
      <c r="J8" s="21"/>
      <c r="K8" s="24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</row>
    <row r="9" spans="1:26" ht="15.5" x14ac:dyDescent="0.35">
      <c r="B9" s="20">
        <f t="shared" ref="B9:B35" si="0">B8+1</f>
        <v>2</v>
      </c>
      <c r="C9" s="21" t="s">
        <v>32</v>
      </c>
      <c r="D9" s="24"/>
      <c r="E9" s="24"/>
      <c r="F9" s="21"/>
      <c r="G9" s="21"/>
      <c r="H9" s="21"/>
      <c r="I9" s="23"/>
      <c r="J9" s="21"/>
      <c r="K9" s="24"/>
      <c r="L9" s="26"/>
      <c r="M9" s="26"/>
      <c r="N9" s="26"/>
      <c r="O9" s="25"/>
      <c r="P9" s="25"/>
      <c r="Q9" s="25"/>
      <c r="R9" s="25"/>
      <c r="S9" s="25"/>
      <c r="T9" s="25"/>
      <c r="U9" s="25"/>
      <c r="V9" s="25"/>
      <c r="W9" s="26"/>
      <c r="X9" s="26"/>
      <c r="Y9" s="26"/>
    </row>
    <row r="10" spans="1:26" ht="15.5" x14ac:dyDescent="0.35">
      <c r="B10" s="20">
        <f t="shared" si="0"/>
        <v>3</v>
      </c>
      <c r="C10" s="24" t="s">
        <v>33</v>
      </c>
      <c r="D10" s="27">
        <v>26904.064549311523</v>
      </c>
      <c r="E10" s="27"/>
      <c r="F10" s="28">
        <v>77.77</v>
      </c>
      <c r="G10" s="29">
        <f>D10*F10</f>
        <v>2092329.099999957</v>
      </c>
      <c r="H10" s="29">
        <f>I10-G10</f>
        <v>1865834.9198075172</v>
      </c>
      <c r="I10" s="30">
        <f>J10*D10</f>
        <v>3958164.0198074742</v>
      </c>
      <c r="J10" s="31">
        <f>X10</f>
        <v>147.1214140358864</v>
      </c>
      <c r="K10" s="31">
        <f>J10-F10</f>
        <v>69.351414035886407</v>
      </c>
      <c r="L10" s="32">
        <f>K10/F10</f>
        <v>0.89175021262551635</v>
      </c>
      <c r="M10" s="76"/>
      <c r="N10" s="77">
        <f>+G10/D10</f>
        <v>77.77</v>
      </c>
      <c r="O10" s="25"/>
      <c r="P10" s="55">
        <f>+I10/D10</f>
        <v>147.1214140358864</v>
      </c>
      <c r="Q10" s="64">
        <f>+P10/N10-1</f>
        <v>0.89175021262551635</v>
      </c>
      <c r="R10" s="57">
        <v>1</v>
      </c>
      <c r="S10" s="33"/>
      <c r="T10" s="34">
        <v>0.6</v>
      </c>
      <c r="U10" s="25"/>
      <c r="V10" s="25"/>
      <c r="W10" s="30">
        <f>(('MPG-1'!I10/('MPG-1'!$I$38-'MPG-1'!$I$35)*$W$39)+'MPG-1'!I10)</f>
        <v>3958164.0198074738</v>
      </c>
      <c r="X10" s="31">
        <f>W10/D10</f>
        <v>147.1214140358864</v>
      </c>
      <c r="Y10" s="79">
        <f>X10/F10-1</f>
        <v>0.89175021262551635</v>
      </c>
    </row>
    <row r="11" spans="1:26" ht="15.5" x14ac:dyDescent="0.35">
      <c r="B11" s="20">
        <f t="shared" si="0"/>
        <v>4</v>
      </c>
      <c r="C11" s="24" t="s">
        <v>34</v>
      </c>
      <c r="D11" s="24"/>
      <c r="E11" s="24"/>
      <c r="F11" s="25"/>
      <c r="G11" s="36"/>
      <c r="H11" s="37"/>
      <c r="I11" s="30"/>
      <c r="J11" s="31"/>
      <c r="K11" s="25"/>
      <c r="L11" s="26"/>
      <c r="M11" s="26"/>
      <c r="N11" s="26"/>
      <c r="O11" s="25"/>
      <c r="P11" s="55"/>
      <c r="Q11" s="55"/>
      <c r="R11" s="57"/>
      <c r="S11" s="25"/>
      <c r="T11" s="34">
        <f>1-T10</f>
        <v>0.4</v>
      </c>
      <c r="U11" s="25"/>
      <c r="V11" s="25"/>
      <c r="W11" s="31"/>
      <c r="X11" s="25"/>
      <c r="Y11" s="26"/>
    </row>
    <row r="12" spans="1:26" ht="15.5" x14ac:dyDescent="0.35">
      <c r="B12" s="20">
        <f t="shared" si="0"/>
        <v>5</v>
      </c>
      <c r="C12" s="24"/>
      <c r="D12" s="24"/>
      <c r="E12" s="24"/>
      <c r="F12" s="25"/>
      <c r="G12" s="31"/>
      <c r="H12" s="37"/>
      <c r="I12" s="30"/>
      <c r="J12" s="31"/>
      <c r="K12" s="25"/>
      <c r="L12" s="31"/>
      <c r="M12" s="31"/>
      <c r="N12" s="31"/>
      <c r="O12" s="25"/>
      <c r="P12" s="55"/>
      <c r="Q12" s="55"/>
      <c r="R12" s="57"/>
      <c r="S12" s="25"/>
      <c r="T12" s="25"/>
      <c r="U12" s="25"/>
      <c r="V12" s="38"/>
      <c r="W12" s="31"/>
      <c r="X12" s="25"/>
      <c r="Y12" s="31"/>
    </row>
    <row r="13" spans="1:26" ht="15.5" x14ac:dyDescent="0.35">
      <c r="B13" s="20">
        <f t="shared" si="0"/>
        <v>6</v>
      </c>
      <c r="C13" s="21" t="s">
        <v>35</v>
      </c>
      <c r="D13" s="24"/>
      <c r="E13" s="24"/>
      <c r="F13" s="21"/>
      <c r="G13" s="21"/>
      <c r="H13" s="21"/>
      <c r="I13" s="23"/>
      <c r="J13" s="21"/>
      <c r="K13" s="24"/>
      <c r="L13" s="26"/>
      <c r="M13" s="26"/>
      <c r="N13" s="26"/>
      <c r="O13" s="25"/>
      <c r="P13" s="55"/>
      <c r="Q13" s="55"/>
      <c r="R13" s="57"/>
      <c r="S13" s="25"/>
      <c r="T13" s="25"/>
      <c r="U13" s="25"/>
      <c r="V13" s="25"/>
      <c r="W13" s="21"/>
      <c r="X13" s="24"/>
      <c r="Y13" s="26"/>
      <c r="Z13" t="s">
        <v>54</v>
      </c>
    </row>
    <row r="14" spans="1:26" ht="15.5" x14ac:dyDescent="0.35">
      <c r="B14" s="20">
        <f t="shared" si="0"/>
        <v>7</v>
      </c>
      <c r="C14" s="24" t="s">
        <v>33</v>
      </c>
      <c r="D14" s="27">
        <v>156.00000000000003</v>
      </c>
      <c r="E14" s="27"/>
      <c r="F14" s="28">
        <v>34.92</v>
      </c>
      <c r="G14" s="29">
        <f>D14*F14</f>
        <v>5447.5200000000013</v>
      </c>
      <c r="H14" s="29">
        <f>I14-G14</f>
        <v>17503.420589598281</v>
      </c>
      <c r="I14" s="30">
        <f>J14*D14</f>
        <v>22950.940589598282</v>
      </c>
      <c r="J14" s="31">
        <f>J10</f>
        <v>147.1214140358864</v>
      </c>
      <c r="K14" s="31">
        <f>J14-F14</f>
        <v>112.2014140358864</v>
      </c>
      <c r="L14" s="32">
        <f>K14/F14</f>
        <v>3.2130989128260707</v>
      </c>
      <c r="M14" s="76"/>
      <c r="N14" s="77">
        <f>+G14/D14</f>
        <v>34.92</v>
      </c>
      <c r="O14" s="25"/>
      <c r="P14" s="55">
        <f>+I14/D14</f>
        <v>147.1214140358864</v>
      </c>
      <c r="Q14" s="64">
        <f>+P14/N14-1</f>
        <v>3.2130989128260712</v>
      </c>
      <c r="R14" s="57">
        <v>1</v>
      </c>
      <c r="S14" s="33"/>
      <c r="T14" s="30">
        <f>G10</f>
        <v>2092329.099999957</v>
      </c>
      <c r="U14" s="30">
        <f>I10</f>
        <v>3958164.0198074742</v>
      </c>
      <c r="V14" s="25"/>
      <c r="W14" s="30">
        <f>(('MPG-1'!I14/('MPG-1'!$I$38-'MPG-1'!$I$35)*$W$39)+'MPG-1'!I14)</f>
        <v>22950.940589598282</v>
      </c>
      <c r="X14" s="31">
        <f>W14/D14</f>
        <v>147.1214140358864</v>
      </c>
      <c r="Y14" s="79">
        <f>X14/F14-1</f>
        <v>3.2130989128260712</v>
      </c>
    </row>
    <row r="15" spans="1:26" ht="15.5" x14ac:dyDescent="0.35">
      <c r="B15" s="20">
        <f t="shared" si="0"/>
        <v>8</v>
      </c>
      <c r="C15" s="24" t="s">
        <v>34</v>
      </c>
      <c r="D15" s="24"/>
      <c r="E15" s="24"/>
      <c r="F15" s="25"/>
      <c r="G15" s="36"/>
      <c r="H15" s="37"/>
      <c r="I15" s="30"/>
      <c r="J15" s="31"/>
      <c r="K15" s="25"/>
      <c r="L15" s="26"/>
      <c r="M15" s="26"/>
      <c r="N15" s="26"/>
      <c r="O15" s="25"/>
      <c r="P15" s="55"/>
      <c r="Q15" s="55"/>
      <c r="R15" s="57"/>
      <c r="S15" s="25"/>
      <c r="T15" s="30">
        <f>G14</f>
        <v>5447.5200000000013</v>
      </c>
      <c r="U15" s="30">
        <f>I14</f>
        <v>22950.940589598282</v>
      </c>
      <c r="V15" s="25"/>
      <c r="W15" s="31"/>
      <c r="X15" s="25"/>
      <c r="Y15" s="26"/>
    </row>
    <row r="16" spans="1:26" ht="15.5" x14ac:dyDescent="0.35">
      <c r="B16" s="20">
        <f t="shared" si="0"/>
        <v>9</v>
      </c>
      <c r="C16" s="24"/>
      <c r="D16" s="24"/>
      <c r="E16" s="24"/>
      <c r="F16" s="25"/>
      <c r="G16" s="31"/>
      <c r="H16" s="37"/>
      <c r="I16" s="30"/>
      <c r="J16" s="31"/>
      <c r="K16" s="25"/>
      <c r="L16" s="31"/>
      <c r="M16" s="31"/>
      <c r="N16" s="31"/>
      <c r="O16" s="25"/>
      <c r="P16" s="55"/>
      <c r="Q16" s="55"/>
      <c r="R16" s="57"/>
      <c r="S16" s="25"/>
      <c r="T16" s="30">
        <f>G18</f>
        <v>6720</v>
      </c>
      <c r="U16" s="30">
        <f>I18</f>
        <v>28247.311494890189</v>
      </c>
      <c r="V16" s="25"/>
      <c r="W16" s="31"/>
      <c r="X16" s="25"/>
      <c r="Y16" s="31"/>
    </row>
    <row r="17" spans="2:25" ht="15.5" x14ac:dyDescent="0.35">
      <c r="B17" s="20">
        <f t="shared" si="0"/>
        <v>10</v>
      </c>
      <c r="C17" s="21" t="s">
        <v>36</v>
      </c>
      <c r="D17" s="24"/>
      <c r="E17" s="24"/>
      <c r="F17" s="21"/>
      <c r="G17" s="21"/>
      <c r="H17" s="21"/>
      <c r="I17" s="23"/>
      <c r="J17" s="21"/>
      <c r="K17" s="24"/>
      <c r="L17" s="26"/>
      <c r="M17" s="26"/>
      <c r="N17" s="26"/>
      <c r="O17" s="25"/>
      <c r="P17" s="55"/>
      <c r="Q17" s="55"/>
      <c r="R17" s="57"/>
      <c r="S17" s="25"/>
      <c r="T17" s="30">
        <f>G22</f>
        <v>14400</v>
      </c>
      <c r="U17" s="30">
        <f>I22</f>
        <v>35309.139368612734</v>
      </c>
      <c r="V17" s="25"/>
      <c r="W17" s="21"/>
      <c r="X17" s="24"/>
      <c r="Y17" s="26"/>
    </row>
    <row r="18" spans="2:25" ht="15.5" x14ac:dyDescent="0.35">
      <c r="B18" s="20">
        <f t="shared" si="0"/>
        <v>11</v>
      </c>
      <c r="C18" s="24" t="s">
        <v>33</v>
      </c>
      <c r="D18" s="27">
        <v>192</v>
      </c>
      <c r="E18" s="27"/>
      <c r="F18" s="28">
        <v>35</v>
      </c>
      <c r="G18" s="29">
        <f>D18*F18</f>
        <v>6720</v>
      </c>
      <c r="H18" s="29">
        <f>I18-G18</f>
        <v>21527.311494890189</v>
      </c>
      <c r="I18" s="30">
        <f>J18*D18</f>
        <v>28247.311494890189</v>
      </c>
      <c r="J18" s="31">
        <f>J10</f>
        <v>147.1214140358864</v>
      </c>
      <c r="K18" s="31">
        <f>J18-F18</f>
        <v>112.1214140358864</v>
      </c>
      <c r="L18" s="32">
        <f>K18/F18</f>
        <v>3.2034689724538974</v>
      </c>
      <c r="M18" s="76"/>
      <c r="N18" s="77">
        <f>+G18/D18</f>
        <v>35</v>
      </c>
      <c r="O18" s="25"/>
      <c r="P18" s="55">
        <f>+I18/D18</f>
        <v>147.1214140358864</v>
      </c>
      <c r="Q18" s="64">
        <f>+P18/N18-1</f>
        <v>3.2034689724538969</v>
      </c>
      <c r="R18" s="57">
        <v>1</v>
      </c>
      <c r="S18" s="33"/>
      <c r="T18" s="25"/>
      <c r="U18" s="25"/>
      <c r="V18" s="25"/>
      <c r="W18" s="30">
        <f>(('MPG-1'!I18/('MPG-1'!$I$38-'MPG-1'!$I$35)*$W$39)+'MPG-1'!I18)</f>
        <v>28247.311494890186</v>
      </c>
      <c r="X18" s="31">
        <f>W18/D18</f>
        <v>147.12141403588637</v>
      </c>
      <c r="Y18" s="79">
        <f>X18/F18-1</f>
        <v>3.2034689724538961</v>
      </c>
    </row>
    <row r="19" spans="2:25" ht="15.5" x14ac:dyDescent="0.35">
      <c r="B19" s="20">
        <f t="shared" si="0"/>
        <v>12</v>
      </c>
      <c r="C19" s="24" t="s">
        <v>34</v>
      </c>
      <c r="D19" s="24"/>
      <c r="E19" s="24"/>
      <c r="F19" s="25"/>
      <c r="G19" s="36"/>
      <c r="H19" s="37"/>
      <c r="I19" s="30"/>
      <c r="J19" s="31"/>
      <c r="K19" s="25"/>
      <c r="L19" s="26"/>
      <c r="M19" s="26"/>
      <c r="N19" s="26"/>
      <c r="O19" s="25"/>
      <c r="P19" s="55"/>
      <c r="Q19" s="55"/>
      <c r="R19" s="57"/>
      <c r="S19" s="25"/>
      <c r="T19" s="25"/>
      <c r="U19" s="25"/>
      <c r="V19" s="25"/>
      <c r="W19" s="31"/>
      <c r="X19" s="25"/>
      <c r="Y19" s="26"/>
    </row>
    <row r="20" spans="2:25" ht="15.5" x14ac:dyDescent="0.35">
      <c r="B20" s="20">
        <f t="shared" si="0"/>
        <v>13</v>
      </c>
      <c r="C20" s="24"/>
      <c r="D20" s="24"/>
      <c r="E20" s="24"/>
      <c r="F20" s="25"/>
      <c r="G20" s="31"/>
      <c r="H20" s="37"/>
      <c r="I20" s="30"/>
      <c r="J20" s="31"/>
      <c r="K20" s="25"/>
      <c r="L20" s="31"/>
      <c r="M20" s="31"/>
      <c r="N20" s="31"/>
      <c r="O20" s="25"/>
      <c r="P20" s="55"/>
      <c r="Q20" s="55"/>
      <c r="R20" s="57"/>
      <c r="S20" s="25"/>
      <c r="T20" s="25"/>
      <c r="U20" s="25"/>
      <c r="V20" s="25"/>
      <c r="W20" s="31"/>
      <c r="X20" s="25"/>
      <c r="Y20" s="31"/>
    </row>
    <row r="21" spans="2:25" ht="15.5" x14ac:dyDescent="0.35">
      <c r="B21" s="20">
        <f t="shared" si="0"/>
        <v>14</v>
      </c>
      <c r="C21" s="21" t="s">
        <v>37</v>
      </c>
      <c r="D21" s="24"/>
      <c r="E21" s="24"/>
      <c r="F21" s="21"/>
      <c r="G21" s="21"/>
      <c r="H21" s="21"/>
      <c r="I21" s="23"/>
      <c r="J21" s="21"/>
      <c r="K21" s="24"/>
      <c r="L21" s="26"/>
      <c r="M21" s="26"/>
      <c r="N21" s="26"/>
      <c r="O21" s="25"/>
      <c r="P21" s="55"/>
      <c r="Q21" s="55"/>
      <c r="R21" s="57"/>
      <c r="S21" s="25"/>
      <c r="T21" s="25"/>
      <c r="U21" s="25"/>
      <c r="V21" s="25"/>
      <c r="W21" s="21"/>
      <c r="X21" s="24"/>
      <c r="Y21" s="26"/>
    </row>
    <row r="22" spans="2:25" ht="15.5" x14ac:dyDescent="0.35">
      <c r="B22" s="20">
        <f t="shared" si="0"/>
        <v>15</v>
      </c>
      <c r="C22" s="24" t="s">
        <v>33</v>
      </c>
      <c r="D22" s="27">
        <v>240</v>
      </c>
      <c r="E22" s="27"/>
      <c r="F22" s="28">
        <v>60</v>
      </c>
      <c r="G22" s="29">
        <f>D22*F22</f>
        <v>14400</v>
      </c>
      <c r="H22" s="29">
        <f>I22-G22</f>
        <v>20909.139368612734</v>
      </c>
      <c r="I22" s="30">
        <f>J22*D22</f>
        <v>35309.139368612734</v>
      </c>
      <c r="J22" s="31">
        <f>J10</f>
        <v>147.1214140358864</v>
      </c>
      <c r="K22" s="31">
        <f>J22-F22</f>
        <v>87.121414035886403</v>
      </c>
      <c r="L22" s="32">
        <f>K22/F22</f>
        <v>1.4520235672647734</v>
      </c>
      <c r="M22" s="76"/>
      <c r="N22" s="77">
        <f>+G22/D22</f>
        <v>60</v>
      </c>
      <c r="O22" s="25"/>
      <c r="P22" s="55">
        <f>+I22/D22</f>
        <v>147.1214140358864</v>
      </c>
      <c r="Q22" s="64">
        <f>+P22/N22-1</f>
        <v>1.4520235672647734</v>
      </c>
      <c r="R22" s="57">
        <v>1</v>
      </c>
      <c r="S22" s="33"/>
      <c r="T22" s="25"/>
      <c r="U22" s="25"/>
      <c r="V22" s="25"/>
      <c r="W22" s="30">
        <f>(('MPG-1'!I22/('MPG-1'!$I$38-'MPG-1'!$I$35)*$W$39)+'MPG-1'!I22)</f>
        <v>35309.139368612734</v>
      </c>
      <c r="X22" s="31">
        <f>W22/D22</f>
        <v>147.1214140358864</v>
      </c>
      <c r="Y22" s="79">
        <f>X22/F22-1</f>
        <v>1.4520235672647734</v>
      </c>
    </row>
    <row r="23" spans="2:25" ht="15.5" x14ac:dyDescent="0.35">
      <c r="B23" s="20">
        <f t="shared" si="0"/>
        <v>16</v>
      </c>
      <c r="C23" s="24" t="s">
        <v>34</v>
      </c>
      <c r="D23" s="24"/>
      <c r="E23" s="24"/>
      <c r="F23" s="25"/>
      <c r="G23" s="36"/>
      <c r="H23" s="37"/>
      <c r="I23" s="30"/>
      <c r="J23" s="31"/>
      <c r="K23" s="25"/>
      <c r="L23" s="26"/>
      <c r="M23" s="26"/>
      <c r="N23" s="26"/>
      <c r="O23" s="25"/>
      <c r="P23" s="55"/>
      <c r="Q23" s="55"/>
      <c r="R23" s="57"/>
      <c r="S23" s="25"/>
      <c r="T23" s="25"/>
      <c r="U23" s="25"/>
      <c r="V23" s="25"/>
      <c r="W23" s="31"/>
      <c r="X23" s="25"/>
      <c r="Y23" s="26"/>
    </row>
    <row r="24" spans="2:25" ht="15.5" x14ac:dyDescent="0.35">
      <c r="B24" s="20">
        <f t="shared" si="0"/>
        <v>17</v>
      </c>
      <c r="C24" s="24"/>
      <c r="D24" s="24"/>
      <c r="E24" s="24"/>
      <c r="F24" s="25"/>
      <c r="G24" s="31"/>
      <c r="H24" s="37"/>
      <c r="I24" s="30"/>
      <c r="J24" s="31"/>
      <c r="K24" s="25"/>
      <c r="L24" s="31"/>
      <c r="M24" s="31"/>
      <c r="N24" s="31"/>
      <c r="O24" s="25"/>
      <c r="P24" s="55"/>
      <c r="Q24" s="55"/>
      <c r="R24" s="57"/>
      <c r="S24" s="25"/>
      <c r="T24" s="25"/>
      <c r="U24" s="25"/>
      <c r="V24" s="25"/>
      <c r="W24" s="31"/>
      <c r="X24" s="25"/>
      <c r="Y24" s="31"/>
    </row>
    <row r="25" spans="2:25" ht="15.5" x14ac:dyDescent="0.35">
      <c r="B25" s="20">
        <f t="shared" si="0"/>
        <v>18</v>
      </c>
      <c r="C25" s="21" t="s">
        <v>38</v>
      </c>
      <c r="D25" s="24"/>
      <c r="E25" s="24"/>
      <c r="F25" s="21"/>
      <c r="G25" s="21"/>
      <c r="H25" s="21"/>
      <c r="I25" s="39"/>
      <c r="J25" s="21"/>
      <c r="K25" s="24"/>
      <c r="L25" s="25"/>
      <c r="M25" s="25"/>
      <c r="N25" s="25"/>
      <c r="O25" s="25"/>
      <c r="P25" s="55"/>
      <c r="Q25" s="55"/>
      <c r="R25" s="57"/>
      <c r="S25" s="25"/>
      <c r="T25" s="25"/>
      <c r="U25" s="25"/>
      <c r="V25" s="25"/>
      <c r="W25" s="21"/>
      <c r="X25" s="24"/>
      <c r="Y25" s="25"/>
    </row>
    <row r="26" spans="2:25" ht="15.5" x14ac:dyDescent="0.35">
      <c r="B26" s="20">
        <f t="shared" si="0"/>
        <v>19</v>
      </c>
      <c r="C26" s="24" t="s">
        <v>33</v>
      </c>
      <c r="D26" s="27">
        <v>1164.0965198011313</v>
      </c>
      <c r="E26" s="27"/>
      <c r="F26" s="28">
        <v>58.33</v>
      </c>
      <c r="G26" s="29">
        <f>D26*F26</f>
        <v>67901.749999999985</v>
      </c>
      <c r="H26" s="40">
        <f>I26-G26</f>
        <v>60551.400000144655</v>
      </c>
      <c r="I26" s="30">
        <f>J26*D26</f>
        <v>128453.15000014464</v>
      </c>
      <c r="J26" s="31">
        <f>J10*R26</f>
        <v>110.34578990244637</v>
      </c>
      <c r="K26" s="31">
        <f>J26-F26</f>
        <v>52.015789902446372</v>
      </c>
      <c r="L26" s="32">
        <f>K26/F26</f>
        <v>0.89175021262551646</v>
      </c>
      <c r="M26" s="76"/>
      <c r="N26" s="77">
        <f>+G26/D26</f>
        <v>58.33</v>
      </c>
      <c r="O26" s="25"/>
      <c r="P26" s="55">
        <f>+I26/D26</f>
        <v>110.34578990244637</v>
      </c>
      <c r="Q26" s="64">
        <f>+P26/N26-1</f>
        <v>0.89175021262551635</v>
      </c>
      <c r="R26" s="57">
        <f>F26/$F$10</f>
        <v>0.75003214607175006</v>
      </c>
      <c r="S26" s="33">
        <f>+Q26-I26</f>
        <v>-128452.25824993201</v>
      </c>
      <c r="T26" s="25"/>
      <c r="U26" s="25"/>
      <c r="V26" s="25"/>
      <c r="W26" s="30">
        <f>(('MPG-1'!I26/('MPG-1'!$I$38-'MPG-1'!$I$35)*$W$39)+'MPG-1'!I26)</f>
        <v>128453.15000014463</v>
      </c>
      <c r="X26" s="31">
        <f>W26/D26</f>
        <v>110.34578990244636</v>
      </c>
      <c r="Y26" s="79">
        <f>X26/F26-1</f>
        <v>0.89175021262551613</v>
      </c>
    </row>
    <row r="27" spans="2:25" ht="15.5" x14ac:dyDescent="0.35">
      <c r="B27" s="20">
        <f t="shared" si="0"/>
        <v>20</v>
      </c>
      <c r="C27" s="24" t="s">
        <v>34</v>
      </c>
      <c r="D27" s="24"/>
      <c r="E27" s="24"/>
      <c r="F27" s="25"/>
      <c r="G27" s="36"/>
      <c r="H27" s="37"/>
      <c r="I27" s="30"/>
      <c r="J27" s="31"/>
      <c r="K27" s="25"/>
      <c r="L27" s="26"/>
      <c r="M27" s="26"/>
      <c r="N27" s="26"/>
      <c r="O27" s="25"/>
      <c r="P27" s="55"/>
      <c r="Q27" s="55"/>
      <c r="R27" s="57"/>
      <c r="S27" s="25"/>
      <c r="T27" s="25"/>
      <c r="U27" s="25"/>
      <c r="V27" s="25"/>
      <c r="W27" s="31"/>
      <c r="X27" s="25"/>
      <c r="Y27" s="26"/>
    </row>
    <row r="28" spans="2:25" ht="15.5" x14ac:dyDescent="0.35">
      <c r="B28" s="20">
        <f t="shared" si="0"/>
        <v>21</v>
      </c>
      <c r="C28" s="24"/>
      <c r="D28" s="24"/>
      <c r="E28" s="24"/>
      <c r="F28" s="25"/>
      <c r="G28" s="31"/>
      <c r="H28" s="37"/>
      <c r="I28" s="30"/>
      <c r="J28" s="31"/>
      <c r="K28" s="25"/>
      <c r="L28" s="31"/>
      <c r="M28" s="31"/>
      <c r="N28" s="31"/>
      <c r="O28" s="25"/>
      <c r="P28" s="55"/>
      <c r="Q28" s="55"/>
      <c r="R28" s="57"/>
      <c r="S28" s="25"/>
      <c r="T28" s="25"/>
      <c r="U28" s="25"/>
      <c r="V28" s="25"/>
      <c r="W28" s="31"/>
      <c r="X28" s="25"/>
      <c r="Y28" s="31"/>
    </row>
    <row r="29" spans="2:25" ht="15.5" x14ac:dyDescent="0.35">
      <c r="B29" s="20">
        <f t="shared" si="0"/>
        <v>22</v>
      </c>
      <c r="C29" s="21" t="s">
        <v>39</v>
      </c>
      <c r="D29" s="24"/>
      <c r="E29" s="24"/>
      <c r="F29" s="21"/>
      <c r="G29" s="21"/>
      <c r="H29" s="21"/>
      <c r="I29" s="39"/>
      <c r="J29" s="21"/>
      <c r="K29" s="24"/>
      <c r="L29" s="25"/>
      <c r="M29" s="25"/>
      <c r="N29" s="25"/>
      <c r="O29" s="25"/>
      <c r="P29" s="55"/>
      <c r="Q29" s="55"/>
      <c r="R29" s="57"/>
      <c r="S29" s="25"/>
      <c r="T29" s="25"/>
      <c r="U29" s="25"/>
      <c r="V29" s="25"/>
      <c r="W29" s="21"/>
      <c r="X29" s="24"/>
      <c r="Y29" s="25"/>
    </row>
    <row r="30" spans="2:25" ht="15.5" x14ac:dyDescent="0.35">
      <c r="B30" s="20">
        <f t="shared" si="0"/>
        <v>23</v>
      </c>
      <c r="C30" s="24" t="s">
        <v>33</v>
      </c>
      <c r="D30" s="27">
        <v>12</v>
      </c>
      <c r="E30" s="27"/>
      <c r="F30" s="28">
        <v>197.43</v>
      </c>
      <c r="G30" s="29">
        <f>D30*F30</f>
        <v>2369.16</v>
      </c>
      <c r="H30" s="40">
        <f>I30-G30</f>
        <v>2044.4824210765919</v>
      </c>
      <c r="I30" s="30">
        <f>J30*D30</f>
        <v>4413.6424210765917</v>
      </c>
      <c r="J30" s="31">
        <f>J10*R30</f>
        <v>367.80353508971598</v>
      </c>
      <c r="K30" s="31">
        <f>J30-F30</f>
        <v>170.37353508971597</v>
      </c>
      <c r="L30" s="32">
        <f>K30/F30</f>
        <v>0.86295666864061171</v>
      </c>
      <c r="M30" s="76"/>
      <c r="N30" s="77">
        <f>+G30/D30</f>
        <v>197.42999999999998</v>
      </c>
      <c r="O30" s="25"/>
      <c r="P30" s="55">
        <f>+I30/D30</f>
        <v>367.80353508971598</v>
      </c>
      <c r="Q30" s="64">
        <f>+P30/N30-1</f>
        <v>0.86295666864061205</v>
      </c>
      <c r="R30" s="57">
        <v>2.5</v>
      </c>
      <c r="S30" s="33"/>
      <c r="T30" s="25"/>
      <c r="U30" s="25"/>
      <c r="V30" s="25"/>
      <c r="W30" s="30">
        <f>(('MPG-1'!I30/('MPG-1'!$I$38-'MPG-1'!$I$35)*$W$39)+'MPG-1'!I30)</f>
        <v>4413.6424210765917</v>
      </c>
      <c r="X30" s="31">
        <f>W30/D30</f>
        <v>367.80353508971598</v>
      </c>
      <c r="Y30" s="79">
        <f>X30/F30-1</f>
        <v>0.8629566686406116</v>
      </c>
    </row>
    <row r="31" spans="2:25" ht="15.5" x14ac:dyDescent="0.35">
      <c r="B31" s="20">
        <f t="shared" si="0"/>
        <v>24</v>
      </c>
      <c r="C31" s="24" t="s">
        <v>34</v>
      </c>
      <c r="D31" s="24"/>
      <c r="E31" s="24"/>
      <c r="F31" s="25"/>
      <c r="G31" s="36"/>
      <c r="H31" s="37"/>
      <c r="I31" s="30"/>
      <c r="J31" s="31"/>
      <c r="K31" s="25"/>
      <c r="L31" s="26"/>
      <c r="M31" s="26"/>
      <c r="N31" s="26"/>
      <c r="O31" s="25"/>
      <c r="P31" s="55"/>
      <c r="Q31" s="55"/>
      <c r="R31" s="57"/>
      <c r="S31" s="25"/>
      <c r="T31" s="25"/>
      <c r="U31" s="25"/>
      <c r="V31" s="25"/>
      <c r="W31" s="31"/>
      <c r="X31" s="25"/>
      <c r="Y31" s="26"/>
    </row>
    <row r="32" spans="2:25" ht="15.5" x14ac:dyDescent="0.35">
      <c r="B32" s="20">
        <f t="shared" si="0"/>
        <v>25</v>
      </c>
      <c r="C32" s="24"/>
      <c r="D32" s="24"/>
      <c r="E32" s="24"/>
      <c r="F32" s="25"/>
      <c r="G32" s="31"/>
      <c r="H32" s="37"/>
      <c r="I32" s="30"/>
      <c r="J32" s="31"/>
      <c r="K32" s="25"/>
      <c r="L32" s="31"/>
      <c r="M32" s="31"/>
      <c r="N32" s="31"/>
      <c r="O32" s="25"/>
      <c r="P32" s="55"/>
      <c r="Q32" s="55"/>
      <c r="R32" s="57"/>
      <c r="S32" s="25"/>
      <c r="T32" s="25"/>
      <c r="U32" s="25"/>
      <c r="V32" s="25"/>
      <c r="W32" s="31"/>
      <c r="X32" s="25"/>
      <c r="Y32" s="31"/>
    </row>
    <row r="33" spans="2:25" ht="15.5" x14ac:dyDescent="0.35">
      <c r="B33" s="20">
        <f t="shared" si="0"/>
        <v>26</v>
      </c>
      <c r="C33" s="21" t="s">
        <v>40</v>
      </c>
      <c r="D33" s="24"/>
      <c r="E33" s="24"/>
      <c r="F33" s="21"/>
      <c r="G33" s="21"/>
      <c r="H33" s="21"/>
      <c r="I33" s="39"/>
      <c r="J33" s="21"/>
      <c r="K33" s="24"/>
      <c r="L33" s="25"/>
      <c r="M33" s="25"/>
      <c r="N33" s="25"/>
      <c r="O33" s="25"/>
      <c r="P33" s="55"/>
      <c r="Q33" s="55"/>
      <c r="R33" s="57"/>
      <c r="S33" s="25"/>
      <c r="T33" s="25"/>
      <c r="U33" s="25"/>
      <c r="V33" s="25"/>
      <c r="W33" s="21"/>
      <c r="X33" s="24"/>
      <c r="Y33" s="25"/>
    </row>
    <row r="34" spans="2:25" ht="15.5" x14ac:dyDescent="0.35">
      <c r="B34" s="20">
        <f t="shared" si="0"/>
        <v>27</v>
      </c>
      <c r="C34" s="24" t="s">
        <v>33</v>
      </c>
      <c r="D34" s="27">
        <v>420.00029418021694</v>
      </c>
      <c r="E34" s="27"/>
      <c r="F34" s="28">
        <v>197.43</v>
      </c>
      <c r="G34" s="29">
        <f>D34*F34</f>
        <v>82920.658080000227</v>
      </c>
      <c r="H34" s="40">
        <f>I34-G34</f>
        <v>71556.934858204215</v>
      </c>
      <c r="I34" s="30">
        <f>J34*D34</f>
        <v>154477.59293820444</v>
      </c>
      <c r="J34" s="31">
        <f>J14*R34</f>
        <v>367.80353508971598</v>
      </c>
      <c r="K34" s="31">
        <f>J34-F34</f>
        <v>170.37353508971597</v>
      </c>
      <c r="L34" s="32">
        <f>K34/F34</f>
        <v>0.86295666864061171</v>
      </c>
      <c r="M34" s="76"/>
      <c r="N34" s="77">
        <f>+G34/D34</f>
        <v>197.42999999999998</v>
      </c>
      <c r="O34" s="25"/>
      <c r="P34" s="55">
        <f>+I34/D34</f>
        <v>367.80353508971592</v>
      </c>
      <c r="Q34" s="64">
        <f>+P34/N34-1</f>
        <v>0.8629566686406116</v>
      </c>
      <c r="R34" s="57">
        <v>2.5</v>
      </c>
      <c r="S34" s="33"/>
      <c r="T34" s="25"/>
      <c r="U34" s="25"/>
      <c r="V34" s="25"/>
      <c r="W34" s="30">
        <f>(('MPG-1'!I34/('MPG-1'!$I$38-'MPG-1'!$I$35)*$W$39)+'MPG-1'!I34)</f>
        <v>154477.59293820447</v>
      </c>
      <c r="X34" s="31">
        <f>W34/D34</f>
        <v>367.80353508971604</v>
      </c>
      <c r="Y34" s="79">
        <f>X34/F34-1</f>
        <v>0.86295666864061205</v>
      </c>
    </row>
    <row r="35" spans="2:25" ht="15.5" x14ac:dyDescent="0.35">
      <c r="B35" s="20">
        <f t="shared" si="0"/>
        <v>28</v>
      </c>
      <c r="C35" s="24" t="s">
        <v>34</v>
      </c>
      <c r="D35" s="25"/>
      <c r="E35" s="61">
        <v>36489.340333333334</v>
      </c>
      <c r="F35" s="65">
        <v>11.67</v>
      </c>
      <c r="G35" s="29">
        <f>E35*F35</f>
        <v>425830.60168999998</v>
      </c>
      <c r="H35" s="40">
        <f>I35-G35</f>
        <v>425830.60168999998</v>
      </c>
      <c r="I35" s="30">
        <f>E35*J35</f>
        <v>851661.20337999996</v>
      </c>
      <c r="J35" s="31">
        <f>(L35+1)*F35</f>
        <v>23.34</v>
      </c>
      <c r="K35" s="31">
        <f>J35-F35</f>
        <v>11.67</v>
      </c>
      <c r="L35" s="79">
        <v>1</v>
      </c>
      <c r="M35" s="76"/>
      <c r="N35" s="75">
        <f>+G35/D34</f>
        <v>1013.8816748239736</v>
      </c>
      <c r="O35" s="25"/>
      <c r="P35" s="60">
        <f>+I35/D34</f>
        <v>2027.7633496479473</v>
      </c>
      <c r="Q35" s="64">
        <f>+P35/N35-1</f>
        <v>1</v>
      </c>
      <c r="R35" s="25"/>
      <c r="S35" s="25"/>
      <c r="T35" s="25"/>
      <c r="U35" s="25"/>
      <c r="V35" s="25"/>
      <c r="W35" s="30">
        <f>I35</f>
        <v>851661.20337999996</v>
      </c>
      <c r="X35" s="31">
        <f>W35/E35</f>
        <v>23.34</v>
      </c>
      <c r="Y35" s="79">
        <f>X35/F35-1</f>
        <v>1</v>
      </c>
    </row>
    <row r="36" spans="2:25" ht="15.5" x14ac:dyDescent="0.35">
      <c r="B36" s="20"/>
      <c r="C36" s="24"/>
      <c r="D36" s="26" t="s">
        <v>54</v>
      </c>
      <c r="E36" s="41"/>
      <c r="F36" s="28"/>
      <c r="G36" s="29"/>
      <c r="H36" s="40"/>
      <c r="I36" s="29"/>
      <c r="K36" s="31"/>
      <c r="L36" s="32"/>
      <c r="M36" s="32"/>
      <c r="N36" s="74">
        <f>+N34+N35</f>
        <v>1211.3116748239736</v>
      </c>
      <c r="O36" s="25"/>
      <c r="P36" s="55">
        <f>+P35+P34</f>
        <v>2395.5668847376633</v>
      </c>
      <c r="Q36" s="55"/>
      <c r="R36" s="37" t="s">
        <v>54</v>
      </c>
      <c r="S36" s="25"/>
      <c r="T36" s="25"/>
      <c r="U36" s="25"/>
      <c r="V36" s="25"/>
      <c r="W36" s="30"/>
      <c r="X36" s="79"/>
      <c r="Y36" s="79"/>
    </row>
    <row r="37" spans="2:25" ht="15.5" x14ac:dyDescent="0.35">
      <c r="B37" s="20">
        <f>B35+1</f>
        <v>29</v>
      </c>
      <c r="C37" s="24"/>
      <c r="D37" s="24"/>
      <c r="E37" s="24"/>
      <c r="F37" s="25"/>
      <c r="G37" s="31"/>
      <c r="H37" s="37"/>
      <c r="I37" s="30"/>
      <c r="J37" s="31"/>
      <c r="K37" s="25"/>
      <c r="L37" s="31"/>
      <c r="M37" s="31"/>
      <c r="N37" s="31"/>
      <c r="O37" s="25"/>
      <c r="P37" s="25"/>
      <c r="Q37" s="25"/>
      <c r="R37" s="25"/>
      <c r="S37" s="25"/>
      <c r="T37" s="25"/>
      <c r="U37" s="25"/>
      <c r="V37" s="25"/>
      <c r="W37" s="31"/>
      <c r="X37" s="31"/>
      <c r="Y37" s="31"/>
    </row>
    <row r="38" spans="2:25" ht="15.5" x14ac:dyDescent="0.35">
      <c r="B38" s="20">
        <f>B37+1</f>
        <v>30</v>
      </c>
      <c r="C38" s="23" t="s">
        <v>41</v>
      </c>
      <c r="D38" s="42">
        <f>SUM(D10:D35)</f>
        <v>29088.161363292871</v>
      </c>
      <c r="E38" s="43">
        <f>SUM(E10:E35)</f>
        <v>36489.340333333334</v>
      </c>
      <c r="F38" s="23"/>
      <c r="G38" s="39">
        <f>SUM(G10:G35)</f>
        <v>2697918.7897699573</v>
      </c>
      <c r="H38" s="39">
        <f>H42-SUM(H40:H41)</f>
        <v>2485758.2102300427</v>
      </c>
      <c r="I38" s="39">
        <v>5183677</v>
      </c>
      <c r="J38" s="64">
        <f>+I38/G38-1</f>
        <v>0.92136139147538798</v>
      </c>
      <c r="K38" s="25"/>
      <c r="M38" s="26"/>
      <c r="N38" s="26"/>
      <c r="O38" s="25"/>
      <c r="P38" s="25"/>
      <c r="Q38" s="25"/>
      <c r="R38" s="30"/>
      <c r="S38" s="25"/>
      <c r="T38" s="25"/>
      <c r="U38" s="25"/>
      <c r="V38" s="25" t="s">
        <v>16</v>
      </c>
      <c r="W38" s="30">
        <f>SUM(W10:W35)</f>
        <v>5183677.0000000009</v>
      </c>
      <c r="X38" s="25"/>
      <c r="Y38" s="25"/>
    </row>
    <row r="39" spans="2:25" ht="15.5" x14ac:dyDescent="0.35">
      <c r="B39" s="20">
        <f>B38+1</f>
        <v>31</v>
      </c>
      <c r="C39" s="23"/>
      <c r="D39" s="42"/>
      <c r="E39" s="43"/>
      <c r="F39" s="23"/>
      <c r="G39" s="39"/>
      <c r="H39" s="44"/>
      <c r="I39" s="39"/>
      <c r="J39" s="25"/>
      <c r="K39" s="25"/>
      <c r="M39" s="73"/>
      <c r="N39" s="73"/>
      <c r="O39" s="25"/>
      <c r="P39" s="25"/>
      <c r="Q39" s="25"/>
      <c r="R39" s="25"/>
      <c r="S39" s="25"/>
      <c r="T39" s="25"/>
      <c r="U39" s="25"/>
      <c r="V39" s="73" t="s">
        <v>58</v>
      </c>
      <c r="W39" s="30">
        <f>'MPG-1'!I35-'MPG-3'!I35-('MPG-2'!I38-'MPG-3'!I38)</f>
        <v>975255.71700486913</v>
      </c>
      <c r="X39" s="25"/>
      <c r="Y39" s="25"/>
    </row>
    <row r="40" spans="2:25" ht="15.5" x14ac:dyDescent="0.35">
      <c r="B40" s="20">
        <f>B39+1</f>
        <v>32</v>
      </c>
      <c r="C40" s="23" t="s">
        <v>42</v>
      </c>
      <c r="D40" s="42"/>
      <c r="E40" s="43"/>
      <c r="F40" s="23"/>
      <c r="G40" s="39">
        <v>14244</v>
      </c>
      <c r="H40" s="39">
        <f>I40-G40</f>
        <v>100601.21809977101</v>
      </c>
      <c r="I40" s="39">
        <f>I38*('MPG-2'!I40/'MPG-2'!I38)</f>
        <v>114845.21809977101</v>
      </c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</row>
    <row r="41" spans="2:25" ht="15.5" x14ac:dyDescent="0.35">
      <c r="B41" s="20">
        <f>B40+1</f>
        <v>33</v>
      </c>
      <c r="C41" s="23" t="s">
        <v>43</v>
      </c>
      <c r="D41" s="42"/>
      <c r="E41" s="43"/>
      <c r="F41" s="23"/>
      <c r="G41" s="39">
        <v>0</v>
      </c>
      <c r="H41" s="39">
        <f>I41-G41</f>
        <v>0</v>
      </c>
      <c r="I41" s="39">
        <v>0</v>
      </c>
      <c r="J41" s="25" t="s">
        <v>54</v>
      </c>
      <c r="K41" s="25"/>
      <c r="L41" s="25"/>
      <c r="M41" s="25"/>
      <c r="N41" s="25"/>
      <c r="O41" s="25"/>
      <c r="P41" s="25"/>
      <c r="Q41" s="25"/>
      <c r="R41" s="25"/>
      <c r="S41" s="25" t="s">
        <v>54</v>
      </c>
      <c r="T41" s="25"/>
      <c r="U41" s="25"/>
      <c r="V41" s="25"/>
      <c r="W41" s="25"/>
      <c r="X41" s="25"/>
      <c r="Y41" s="25"/>
    </row>
    <row r="42" spans="2:25" ht="15.5" x14ac:dyDescent="0.35">
      <c r="B42" s="20">
        <f>B41+1</f>
        <v>34</v>
      </c>
      <c r="C42" s="23" t="s">
        <v>44</v>
      </c>
      <c r="D42" s="42"/>
      <c r="E42" s="43"/>
      <c r="F42" s="23"/>
      <c r="G42" s="39">
        <f>SUM(G38:G41)</f>
        <v>2712162.7897699573</v>
      </c>
      <c r="H42" s="39">
        <f>I42-G42</f>
        <v>2586359.4283298138</v>
      </c>
      <c r="I42" s="39">
        <f>I38+I40</f>
        <v>5298522.2180997711</v>
      </c>
      <c r="J42" s="30"/>
      <c r="K42" s="78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 t="s">
        <v>65</v>
      </c>
      <c r="X42" s="25" t="str">
        <f>IF(ABS(SUM(I10:I35)-SUM('MPG-1'!I10:I35))&lt;0.01,"YES","NO")</f>
        <v>NO</v>
      </c>
      <c r="Y42" s="25"/>
    </row>
    <row r="43" spans="2:25" ht="15.5" x14ac:dyDescent="0.35">
      <c r="B43" s="20"/>
      <c r="C43" s="25"/>
      <c r="D43" s="26"/>
      <c r="E43" s="37"/>
      <c r="F43" s="25"/>
      <c r="G43" s="25"/>
      <c r="H43" s="25"/>
      <c r="I43" s="30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</row>
    <row r="44" spans="2:25" x14ac:dyDescent="0.3">
      <c r="B44" s="25"/>
      <c r="C44" s="16" t="s">
        <v>45</v>
      </c>
      <c r="D44" s="25"/>
      <c r="E44" s="25"/>
      <c r="F44" s="31"/>
      <c r="G44" s="31"/>
      <c r="H44" s="31"/>
      <c r="I44" s="32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</row>
    <row r="45" spans="2:25" x14ac:dyDescent="0.3">
      <c r="B45" s="25"/>
      <c r="C45" s="25"/>
      <c r="D45" s="25"/>
      <c r="E45" s="25"/>
      <c r="F45" s="25"/>
      <c r="G45" s="31"/>
      <c r="H45" s="30" t="s">
        <v>54</v>
      </c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</row>
    <row r="46" spans="2:25" x14ac:dyDescent="0.3"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</row>
    <row r="47" spans="2:25" x14ac:dyDescent="0.3">
      <c r="B47" s="25"/>
      <c r="C47" s="25"/>
      <c r="D47" s="25"/>
      <c r="E47" s="25"/>
      <c r="F47" s="25"/>
      <c r="G47" s="80"/>
      <c r="H47" s="80"/>
      <c r="I47" s="80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</row>
    <row r="48" spans="2:25" x14ac:dyDescent="0.3"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</row>
    <row r="49" spans="2:25" x14ac:dyDescent="0.3"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</row>
    <row r="50" spans="2:25" x14ac:dyDescent="0.3"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</row>
    <row r="51" spans="2:25" x14ac:dyDescent="0.3"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</row>
    <row r="52" spans="2:25" x14ac:dyDescent="0.3"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</row>
    <row r="53" spans="2:25" x14ac:dyDescent="0.3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</row>
    <row r="54" spans="2:25" x14ac:dyDescent="0.3"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</row>
    <row r="55" spans="2:25" x14ac:dyDescent="0.3"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</row>
    <row r="56" spans="2:25" x14ac:dyDescent="0.3"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</row>
    <row r="57" spans="2:25" x14ac:dyDescent="0.3"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</row>
    <row r="58" spans="2:25" x14ac:dyDescent="0.3"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</row>
    <row r="59" spans="2:25" x14ac:dyDescent="0.3"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</row>
    <row r="60" spans="2:25" x14ac:dyDescent="0.3"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</row>
    <row r="61" spans="2:25" x14ac:dyDescent="0.3"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</row>
    <row r="62" spans="2:25" x14ac:dyDescent="0.3"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</row>
    <row r="63" spans="2:25" x14ac:dyDescent="0.3"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</row>
  </sheetData>
  <mergeCells count="4">
    <mergeCell ref="C3:L3"/>
    <mergeCell ref="C4:L4"/>
    <mergeCell ref="C5:L5"/>
    <mergeCell ref="C6:F6"/>
  </mergeCells>
  <pageMargins left="0.7" right="0.7" top="0.75" bottom="0.75" header="0.3" footer="0.3"/>
  <pageSetup scale="39" fitToHeight="0" orientation="landscape" r:id="rId1"/>
  <headerFooter>
    <oddHeader xml:space="preserve">&amp;R&amp;"Arial,Bold"Exhibit MPG-3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744BA-58C5-4019-9549-7AC7B88291C4}">
  <dimension ref="B7:L20"/>
  <sheetViews>
    <sheetView showGridLines="0" tabSelected="1" workbookViewId="0">
      <selection activeCell="R19" sqref="R19"/>
    </sheetView>
  </sheetViews>
  <sheetFormatPr defaultRowHeight="14" x14ac:dyDescent="0.3"/>
  <cols>
    <col min="2" max="2" width="0.58203125" customWidth="1"/>
    <col min="3" max="3" width="4.75" bestFit="1" customWidth="1"/>
    <col min="4" max="4" width="0.83203125" customWidth="1"/>
    <col min="5" max="5" width="24.08203125" customWidth="1"/>
    <col min="6" max="6" width="0.83203125" customWidth="1"/>
    <col min="8" max="8" width="0.83203125" customWidth="1"/>
    <col min="10" max="10" width="0.83203125" customWidth="1"/>
    <col min="12" max="12" width="0.58203125" customWidth="1"/>
  </cols>
  <sheetData>
    <row r="7" spans="2:12" x14ac:dyDescent="0.3">
      <c r="B7" s="2"/>
      <c r="C7" s="3"/>
      <c r="D7" s="3"/>
      <c r="E7" s="3"/>
      <c r="F7" s="3"/>
      <c r="G7" s="3"/>
      <c r="H7" s="3"/>
      <c r="I7" s="3"/>
      <c r="J7" s="3"/>
      <c r="K7" s="3"/>
      <c r="L7" s="4"/>
    </row>
    <row r="8" spans="2:12" x14ac:dyDescent="0.3">
      <c r="B8" s="5"/>
      <c r="C8" s="85" t="s">
        <v>51</v>
      </c>
      <c r="D8" s="85"/>
      <c r="E8" s="85"/>
      <c r="F8" s="85"/>
      <c r="G8" s="85"/>
      <c r="H8" s="85"/>
      <c r="I8" s="85"/>
      <c r="J8" s="85"/>
      <c r="K8" s="85"/>
      <c r="L8" s="6"/>
    </row>
    <row r="9" spans="2:12" x14ac:dyDescent="0.3">
      <c r="B9" s="5"/>
      <c r="L9" s="6"/>
    </row>
    <row r="10" spans="2:12" x14ac:dyDescent="0.3">
      <c r="B10" s="5"/>
      <c r="C10" s="86" t="s">
        <v>55</v>
      </c>
      <c r="D10" s="86"/>
      <c r="E10" s="86"/>
      <c r="F10" s="86"/>
      <c r="G10" s="86"/>
      <c r="H10" s="86"/>
      <c r="I10" s="86"/>
      <c r="J10" s="86"/>
      <c r="K10" s="86"/>
      <c r="L10" s="6"/>
    </row>
    <row r="11" spans="2:12" x14ac:dyDescent="0.3">
      <c r="B11" s="5"/>
      <c r="L11" s="6"/>
    </row>
    <row r="12" spans="2:12" x14ac:dyDescent="0.3">
      <c r="B12" s="5"/>
      <c r="C12" s="1" t="s">
        <v>0</v>
      </c>
      <c r="D12" s="7"/>
      <c r="E12" s="1" t="s">
        <v>1</v>
      </c>
      <c r="F12" s="7"/>
      <c r="G12" s="1" t="s">
        <v>2</v>
      </c>
      <c r="H12" s="7"/>
      <c r="I12" s="1" t="s">
        <v>3</v>
      </c>
      <c r="J12" s="7"/>
      <c r="K12" s="1" t="s">
        <v>4</v>
      </c>
      <c r="L12" s="6"/>
    </row>
    <row r="13" spans="2:12" x14ac:dyDescent="0.3">
      <c r="B13" s="5"/>
      <c r="L13" s="6"/>
    </row>
    <row r="14" spans="2:12" x14ac:dyDescent="0.3">
      <c r="B14" s="5"/>
      <c r="C14" s="12" t="str">
        <f>+'MPG-1'!C33</f>
        <v>Delaplain Non-Residential Rate</v>
      </c>
      <c r="D14" s="12"/>
      <c r="E14" s="12"/>
      <c r="L14" s="6"/>
    </row>
    <row r="15" spans="2:12" x14ac:dyDescent="0.3">
      <c r="B15" s="5"/>
      <c r="C15" s="8">
        <v>1</v>
      </c>
      <c r="D15" s="8"/>
      <c r="E15" t="s">
        <v>5</v>
      </c>
      <c r="G15" s="9">
        <v>197.43</v>
      </c>
      <c r="H15" s="9"/>
      <c r="I15" s="9">
        <v>285</v>
      </c>
      <c r="J15" s="9"/>
      <c r="K15" s="10">
        <f>I15/G15-1</f>
        <v>0.44354961252089353</v>
      </c>
      <c r="L15" s="6"/>
    </row>
    <row r="16" spans="2:12" x14ac:dyDescent="0.3">
      <c r="B16" s="5"/>
      <c r="C16" s="8">
        <v>2</v>
      </c>
      <c r="D16" s="8"/>
      <c r="E16" t="s">
        <v>6</v>
      </c>
      <c r="G16" s="9">
        <v>11.67</v>
      </c>
      <c r="H16" s="9"/>
      <c r="I16" s="9">
        <v>55.86</v>
      </c>
      <c r="J16" s="9"/>
      <c r="K16" s="10">
        <f>I16/G16-1</f>
        <v>3.7866323907455008</v>
      </c>
      <c r="L16" s="6"/>
    </row>
    <row r="17" spans="2:12" x14ac:dyDescent="0.3">
      <c r="B17" s="5"/>
      <c r="C17" s="8"/>
      <c r="D17" s="8"/>
      <c r="G17" s="9"/>
      <c r="H17" s="9"/>
      <c r="I17" s="9"/>
      <c r="J17" s="9"/>
      <c r="K17" s="10"/>
      <c r="L17" s="6"/>
    </row>
    <row r="18" spans="2:12" x14ac:dyDescent="0.3">
      <c r="B18" s="5"/>
      <c r="C18" s="66" t="str">
        <f>+'MPG-1'!C29</f>
        <v>Commercial Flat Rate</v>
      </c>
      <c r="D18" s="67"/>
      <c r="E18" s="12"/>
      <c r="G18" s="9"/>
      <c r="H18" s="9"/>
      <c r="I18" s="9"/>
      <c r="J18" s="9"/>
      <c r="K18" s="10"/>
      <c r="L18" s="6"/>
    </row>
    <row r="19" spans="2:12" x14ac:dyDescent="0.3">
      <c r="B19" s="5"/>
      <c r="C19" s="8">
        <v>3</v>
      </c>
      <c r="D19" s="8"/>
      <c r="E19" t="str">
        <f>+'MPG-1'!C30</f>
        <v xml:space="preserve">   All Meter Sizes</v>
      </c>
      <c r="G19" s="9">
        <f>+'MPG-1'!F30</f>
        <v>197.43</v>
      </c>
      <c r="H19" s="9"/>
      <c r="I19" s="9">
        <f>+'MPG-1'!J30</f>
        <v>285.00085911362203</v>
      </c>
      <c r="J19" s="9"/>
      <c r="K19" s="10">
        <f>I19/G19-1</f>
        <v>0.44355396400558189</v>
      </c>
      <c r="L19" s="6"/>
    </row>
    <row r="20" spans="2:12" x14ac:dyDescent="0.3">
      <c r="B20" s="11"/>
      <c r="C20" s="12"/>
      <c r="D20" s="12"/>
      <c r="E20" s="12"/>
      <c r="F20" s="12"/>
      <c r="G20" s="12"/>
      <c r="H20" s="12"/>
      <c r="I20" s="12"/>
      <c r="J20" s="12"/>
      <c r="K20" s="12"/>
      <c r="L20" s="13"/>
    </row>
  </sheetData>
  <mergeCells count="2">
    <mergeCell ref="C8:K8"/>
    <mergeCell ref="C10:K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1</vt:lpstr>
      <vt:lpstr>MPG-1</vt:lpstr>
      <vt:lpstr>MPG-2</vt:lpstr>
      <vt:lpstr>MPG-3</vt:lpstr>
      <vt:lpstr>Table 2     Delaplain Rates</vt:lpstr>
    </vt:vector>
  </TitlesOfParts>
  <Company>BAI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York, Jessica</dc:creator>
  <cp:lastModifiedBy>David Spenard</cp:lastModifiedBy>
  <cp:lastPrinted>2026-09-02T18:34:34Z</cp:lastPrinted>
  <dcterms:created xsi:type="dcterms:W3CDTF">2025-12-30T19:59:28Z</dcterms:created>
  <dcterms:modified xsi:type="dcterms:W3CDTF">2026-09-02T18:35:05Z</dcterms:modified>
</cp:coreProperties>
</file>