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24226"/>
  <mc:AlternateContent xmlns:mc="http://schemas.openxmlformats.org/markup-compatibility/2006">
    <mc:Choice Requires="x15">
      <x15ac:absPath xmlns:x15ac="http://schemas.microsoft.com/office/spreadsheetml/2010/11/ac" url="C:\Users\18595\Desktop\KRWA\Laural Co WD #2\Application\"/>
    </mc:Choice>
  </mc:AlternateContent>
  <xr:revisionPtr revIDLastSave="0" documentId="13_ncr:1_{900DC273-8B1F-4615-92E9-863D9349AAE5}" xr6:coauthVersionLast="47" xr6:coauthVersionMax="47" xr10:uidLastSave="{00000000-0000-0000-0000-000000000000}"/>
  <bookViews>
    <workbookView xWindow="28680" yWindow="270" windowWidth="25440" windowHeight="15270" xr2:uid="{00000000-000D-0000-FFFF-FFFF00000000}"/>
  </bookViews>
  <sheets>
    <sheet name="SAO" sheetId="6" r:id="rId1"/>
    <sheet name="Revenue Requirements" sheetId="56" r:id="rId2"/>
    <sheet name="References" sheetId="57" r:id="rId3"/>
    <sheet name="Water Loss" sheetId="55" r:id="rId4"/>
    <sheet name="Medical" sheetId="40" r:id="rId5"/>
    <sheet name="Wages" sheetId="49" r:id="rId6"/>
    <sheet name="Capital" sheetId="58" r:id="rId7"/>
    <sheet name="Debt Service" sheetId="53" r:id="rId8"/>
    <sheet name="Depreciation" sheetId="52" r:id="rId9"/>
    <sheet name="Rates" sheetId="2" r:id="rId10"/>
    <sheet name="Bills" sheetId="42" r:id="rId11"/>
    <sheet name="ExBA" sheetId="51" r:id="rId12"/>
    <sheet name="PrBA" sheetId="43" r:id="rId13"/>
  </sheets>
  <definedNames>
    <definedName name="AHV">#REF!</definedName>
    <definedName name="_xlnm.Print_Area" localSheetId="10">Bills!$A$1:$J$30</definedName>
    <definedName name="_xlnm.Print_Area" localSheetId="7">'Debt Service'!$A$1:$O$27</definedName>
    <definedName name="_xlnm.Print_Area" localSheetId="11">ExBA!$A$1:$I$70</definedName>
    <definedName name="_xlnm.Print_Area" localSheetId="12">PrBA!$A$1:$N$211</definedName>
    <definedName name="_xlnm.Print_Area" localSheetId="9">Rates!$A$1:$L$27</definedName>
    <definedName name="_xlnm.Print_Area" localSheetId="1">'Revenue Requirements'!$A$1:$G$29</definedName>
    <definedName name="_xlnm.Print_Area" localSheetId="0">SAO!$A$1:$H$51</definedName>
    <definedName name="_xlnm.Print_Area">#REF!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9" i="6" l="1"/>
  <c r="H49" i="52"/>
  <c r="N51" i="52"/>
  <c r="N40" i="52"/>
  <c r="E45" i="6"/>
  <c r="H50" i="52"/>
  <c r="G46" i="6"/>
  <c r="F4" i="56"/>
  <c r="O25" i="53" s="1"/>
  <c r="F3" i="56"/>
  <c r="O23" i="53" s="1"/>
  <c r="F6" i="40"/>
  <c r="F26" i="40" s="1"/>
  <c r="L28" i="49"/>
  <c r="C42" i="40"/>
  <c r="C34" i="40"/>
  <c r="C33" i="40"/>
  <c r="C32" i="40"/>
  <c r="C31" i="40"/>
  <c r="P56" i="49"/>
  <c r="K30" i="49" l="1"/>
  <c r="P65" i="49" l="1"/>
  <c r="K46" i="49" s="1"/>
  <c r="C55" i="40" l="1"/>
  <c r="D50" i="40" l="1"/>
  <c r="C50" i="40"/>
  <c r="J26" i="49"/>
  <c r="I26" i="49"/>
  <c r="H26" i="49"/>
  <c r="K26" i="49" s="1"/>
  <c r="L26" i="49" s="1"/>
  <c r="L5" i="49"/>
  <c r="L25" i="49"/>
  <c r="L23" i="49"/>
  <c r="L22" i="49"/>
  <c r="L21" i="49"/>
  <c r="L20" i="49"/>
  <c r="L17" i="49"/>
  <c r="L16" i="49"/>
  <c r="L15" i="49"/>
  <c r="L14" i="49"/>
  <c r="L13" i="49"/>
  <c r="L12" i="49"/>
  <c r="L11" i="49"/>
  <c r="L10" i="49"/>
  <c r="L9" i="49"/>
  <c r="L8" i="49"/>
  <c r="L7" i="49"/>
  <c r="L6" i="49"/>
  <c r="K42" i="49" l="1"/>
  <c r="J25" i="49"/>
  <c r="F20" i="49"/>
  <c r="J20" i="49" s="1"/>
  <c r="F13" i="49"/>
  <c r="F11" i="49"/>
  <c r="J11" i="49" s="1"/>
  <c r="F25" i="49"/>
  <c r="F23" i="49"/>
  <c r="J23" i="49" s="1"/>
  <c r="F22" i="49"/>
  <c r="J22" i="49" s="1"/>
  <c r="F21" i="49"/>
  <c r="J21" i="49" s="1"/>
  <c r="F17" i="49"/>
  <c r="J17" i="49" s="1"/>
  <c r="F16" i="49"/>
  <c r="F15" i="49"/>
  <c r="J15" i="49" s="1"/>
  <c r="J10" i="49"/>
  <c r="F10" i="49"/>
  <c r="J24" i="49"/>
  <c r="J19" i="49"/>
  <c r="J18" i="49"/>
  <c r="J16" i="49"/>
  <c r="J14" i="49"/>
  <c r="J13" i="49"/>
  <c r="J12" i="49"/>
  <c r="J9" i="49"/>
  <c r="J8" i="49"/>
  <c r="J7" i="49"/>
  <c r="F9" i="49"/>
  <c r="F8" i="49"/>
  <c r="J6" i="49"/>
  <c r="K25" i="49"/>
  <c r="H24" i="49"/>
  <c r="I24" i="49"/>
  <c r="G44" i="6"/>
  <c r="I23" i="49"/>
  <c r="H23" i="49"/>
  <c r="I22" i="49"/>
  <c r="H22" i="49"/>
  <c r="I21" i="49"/>
  <c r="H21" i="49"/>
  <c r="I20" i="49"/>
  <c r="H20" i="49"/>
  <c r="I19" i="49"/>
  <c r="H19" i="49"/>
  <c r="I18" i="49"/>
  <c r="H18" i="49"/>
  <c r="I17" i="49"/>
  <c r="H17" i="49"/>
  <c r="I16" i="49"/>
  <c r="H16" i="49"/>
  <c r="I15" i="49"/>
  <c r="H15" i="49"/>
  <c r="I14" i="49"/>
  <c r="H14" i="49"/>
  <c r="I13" i="49"/>
  <c r="H13" i="49"/>
  <c r="I12" i="49"/>
  <c r="H12" i="49"/>
  <c r="K12" i="49" s="1"/>
  <c r="I11" i="49"/>
  <c r="H11" i="49"/>
  <c r="I9" i="49"/>
  <c r="H9" i="49"/>
  <c r="I8" i="49"/>
  <c r="H8" i="49"/>
  <c r="I7" i="49"/>
  <c r="H7" i="49"/>
  <c r="E31" i="40"/>
  <c r="E34" i="40"/>
  <c r="E33" i="40"/>
  <c r="E32" i="40"/>
  <c r="J37" i="52"/>
  <c r="K37" i="52" s="1"/>
  <c r="G18" i="43"/>
  <c r="G31" i="6"/>
  <c r="G28" i="6"/>
  <c r="E23" i="42"/>
  <c r="E22" i="42"/>
  <c r="E21" i="42"/>
  <c r="E20" i="42"/>
  <c r="E19" i="42"/>
  <c r="E18" i="42"/>
  <c r="E17" i="42"/>
  <c r="E16" i="42"/>
  <c r="E15" i="42"/>
  <c r="E14" i="42"/>
  <c r="E13" i="42"/>
  <c r="E12" i="42"/>
  <c r="E11" i="42"/>
  <c r="E10" i="42"/>
  <c r="P19" i="42"/>
  <c r="P18" i="42"/>
  <c r="P17" i="42"/>
  <c r="P16" i="42"/>
  <c r="P15" i="42"/>
  <c r="P14" i="42"/>
  <c r="P13" i="42"/>
  <c r="P12" i="42"/>
  <c r="P11" i="42"/>
  <c r="P10" i="42"/>
  <c r="P9" i="42"/>
  <c r="P8" i="42"/>
  <c r="V8" i="42"/>
  <c r="V9" i="42"/>
  <c r="V10" i="42"/>
  <c r="V11" i="42"/>
  <c r="V12" i="42"/>
  <c r="V13" i="42"/>
  <c r="V14" i="42"/>
  <c r="V15" i="42"/>
  <c r="V16" i="42"/>
  <c r="V17" i="42"/>
  <c r="V18" i="42"/>
  <c r="V19" i="42"/>
  <c r="C26" i="56"/>
  <c r="G18" i="51"/>
  <c r="F22" i="51"/>
  <c r="E22" i="51"/>
  <c r="C199" i="43"/>
  <c r="C198" i="43"/>
  <c r="E194" i="43"/>
  <c r="D194" i="43"/>
  <c r="D198" i="43" s="1"/>
  <c r="G193" i="43"/>
  <c r="G194" i="43" s="1"/>
  <c r="E199" i="43" s="1"/>
  <c r="F193" i="43"/>
  <c r="H193" i="43" s="1"/>
  <c r="H192" i="43"/>
  <c r="F192" i="43"/>
  <c r="F194" i="43" s="1"/>
  <c r="G191" i="43"/>
  <c r="F191" i="43"/>
  <c r="C186" i="43"/>
  <c r="C185" i="43"/>
  <c r="D184" i="43"/>
  <c r="C184" i="43"/>
  <c r="E180" i="43"/>
  <c r="D180" i="43"/>
  <c r="F178" i="43"/>
  <c r="F177" i="43"/>
  <c r="H176" i="43"/>
  <c r="G176" i="43"/>
  <c r="G179" i="43" s="1"/>
  <c r="F176" i="43"/>
  <c r="F179" i="43" s="1"/>
  <c r="C171" i="43"/>
  <c r="C170" i="43"/>
  <c r="D169" i="43"/>
  <c r="C169" i="43"/>
  <c r="E165" i="43"/>
  <c r="D165" i="43"/>
  <c r="F162" i="43"/>
  <c r="H161" i="43"/>
  <c r="G161" i="43"/>
  <c r="G164" i="43" s="1"/>
  <c r="F161" i="43"/>
  <c r="F164" i="43" s="1"/>
  <c r="C156" i="43"/>
  <c r="C155" i="43"/>
  <c r="C154" i="43"/>
  <c r="E150" i="43"/>
  <c r="D150" i="43"/>
  <c r="D154" i="43" s="1"/>
  <c r="F148" i="43"/>
  <c r="F147" i="43"/>
  <c r="I147" i="43" s="1"/>
  <c r="H146" i="43"/>
  <c r="G146" i="43"/>
  <c r="G149" i="43" s="1"/>
  <c r="F146" i="43"/>
  <c r="F149" i="43" s="1"/>
  <c r="C141" i="43"/>
  <c r="C140" i="43"/>
  <c r="D139" i="43"/>
  <c r="C139" i="43"/>
  <c r="E135" i="43"/>
  <c r="F13" i="43" s="1"/>
  <c r="D135" i="43"/>
  <c r="F133" i="43"/>
  <c r="F132" i="43"/>
  <c r="I132" i="43" s="1"/>
  <c r="H131" i="43"/>
  <c r="G131" i="43"/>
  <c r="G134" i="43" s="1"/>
  <c r="F131" i="43"/>
  <c r="F134" i="43" s="1"/>
  <c r="C126" i="43"/>
  <c r="C125" i="43"/>
  <c r="D124" i="43"/>
  <c r="C124" i="43"/>
  <c r="E120" i="43"/>
  <c r="F12" i="43" s="1"/>
  <c r="D120" i="43"/>
  <c r="F118" i="43"/>
  <c r="F117" i="43"/>
  <c r="F120" i="43" s="1"/>
  <c r="H116" i="43"/>
  <c r="G116" i="43"/>
  <c r="G119" i="43" s="1"/>
  <c r="F116" i="43"/>
  <c r="F119" i="43" s="1"/>
  <c r="C111" i="43"/>
  <c r="C110" i="43"/>
  <c r="D109" i="43"/>
  <c r="C109" i="43"/>
  <c r="D105" i="43"/>
  <c r="F104" i="43"/>
  <c r="E104" i="43"/>
  <c r="E105" i="43" s="1"/>
  <c r="F11" i="43" s="1"/>
  <c r="D104" i="43"/>
  <c r="F103" i="43"/>
  <c r="F102" i="43"/>
  <c r="F105" i="43" s="1"/>
  <c r="H101" i="43"/>
  <c r="G101" i="43"/>
  <c r="G104" i="43" s="1"/>
  <c r="F101" i="43"/>
  <c r="C96" i="43"/>
  <c r="C95" i="43"/>
  <c r="D94" i="43"/>
  <c r="C94" i="43"/>
  <c r="E90" i="43"/>
  <c r="D90" i="43"/>
  <c r="G89" i="43"/>
  <c r="F87" i="43"/>
  <c r="H86" i="43"/>
  <c r="G86" i="43"/>
  <c r="F86" i="43"/>
  <c r="F89" i="43" s="1"/>
  <c r="C81" i="43"/>
  <c r="C80" i="43"/>
  <c r="C79" i="43"/>
  <c r="E75" i="43"/>
  <c r="F9" i="43" s="1"/>
  <c r="F73" i="43"/>
  <c r="G73" i="43" s="1"/>
  <c r="E72" i="43"/>
  <c r="F72" i="43" s="1"/>
  <c r="D72" i="43"/>
  <c r="D75" i="43" s="1"/>
  <c r="H71" i="43"/>
  <c r="G71" i="43"/>
  <c r="G74" i="43" s="1"/>
  <c r="F71" i="43"/>
  <c r="F74" i="43" s="1"/>
  <c r="C66" i="43"/>
  <c r="C65" i="43"/>
  <c r="C64" i="43"/>
  <c r="E60" i="43"/>
  <c r="F8" i="43" s="1"/>
  <c r="D60" i="43"/>
  <c r="D64" i="43" s="1"/>
  <c r="F58" i="43"/>
  <c r="F57" i="43"/>
  <c r="I57" i="43" s="1"/>
  <c r="H56" i="43"/>
  <c r="G56" i="43"/>
  <c r="G59" i="43" s="1"/>
  <c r="F56" i="43"/>
  <c r="F59" i="43" s="1"/>
  <c r="C51" i="43"/>
  <c r="C50" i="43"/>
  <c r="C49" i="43"/>
  <c r="E45" i="43"/>
  <c r="F7" i="43" s="1"/>
  <c r="F44" i="43"/>
  <c r="E44" i="43"/>
  <c r="H44" i="43" s="1"/>
  <c r="H45" i="43" s="1"/>
  <c r="E51" i="43" s="1"/>
  <c r="D44" i="43"/>
  <c r="F43" i="43"/>
  <c r="G43" i="43" s="1"/>
  <c r="G45" i="43" s="1"/>
  <c r="E50" i="43" s="1"/>
  <c r="E43" i="43"/>
  <c r="D43" i="43"/>
  <c r="F42" i="43"/>
  <c r="I42" i="43" s="1"/>
  <c r="E42" i="43"/>
  <c r="D42" i="43"/>
  <c r="D45" i="43" s="1"/>
  <c r="H41" i="43"/>
  <c r="G41" i="43"/>
  <c r="G44" i="43" s="1"/>
  <c r="F41" i="43"/>
  <c r="C36" i="43"/>
  <c r="C35" i="43"/>
  <c r="C34" i="43"/>
  <c r="G28" i="43"/>
  <c r="F28" i="43"/>
  <c r="E28" i="43"/>
  <c r="H28" i="43" s="1"/>
  <c r="H29" i="43" s="1"/>
  <c r="E36" i="43" s="1"/>
  <c r="D28" i="43"/>
  <c r="E27" i="43"/>
  <c r="D27" i="43"/>
  <c r="F27" i="43" s="1"/>
  <c r="F26" i="43"/>
  <c r="I26" i="43" s="1"/>
  <c r="E26" i="43"/>
  <c r="E29" i="43" s="1"/>
  <c r="F6" i="43" s="1"/>
  <c r="D26" i="43"/>
  <c r="D29" i="43" s="1"/>
  <c r="H25" i="43"/>
  <c r="G25" i="43"/>
  <c r="F25" i="43"/>
  <c r="F17" i="43"/>
  <c r="E17" i="43"/>
  <c r="F16" i="43"/>
  <c r="E16" i="43"/>
  <c r="F15" i="43"/>
  <c r="E15" i="43"/>
  <c r="F14" i="43"/>
  <c r="E14" i="43"/>
  <c r="E13" i="43"/>
  <c r="E12" i="43"/>
  <c r="E11" i="43"/>
  <c r="F10" i="43"/>
  <c r="E10" i="43"/>
  <c r="E8" i="43"/>
  <c r="F65" i="2"/>
  <c r="F56" i="2"/>
  <c r="J28" i="49" l="1"/>
  <c r="K24" i="49"/>
  <c r="L24" i="49" s="1"/>
  <c r="K9" i="49"/>
  <c r="K7" i="49"/>
  <c r="K28" i="49" s="1"/>
  <c r="L30" i="49" s="1"/>
  <c r="K23" i="49"/>
  <c r="K6" i="49"/>
  <c r="K14" i="49"/>
  <c r="K22" i="49"/>
  <c r="K20" i="49"/>
  <c r="K15" i="49"/>
  <c r="K10" i="49"/>
  <c r="K18" i="49"/>
  <c r="K13" i="49"/>
  <c r="K21" i="49"/>
  <c r="K8" i="49"/>
  <c r="K11" i="49"/>
  <c r="K19" i="49"/>
  <c r="K17" i="49"/>
  <c r="K16" i="49"/>
  <c r="H74" i="43"/>
  <c r="H75" i="43" s="1"/>
  <c r="E81" i="43" s="1"/>
  <c r="E7" i="43"/>
  <c r="D49" i="43"/>
  <c r="H194" i="43"/>
  <c r="E198" i="43"/>
  <c r="E200" i="43" s="1"/>
  <c r="D34" i="43"/>
  <c r="E6" i="43"/>
  <c r="I28" i="43"/>
  <c r="F60" i="43"/>
  <c r="I89" i="43"/>
  <c r="H89" i="43"/>
  <c r="H90" i="43" s="1"/>
  <c r="E96" i="43" s="1"/>
  <c r="H119" i="43"/>
  <c r="H120" i="43" s="1"/>
  <c r="E126" i="43" s="1"/>
  <c r="I119" i="43"/>
  <c r="H164" i="43"/>
  <c r="H165" i="43" s="1"/>
  <c r="E171" i="43" s="1"/>
  <c r="D79" i="43"/>
  <c r="E9" i="43"/>
  <c r="F75" i="43"/>
  <c r="I72" i="43"/>
  <c r="F150" i="43"/>
  <c r="H179" i="43"/>
  <c r="H180" i="43" s="1"/>
  <c r="E186" i="43" s="1"/>
  <c r="E109" i="43"/>
  <c r="H149" i="43"/>
  <c r="H150" i="43" s="1"/>
  <c r="E156" i="43" s="1"/>
  <c r="I27" i="43"/>
  <c r="I29" i="43" s="1"/>
  <c r="G27" i="43"/>
  <c r="G29" i="43" s="1"/>
  <c r="E35" i="43" s="1"/>
  <c r="G75" i="43"/>
  <c r="E80" i="43" s="1"/>
  <c r="F90" i="43"/>
  <c r="I120" i="43"/>
  <c r="E124" i="43"/>
  <c r="E127" i="43" s="1"/>
  <c r="I134" i="43"/>
  <c r="H134" i="43"/>
  <c r="H135" i="43" s="1"/>
  <c r="E141" i="43" s="1"/>
  <c r="H59" i="43"/>
  <c r="H60" i="43" s="1"/>
  <c r="E66" i="43" s="1"/>
  <c r="I44" i="43"/>
  <c r="F180" i="43"/>
  <c r="I148" i="43"/>
  <c r="F45" i="43"/>
  <c r="I102" i="43"/>
  <c r="H104" i="43"/>
  <c r="H105" i="43" s="1"/>
  <c r="E111" i="43" s="1"/>
  <c r="I117" i="43"/>
  <c r="G133" i="43"/>
  <c r="G135" i="43" s="1"/>
  <c r="E140" i="43" s="1"/>
  <c r="F135" i="43"/>
  <c r="I177" i="43"/>
  <c r="I43" i="43"/>
  <c r="I73" i="43"/>
  <c r="I87" i="43"/>
  <c r="G103" i="43"/>
  <c r="G105" i="43" s="1"/>
  <c r="E110" i="43" s="1"/>
  <c r="G118" i="43"/>
  <c r="G120" i="43" s="1"/>
  <c r="E125" i="43" s="1"/>
  <c r="I162" i="43"/>
  <c r="G178" i="43"/>
  <c r="G180" i="43" s="1"/>
  <c r="E185" i="43" s="1"/>
  <c r="F88" i="43"/>
  <c r="F163" i="43"/>
  <c r="F29" i="43"/>
  <c r="E34" i="43" s="1"/>
  <c r="E37" i="43" s="1"/>
  <c r="G58" i="43"/>
  <c r="G60" i="43" s="1"/>
  <c r="E65" i="43" s="1"/>
  <c r="G148" i="43"/>
  <c r="G150" i="43" s="1"/>
  <c r="E155" i="43" s="1"/>
  <c r="G12" i="6"/>
  <c r="G11" i="6"/>
  <c r="G10" i="6"/>
  <c r="G9" i="6"/>
  <c r="G8" i="6"/>
  <c r="G20" i="51"/>
  <c r="R23" i="51"/>
  <c r="N103" i="51"/>
  <c r="M103" i="51"/>
  <c r="O103" i="51"/>
  <c r="E104" i="51"/>
  <c r="D104" i="51"/>
  <c r="E72" i="51"/>
  <c r="D72" i="51"/>
  <c r="O72" i="51"/>
  <c r="N72" i="51"/>
  <c r="M72" i="51"/>
  <c r="O42" i="51"/>
  <c r="N42" i="51"/>
  <c r="M42" i="51"/>
  <c r="E44" i="51"/>
  <c r="E43" i="51"/>
  <c r="E42" i="51"/>
  <c r="D44" i="51"/>
  <c r="D43" i="51"/>
  <c r="D42" i="51"/>
  <c r="O27" i="51"/>
  <c r="N27" i="51"/>
  <c r="M27" i="51"/>
  <c r="E27" i="51"/>
  <c r="E26" i="51"/>
  <c r="D27" i="51"/>
  <c r="D26" i="51"/>
  <c r="H192" i="51"/>
  <c r="I178" i="51"/>
  <c r="I149" i="51"/>
  <c r="I148" i="51"/>
  <c r="I147" i="51"/>
  <c r="I134" i="51"/>
  <c r="I133" i="51"/>
  <c r="I132" i="51"/>
  <c r="I119" i="51"/>
  <c r="I118" i="51"/>
  <c r="I117" i="51"/>
  <c r="I103" i="51"/>
  <c r="I102" i="51"/>
  <c r="I89" i="51"/>
  <c r="I88" i="51"/>
  <c r="I87" i="51"/>
  <c r="I73" i="51"/>
  <c r="I58" i="51"/>
  <c r="I57" i="51"/>
  <c r="H36" i="51"/>
  <c r="E28" i="51"/>
  <c r="D28" i="51"/>
  <c r="N6" i="40"/>
  <c r="I149" i="43" l="1"/>
  <c r="G163" i="43"/>
  <c r="G165" i="43" s="1"/>
  <c r="E170" i="43" s="1"/>
  <c r="E94" i="43"/>
  <c r="E112" i="43"/>
  <c r="G88" i="43"/>
  <c r="G90" i="43" s="1"/>
  <c r="E95" i="43" s="1"/>
  <c r="I180" i="43"/>
  <c r="E184" i="43"/>
  <c r="E187" i="43" s="1"/>
  <c r="F165" i="43"/>
  <c r="E139" i="43"/>
  <c r="E142" i="43" s="1"/>
  <c r="I135" i="43"/>
  <c r="I179" i="43"/>
  <c r="I178" i="43"/>
  <c r="I133" i="43"/>
  <c r="I104" i="43"/>
  <c r="E79" i="43"/>
  <c r="E82" i="43" s="1"/>
  <c r="I75" i="43"/>
  <c r="E64" i="43"/>
  <c r="E67" i="43" s="1"/>
  <c r="I60" i="43"/>
  <c r="I103" i="43"/>
  <c r="I118" i="43"/>
  <c r="E154" i="43"/>
  <c r="E157" i="43" s="1"/>
  <c r="I150" i="43"/>
  <c r="I164" i="43"/>
  <c r="I58" i="43"/>
  <c r="E49" i="43"/>
  <c r="E52" i="43" s="1"/>
  <c r="I45" i="43"/>
  <c r="I59" i="43"/>
  <c r="I105" i="43"/>
  <c r="I74" i="43"/>
  <c r="E29" i="6"/>
  <c r="C6" i="58"/>
  <c r="C5" i="58"/>
  <c r="I4" i="58"/>
  <c r="I2" i="58"/>
  <c r="I3" i="58"/>
  <c r="I88" i="43" l="1"/>
  <c r="I90" i="43"/>
  <c r="E97" i="43"/>
  <c r="E169" i="43"/>
  <c r="E172" i="43" s="1"/>
  <c r="I165" i="43"/>
  <c r="I163" i="43"/>
  <c r="D24" i="40"/>
  <c r="E24" i="40" s="1"/>
  <c r="F24" i="40" s="1"/>
  <c r="D23" i="40"/>
  <c r="E23" i="40" s="1"/>
  <c r="F23" i="40" s="1"/>
  <c r="D22" i="40"/>
  <c r="E22" i="40" s="1"/>
  <c r="F22" i="40" s="1"/>
  <c r="B21" i="40"/>
  <c r="D21" i="40" s="1"/>
  <c r="E21" i="40" s="1"/>
  <c r="F21" i="40" s="1"/>
  <c r="B20" i="40"/>
  <c r="D20" i="40" s="1"/>
  <c r="E20" i="40" s="1"/>
  <c r="F20" i="40" s="1"/>
  <c r="B17" i="40"/>
  <c r="D17" i="40" s="1"/>
  <c r="E17" i="40" s="1"/>
  <c r="F17" i="40" s="1"/>
  <c r="B16" i="40"/>
  <c r="B15" i="40"/>
  <c r="B14" i="40"/>
  <c r="D19" i="40"/>
  <c r="E19" i="40" s="1"/>
  <c r="F19" i="40" s="1"/>
  <c r="D18" i="40"/>
  <c r="E18" i="40" s="1"/>
  <c r="F18" i="40" s="1"/>
  <c r="D16" i="40"/>
  <c r="E16" i="40" s="1"/>
  <c r="F16" i="40" s="1"/>
  <c r="D15" i="40"/>
  <c r="E15" i="40" s="1"/>
  <c r="F15" i="40" s="1"/>
  <c r="H51" i="52"/>
  <c r="T17" i="53"/>
  <c r="S17" i="53"/>
  <c r="R17" i="53"/>
  <c r="P20" i="53"/>
  <c r="L20" i="53"/>
  <c r="K20" i="53"/>
  <c r="J20" i="53"/>
  <c r="I20" i="53"/>
  <c r="H20" i="53"/>
  <c r="G20" i="53"/>
  <c r="F20" i="53"/>
  <c r="E20" i="53"/>
  <c r="D20" i="53"/>
  <c r="C20" i="53"/>
  <c r="M12" i="53"/>
  <c r="M18" i="53"/>
  <c r="M16" i="53"/>
  <c r="J23" i="52"/>
  <c r="C199" i="51"/>
  <c r="C198" i="51"/>
  <c r="E194" i="51"/>
  <c r="F17" i="51" s="1"/>
  <c r="D194" i="51"/>
  <c r="D198" i="51" s="1"/>
  <c r="H198" i="51" s="1"/>
  <c r="F192" i="51"/>
  <c r="G191" i="51"/>
  <c r="F191" i="51"/>
  <c r="F193" i="51" s="1"/>
  <c r="C186" i="51"/>
  <c r="C185" i="51"/>
  <c r="C184" i="51"/>
  <c r="E180" i="51"/>
  <c r="F16" i="51" s="1"/>
  <c r="D180" i="51"/>
  <c r="D184" i="51" s="1"/>
  <c r="H184" i="51" s="1"/>
  <c r="F177" i="51"/>
  <c r="H176" i="51"/>
  <c r="G176" i="51"/>
  <c r="G179" i="51" s="1"/>
  <c r="F176" i="51"/>
  <c r="F178" i="51" s="1"/>
  <c r="C171" i="51"/>
  <c r="C170" i="51"/>
  <c r="C169" i="51"/>
  <c r="E165" i="51"/>
  <c r="F15" i="51" s="1"/>
  <c r="D165" i="51"/>
  <c r="D169" i="51" s="1"/>
  <c r="H169" i="51" s="1"/>
  <c r="F162" i="51"/>
  <c r="I162" i="51" s="1"/>
  <c r="H161" i="51"/>
  <c r="G161" i="51"/>
  <c r="G164" i="51" s="1"/>
  <c r="F161" i="51"/>
  <c r="F164" i="51" s="1"/>
  <c r="C156" i="51"/>
  <c r="C155" i="51"/>
  <c r="C154" i="51"/>
  <c r="E150" i="51"/>
  <c r="F14" i="51" s="1"/>
  <c r="D150" i="51"/>
  <c r="D154" i="51" s="1"/>
  <c r="H154" i="51" s="1"/>
  <c r="F147" i="51"/>
  <c r="H146" i="51"/>
  <c r="G146" i="51"/>
  <c r="G149" i="51" s="1"/>
  <c r="F146" i="51"/>
  <c r="F148" i="51" s="1"/>
  <c r="C141" i="51"/>
  <c r="C140" i="51"/>
  <c r="C139" i="51"/>
  <c r="E135" i="51"/>
  <c r="F13" i="51" s="1"/>
  <c r="D135" i="51"/>
  <c r="D139" i="51" s="1"/>
  <c r="H139" i="51" s="1"/>
  <c r="F132" i="51"/>
  <c r="H131" i="51"/>
  <c r="G131" i="51"/>
  <c r="G134" i="51" s="1"/>
  <c r="F131" i="51"/>
  <c r="F134" i="51" s="1"/>
  <c r="C126" i="51"/>
  <c r="C125" i="51"/>
  <c r="C124" i="51"/>
  <c r="E120" i="51"/>
  <c r="F12" i="51" s="1"/>
  <c r="D120" i="51"/>
  <c r="D124" i="51" s="1"/>
  <c r="H124" i="51" s="1"/>
  <c r="F117" i="51"/>
  <c r="H116" i="51"/>
  <c r="G116" i="51"/>
  <c r="G119" i="51" s="1"/>
  <c r="F116" i="51"/>
  <c r="F119" i="51" s="1"/>
  <c r="C111" i="51"/>
  <c r="C110" i="51"/>
  <c r="C109" i="51"/>
  <c r="E105" i="51"/>
  <c r="F11" i="51" s="1"/>
  <c r="D105" i="51"/>
  <c r="D109" i="51" s="1"/>
  <c r="H109" i="51" s="1"/>
  <c r="F102" i="51"/>
  <c r="H101" i="51"/>
  <c r="G101" i="51"/>
  <c r="G104" i="51" s="1"/>
  <c r="F101" i="51"/>
  <c r="F103" i="51" s="1"/>
  <c r="C96" i="51"/>
  <c r="C95" i="51"/>
  <c r="C94" i="51"/>
  <c r="E90" i="51"/>
  <c r="F10" i="51" s="1"/>
  <c r="D90" i="51"/>
  <c r="D94" i="51" s="1"/>
  <c r="H94" i="51" s="1"/>
  <c r="F87" i="51"/>
  <c r="H86" i="51"/>
  <c r="G86" i="51"/>
  <c r="G89" i="51" s="1"/>
  <c r="F86" i="51"/>
  <c r="F89" i="51" s="1"/>
  <c r="C81" i="51"/>
  <c r="C80" i="51"/>
  <c r="C79" i="51"/>
  <c r="E75" i="51"/>
  <c r="F9" i="51" s="1"/>
  <c r="D75" i="51"/>
  <c r="D79" i="51" s="1"/>
  <c r="H79" i="51" s="1"/>
  <c r="F72" i="51"/>
  <c r="I72" i="51" s="1"/>
  <c r="H71" i="51"/>
  <c r="G71" i="51"/>
  <c r="G74" i="51" s="1"/>
  <c r="F71" i="51"/>
  <c r="F73" i="51" s="1"/>
  <c r="C66" i="51"/>
  <c r="C65" i="51"/>
  <c r="C64" i="51"/>
  <c r="E60" i="51"/>
  <c r="F8" i="51" s="1"/>
  <c r="D60" i="51"/>
  <c r="D64" i="51" s="1"/>
  <c r="H64" i="51" s="1"/>
  <c r="F57" i="51"/>
  <c r="H56" i="51"/>
  <c r="G56" i="51"/>
  <c r="G59" i="51" s="1"/>
  <c r="F56" i="51"/>
  <c r="F58" i="51" s="1"/>
  <c r="C51" i="51"/>
  <c r="C50" i="51"/>
  <c r="C49" i="51"/>
  <c r="E45" i="51"/>
  <c r="F7" i="51" s="1"/>
  <c r="D45" i="51"/>
  <c r="D49" i="51" s="1"/>
  <c r="H49" i="51" s="1"/>
  <c r="F42" i="51"/>
  <c r="I42" i="51" s="1"/>
  <c r="H41" i="51"/>
  <c r="G41" i="51"/>
  <c r="G44" i="51" s="1"/>
  <c r="F41" i="51"/>
  <c r="F44" i="51" s="1"/>
  <c r="C36" i="51"/>
  <c r="C35" i="51"/>
  <c r="C34" i="51"/>
  <c r="E29" i="51"/>
  <c r="F6" i="51" s="1"/>
  <c r="D29" i="51"/>
  <c r="D34" i="51" s="1"/>
  <c r="H34" i="51" s="1"/>
  <c r="F26" i="51"/>
  <c r="H25" i="51"/>
  <c r="G25" i="51"/>
  <c r="G28" i="51" s="1"/>
  <c r="F25" i="51"/>
  <c r="F28" i="51" s="1"/>
  <c r="E14" i="51" l="1"/>
  <c r="E16" i="51"/>
  <c r="E17" i="51"/>
  <c r="E15" i="51"/>
  <c r="E13" i="51"/>
  <c r="E12" i="51"/>
  <c r="E7" i="51"/>
  <c r="E10" i="51"/>
  <c r="E8" i="51"/>
  <c r="E11" i="51"/>
  <c r="E6" i="51"/>
  <c r="E9" i="51"/>
  <c r="F194" i="51"/>
  <c r="E198" i="51" s="1"/>
  <c r="G193" i="51"/>
  <c r="G194" i="51" s="1"/>
  <c r="E199" i="51" s="1"/>
  <c r="H199" i="51" s="1"/>
  <c r="H200" i="51" s="1"/>
  <c r="G17" i="51" s="1"/>
  <c r="F74" i="51"/>
  <c r="F75" i="51" s="1"/>
  <c r="F163" i="51"/>
  <c r="G163" i="51" s="1"/>
  <c r="F133" i="51"/>
  <c r="G133" i="51" s="1"/>
  <c r="G135" i="51" s="1"/>
  <c r="E140" i="51" s="1"/>
  <c r="H140" i="51" s="1"/>
  <c r="F118" i="51"/>
  <c r="G118" i="51" s="1"/>
  <c r="G120" i="51" s="1"/>
  <c r="E125" i="51" s="1"/>
  <c r="H125" i="51" s="1"/>
  <c r="F88" i="51"/>
  <c r="G88" i="51" s="1"/>
  <c r="G178" i="51"/>
  <c r="G180" i="51" s="1"/>
  <c r="E185" i="51" s="1"/>
  <c r="H185" i="51" s="1"/>
  <c r="I177" i="51"/>
  <c r="F179" i="51"/>
  <c r="F180" i="51" s="1"/>
  <c r="H164" i="51"/>
  <c r="H165" i="51" s="1"/>
  <c r="E171" i="51" s="1"/>
  <c r="H171" i="51" s="1"/>
  <c r="G148" i="51"/>
  <c r="G150" i="51" s="1"/>
  <c r="E155" i="51" s="1"/>
  <c r="H155" i="51" s="1"/>
  <c r="F149" i="51"/>
  <c r="H134" i="51"/>
  <c r="H135" i="51" s="1"/>
  <c r="E141" i="51" s="1"/>
  <c r="H141" i="51" s="1"/>
  <c r="F135" i="51"/>
  <c r="H119" i="51"/>
  <c r="H120" i="51" s="1"/>
  <c r="E126" i="51" s="1"/>
  <c r="H126" i="51" s="1"/>
  <c r="G103" i="51"/>
  <c r="G105" i="51" s="1"/>
  <c r="E110" i="51" s="1"/>
  <c r="H110" i="51" s="1"/>
  <c r="F104" i="51"/>
  <c r="H89" i="51"/>
  <c r="G73" i="51"/>
  <c r="G75" i="51" s="1"/>
  <c r="E80" i="51" s="1"/>
  <c r="H80" i="51" s="1"/>
  <c r="H74" i="51"/>
  <c r="H75" i="51" s="1"/>
  <c r="E81" i="51" s="1"/>
  <c r="H81" i="51" s="1"/>
  <c r="G58" i="51"/>
  <c r="G60" i="51" s="1"/>
  <c r="E65" i="51" s="1"/>
  <c r="H65" i="51" s="1"/>
  <c r="F59" i="51"/>
  <c r="F60" i="51" s="1"/>
  <c r="F43" i="51"/>
  <c r="F27" i="51"/>
  <c r="G27" i="51" s="1"/>
  <c r="G29" i="51" s="1"/>
  <c r="E35" i="51" s="1"/>
  <c r="H35" i="51" s="1"/>
  <c r="H28" i="51"/>
  <c r="H29" i="51" s="1"/>
  <c r="E36" i="51" s="1"/>
  <c r="H44" i="51"/>
  <c r="H45" i="51" s="1"/>
  <c r="E51" i="51" s="1"/>
  <c r="H51" i="51" s="1"/>
  <c r="I26" i="51"/>
  <c r="F105" i="51" l="1"/>
  <c r="I104" i="51"/>
  <c r="I44" i="51"/>
  <c r="G43" i="51"/>
  <c r="G45" i="51" s="1"/>
  <c r="E50" i="51" s="1"/>
  <c r="H50" i="51" s="1"/>
  <c r="H52" i="51" s="1"/>
  <c r="G7" i="51" s="1"/>
  <c r="I43" i="51"/>
  <c r="H193" i="51"/>
  <c r="E200" i="51"/>
  <c r="H194" i="51"/>
  <c r="H142" i="51"/>
  <c r="G13" i="51" s="1"/>
  <c r="F90" i="51"/>
  <c r="E94" i="51" s="1"/>
  <c r="I164" i="51"/>
  <c r="G165" i="51"/>
  <c r="E170" i="51" s="1"/>
  <c r="H170" i="51" s="1"/>
  <c r="H172" i="51" s="1"/>
  <c r="G15" i="51" s="1"/>
  <c r="I163" i="51"/>
  <c r="F165" i="51"/>
  <c r="E169" i="51" s="1"/>
  <c r="H127" i="51"/>
  <c r="G12" i="51" s="1"/>
  <c r="F120" i="51"/>
  <c r="E124" i="51" s="1"/>
  <c r="E127" i="51" s="1"/>
  <c r="G90" i="51"/>
  <c r="E95" i="51" s="1"/>
  <c r="H95" i="51" s="1"/>
  <c r="H82" i="51"/>
  <c r="G9" i="51" s="1"/>
  <c r="E184" i="51"/>
  <c r="H179" i="51"/>
  <c r="H180" i="51" s="1"/>
  <c r="E186" i="51" s="1"/>
  <c r="H186" i="51" s="1"/>
  <c r="H187" i="51" s="1"/>
  <c r="G16" i="51" s="1"/>
  <c r="H149" i="51"/>
  <c r="H150" i="51" s="1"/>
  <c r="E156" i="51" s="1"/>
  <c r="H156" i="51" s="1"/>
  <c r="H157" i="51" s="1"/>
  <c r="G14" i="51" s="1"/>
  <c r="F150" i="51"/>
  <c r="E139" i="51"/>
  <c r="E142" i="51" s="1"/>
  <c r="I135" i="51"/>
  <c r="H104" i="51"/>
  <c r="H105" i="51" s="1"/>
  <c r="E111" i="51" s="1"/>
  <c r="H111" i="51" s="1"/>
  <c r="H112" i="51" s="1"/>
  <c r="G11" i="51" s="1"/>
  <c r="E109" i="51"/>
  <c r="H90" i="51"/>
  <c r="E96" i="51" s="1"/>
  <c r="H96" i="51" s="1"/>
  <c r="E79" i="51"/>
  <c r="E82" i="51" s="1"/>
  <c r="I75" i="51"/>
  <c r="I74" i="51"/>
  <c r="F45" i="51"/>
  <c r="E49" i="51" s="1"/>
  <c r="E52" i="51" s="1"/>
  <c r="H59" i="51"/>
  <c r="H60" i="51" s="1"/>
  <c r="E66" i="51" s="1"/>
  <c r="H66" i="51" s="1"/>
  <c r="H67" i="51" s="1"/>
  <c r="G8" i="51" s="1"/>
  <c r="E64" i="51"/>
  <c r="H37" i="51"/>
  <c r="G6" i="51" s="1"/>
  <c r="I27" i="51"/>
  <c r="F29" i="51"/>
  <c r="E34" i="51" s="1"/>
  <c r="E37" i="51" s="1"/>
  <c r="I28" i="51"/>
  <c r="H97" i="51" l="1"/>
  <c r="G10" i="51" s="1"/>
  <c r="G19" i="51" s="1"/>
  <c r="G21" i="51" s="1"/>
  <c r="E6" i="6" s="1"/>
  <c r="I45" i="51"/>
  <c r="E172" i="51"/>
  <c r="I165" i="51"/>
  <c r="I120" i="51"/>
  <c r="E112" i="51"/>
  <c r="I105" i="51"/>
  <c r="E97" i="51"/>
  <c r="I179" i="51"/>
  <c r="E187" i="51"/>
  <c r="I180" i="51"/>
  <c r="E154" i="51"/>
  <c r="E157" i="51" s="1"/>
  <c r="I150" i="51"/>
  <c r="I90" i="51"/>
  <c r="E67" i="51"/>
  <c r="I59" i="51"/>
  <c r="I60" i="51"/>
  <c r="I29" i="51"/>
  <c r="D43" i="6" l="1"/>
  <c r="G36" i="6"/>
  <c r="E60" i="6" l="1"/>
  <c r="G60" i="6" s="1"/>
  <c r="G8" i="56" s="1"/>
  <c r="G24" i="56" l="1"/>
  <c r="G59" i="6"/>
  <c r="P52" i="49" l="1"/>
  <c r="J29" i="52" l="1"/>
  <c r="M28" i="53" l="1"/>
  <c r="E28" i="49" l="1"/>
  <c r="K63" i="49"/>
  <c r="D28" i="49" l="1"/>
  <c r="D14" i="40"/>
  <c r="E14" i="40" s="1"/>
  <c r="F14" i="40" s="1"/>
  <c r="H61" i="49"/>
  <c r="K61" i="49" s="1"/>
  <c r="H60" i="49"/>
  <c r="K60" i="49" s="1"/>
  <c r="H59" i="49"/>
  <c r="K59" i="49" s="1"/>
  <c r="H58" i="49"/>
  <c r="K58" i="49" s="1"/>
  <c r="B2" i="51" l="1"/>
  <c r="C5" i="52"/>
  <c r="B5" i="53"/>
  <c r="G35" i="6" l="1"/>
  <c r="G32" i="6"/>
  <c r="J31" i="52"/>
  <c r="K31" i="52" s="1"/>
  <c r="M30" i="53"/>
  <c r="G21" i="56" s="1"/>
  <c r="B2" i="43" l="1"/>
  <c r="F40" i="52"/>
  <c r="B42" i="40"/>
  <c r="B26" i="40"/>
  <c r="F34" i="40"/>
  <c r="F33" i="40"/>
  <c r="F32" i="40"/>
  <c r="F31" i="40"/>
  <c r="D13" i="40"/>
  <c r="E13" i="40" s="1"/>
  <c r="F13" i="40" s="1"/>
  <c r="D12" i="40"/>
  <c r="E12" i="40" s="1"/>
  <c r="F12" i="40" s="1"/>
  <c r="D11" i="40"/>
  <c r="E11" i="40" s="1"/>
  <c r="F11" i="40" s="1"/>
  <c r="D10" i="40"/>
  <c r="E10" i="40" s="1"/>
  <c r="F10" i="40" s="1"/>
  <c r="D9" i="40"/>
  <c r="E9" i="40" s="1"/>
  <c r="F9" i="40" s="1"/>
  <c r="D8" i="40"/>
  <c r="E8" i="40" s="1"/>
  <c r="F8" i="40" s="1"/>
  <c r="D7" i="40"/>
  <c r="E7" i="40" s="1"/>
  <c r="F7" i="40" s="1"/>
  <c r="D6" i="40"/>
  <c r="E6" i="40" s="1"/>
  <c r="E9" i="42"/>
  <c r="C14" i="55"/>
  <c r="D13" i="6"/>
  <c r="G23" i="56" l="1"/>
  <c r="G6" i="56"/>
  <c r="G58" i="6" s="1"/>
  <c r="D14" i="55" l="1"/>
  <c r="D16" i="55" s="1"/>
  <c r="C9" i="55"/>
  <c r="E25" i="6" l="1"/>
  <c r="G25" i="6" s="1"/>
  <c r="E26" i="6"/>
  <c r="G30" i="6"/>
  <c r="K5" i="49"/>
  <c r="F42" i="40"/>
  <c r="F52" i="40" s="1"/>
  <c r="C54" i="40" s="1"/>
  <c r="C57" i="40" s="1"/>
  <c r="E22" i="6" s="1"/>
  <c r="K34" i="49" l="1"/>
  <c r="M17" i="53" l="1"/>
  <c r="M15" i="53"/>
  <c r="M14" i="53"/>
  <c r="M20" i="53" s="1"/>
  <c r="M13" i="53"/>
  <c r="H40" i="52"/>
  <c r="J38" i="52"/>
  <c r="K38" i="52" s="1"/>
  <c r="J34" i="52"/>
  <c r="K34" i="52" s="1"/>
  <c r="J30" i="52"/>
  <c r="K30" i="52" s="1"/>
  <c r="K29" i="52"/>
  <c r="J28" i="52"/>
  <c r="K28" i="52" s="1"/>
  <c r="J27" i="52"/>
  <c r="K27" i="52" s="1"/>
  <c r="J26" i="52"/>
  <c r="K26" i="52" s="1"/>
  <c r="J25" i="52"/>
  <c r="K25" i="52" s="1"/>
  <c r="J24" i="52"/>
  <c r="K24" i="52" s="1"/>
  <c r="K23" i="52"/>
  <c r="J20" i="52"/>
  <c r="K20" i="52" s="1"/>
  <c r="J19" i="52"/>
  <c r="K19" i="52" s="1"/>
  <c r="J18" i="52"/>
  <c r="K18" i="52" s="1"/>
  <c r="J15" i="52"/>
  <c r="K15" i="52" s="1"/>
  <c r="J14" i="52"/>
  <c r="K14" i="52" s="1"/>
  <c r="J13" i="52"/>
  <c r="K13" i="52" s="1"/>
  <c r="J12" i="52"/>
  <c r="K12" i="52" s="1"/>
  <c r="J11" i="52"/>
  <c r="K11" i="52" s="1"/>
  <c r="M23" i="53" l="1"/>
  <c r="M25" i="53" s="1"/>
  <c r="G4" i="56" s="1"/>
  <c r="G56" i="6" s="1"/>
  <c r="K40" i="52"/>
  <c r="E46" i="6" s="1"/>
  <c r="J40" i="52"/>
  <c r="G3" i="56" l="1"/>
  <c r="G55" i="6" s="1"/>
  <c r="P25" i="53"/>
  <c r="C4" i="42"/>
  <c r="C6" i="2"/>
  <c r="H57" i="49" l="1"/>
  <c r="G33" i="6"/>
  <c r="H28" i="49" l="1"/>
  <c r="I28" i="49"/>
  <c r="K57" i="49"/>
  <c r="K62" i="49" s="1"/>
  <c r="G42" i="6"/>
  <c r="G41" i="6"/>
  <c r="G39" i="6"/>
  <c r="G37" i="6"/>
  <c r="G34" i="6"/>
  <c r="G26" i="6"/>
  <c r="G7" i="6"/>
  <c r="K64" i="49" l="1"/>
  <c r="E20" i="6" s="1"/>
  <c r="G20" i="6" s="1"/>
  <c r="K38" i="49"/>
  <c r="K45" i="49" l="1"/>
  <c r="K47" i="49" s="1"/>
  <c r="E23" i="6" s="1"/>
  <c r="G24" i="6" l="1"/>
  <c r="G40" i="6"/>
  <c r="D48" i="6" l="1"/>
  <c r="D50" i="6" s="1"/>
  <c r="G63" i="6" l="1"/>
  <c r="G6" i="6" l="1"/>
  <c r="G13" i="6" s="1"/>
  <c r="E13" i="6"/>
  <c r="G10" i="56" l="1"/>
  <c r="G26" i="56" s="1"/>
  <c r="G62" i="6" l="1"/>
  <c r="K33" i="49"/>
  <c r="K35" i="49" s="1"/>
  <c r="E18" i="6" s="1"/>
  <c r="G19" i="6" s="1"/>
  <c r="K37" i="49"/>
  <c r="K39" i="49" l="1"/>
  <c r="K41" i="49" s="1"/>
  <c r="K43" i="49" s="1"/>
  <c r="E47" i="6" s="1"/>
  <c r="G47" i="6" s="1"/>
  <c r="E43" i="6"/>
  <c r="G43" i="6"/>
  <c r="E48" i="6" l="1"/>
  <c r="G48" i="6"/>
  <c r="G50" i="6" s="1"/>
  <c r="G18" i="56" l="1"/>
  <c r="G20" i="56" s="1"/>
  <c r="G22" i="56" s="1"/>
  <c r="G25" i="56" s="1"/>
  <c r="G28" i="56" s="1"/>
  <c r="G29" i="56" s="1"/>
  <c r="G2" i="56"/>
  <c r="G5" i="56" l="1"/>
  <c r="G57" i="6" s="1"/>
  <c r="G54" i="6"/>
  <c r="G9" i="56" l="1"/>
  <c r="G61" i="6" s="1"/>
  <c r="G20" i="43" s="1"/>
  <c r="G12" i="56" l="1"/>
  <c r="G64" i="6" s="1"/>
  <c r="G13" i="56" l="1"/>
  <c r="H55" i="2" l="1"/>
  <c r="H41" i="2"/>
  <c r="H29" i="2"/>
  <c r="H10" i="2"/>
  <c r="H54" i="2"/>
  <c r="H40" i="2"/>
  <c r="H26" i="2"/>
  <c r="H51" i="2"/>
  <c r="H25" i="2"/>
  <c r="H31" i="2"/>
  <c r="H15" i="2"/>
  <c r="H39" i="2"/>
  <c r="H64" i="2"/>
  <c r="H50" i="2"/>
  <c r="H36" i="2"/>
  <c r="H24" i="2"/>
  <c r="H59" i="2"/>
  <c r="H19" i="2"/>
  <c r="H30" i="2"/>
  <c r="H61" i="2"/>
  <c r="H49" i="2"/>
  <c r="H35" i="2"/>
  <c r="H21" i="2"/>
  <c r="H60" i="2"/>
  <c r="H46" i="2"/>
  <c r="H34" i="2"/>
  <c r="H20" i="2"/>
  <c r="H45" i="2"/>
  <c r="H44" i="2"/>
  <c r="Q15" i="42" s="1"/>
  <c r="H65" i="2"/>
  <c r="H56" i="2"/>
  <c r="H9" i="2"/>
  <c r="H14" i="2"/>
  <c r="H11" i="2"/>
  <c r="F36" i="43" s="1"/>
  <c r="H36" i="43" s="1"/>
  <c r="H16" i="2"/>
  <c r="G65" i="6"/>
  <c r="Q19" i="42" l="1"/>
  <c r="S19" i="42" s="1"/>
  <c r="Q17" i="42"/>
  <c r="R17" i="42" s="1"/>
  <c r="F17" i="42"/>
  <c r="G17" i="42" s="1"/>
  <c r="H17" i="42" s="1"/>
  <c r="F16" i="42"/>
  <c r="G16" i="42" s="1"/>
  <c r="H16" i="42" s="1"/>
  <c r="Q11" i="42"/>
  <c r="Q16" i="42"/>
  <c r="F18" i="42"/>
  <c r="G18" i="42" s="1"/>
  <c r="H18" i="42" s="1"/>
  <c r="Q12" i="42"/>
  <c r="Q10" i="42"/>
  <c r="F34" i="43"/>
  <c r="H34" i="43" s="1"/>
  <c r="F12" i="42"/>
  <c r="G12" i="42" s="1"/>
  <c r="H12" i="42" s="1"/>
  <c r="Q8" i="42"/>
  <c r="F11" i="42"/>
  <c r="G11" i="42" s="1"/>
  <c r="H11" i="42" s="1"/>
  <c r="F10" i="42"/>
  <c r="G10" i="42" s="1"/>
  <c r="H10" i="42" s="1"/>
  <c r="R15" i="42"/>
  <c r="S15" i="42"/>
  <c r="Q14" i="42"/>
  <c r="F23" i="42"/>
  <c r="G23" i="42" s="1"/>
  <c r="H23" i="42" s="1"/>
  <c r="F22" i="42"/>
  <c r="G22" i="42" s="1"/>
  <c r="H22" i="42" s="1"/>
  <c r="F21" i="42"/>
  <c r="G21" i="42" s="1"/>
  <c r="H21" i="42" s="1"/>
  <c r="F20" i="42"/>
  <c r="G20" i="42" s="1"/>
  <c r="H20" i="42" s="1"/>
  <c r="Q13" i="42"/>
  <c r="F49" i="43"/>
  <c r="H49" i="43" s="1"/>
  <c r="F14" i="42"/>
  <c r="G14" i="42" s="1"/>
  <c r="H14" i="42" s="1"/>
  <c r="F13" i="42"/>
  <c r="G13" i="42" s="1"/>
  <c r="H13" i="42" s="1"/>
  <c r="Q9" i="42"/>
  <c r="F15" i="42"/>
  <c r="G15" i="42" s="1"/>
  <c r="H15" i="42" s="1"/>
  <c r="Q18" i="42"/>
  <c r="J51" i="2"/>
  <c r="K51" i="2" s="1"/>
  <c r="F156" i="43"/>
  <c r="H156" i="43" s="1"/>
  <c r="J26" i="2"/>
  <c r="K26" i="2" s="1"/>
  <c r="F81" i="43"/>
  <c r="H81" i="43" s="1"/>
  <c r="J65" i="2"/>
  <c r="K65" i="2" s="1"/>
  <c r="F199" i="43"/>
  <c r="H199" i="43" s="1"/>
  <c r="J50" i="2"/>
  <c r="K50" i="2" s="1"/>
  <c r="F155" i="43"/>
  <c r="H155" i="43" s="1"/>
  <c r="J40" i="2"/>
  <c r="K40" i="2" s="1"/>
  <c r="F125" i="43"/>
  <c r="H125" i="43" s="1"/>
  <c r="J60" i="2"/>
  <c r="K60" i="2" s="1"/>
  <c r="F185" i="43"/>
  <c r="H185" i="43" s="1"/>
  <c r="J35" i="2"/>
  <c r="K35" i="2" s="1"/>
  <c r="F110" i="43"/>
  <c r="H110" i="43" s="1"/>
  <c r="J44" i="2"/>
  <c r="K44" i="2" s="1"/>
  <c r="F139" i="43"/>
  <c r="H139" i="43" s="1"/>
  <c r="J49" i="2"/>
  <c r="K49" i="2" s="1"/>
  <c r="F154" i="43"/>
  <c r="H154" i="43" s="1"/>
  <c r="J64" i="2"/>
  <c r="K64" i="2" s="1"/>
  <c r="F198" i="43"/>
  <c r="H198" i="43" s="1"/>
  <c r="J54" i="2"/>
  <c r="K54" i="2" s="1"/>
  <c r="F169" i="43"/>
  <c r="H169" i="43" s="1"/>
  <c r="J21" i="2"/>
  <c r="K21" i="2" s="1"/>
  <c r="F66" i="43"/>
  <c r="H66" i="43" s="1"/>
  <c r="J16" i="2"/>
  <c r="K16" i="2" s="1"/>
  <c r="F51" i="43"/>
  <c r="H51" i="43" s="1"/>
  <c r="J10" i="2"/>
  <c r="K10" i="2" s="1"/>
  <c r="F35" i="43"/>
  <c r="H35" i="43" s="1"/>
  <c r="J56" i="2"/>
  <c r="K56" i="2" s="1"/>
  <c r="F171" i="43"/>
  <c r="H171" i="43" s="1"/>
  <c r="J29" i="2"/>
  <c r="K29" i="2" s="1"/>
  <c r="F94" i="43"/>
  <c r="H94" i="43" s="1"/>
  <c r="J36" i="2"/>
  <c r="K36" i="2" s="1"/>
  <c r="F111" i="43"/>
  <c r="H111" i="43" s="1"/>
  <c r="J30" i="2"/>
  <c r="K30" i="2" s="1"/>
  <c r="F95" i="43"/>
  <c r="H95" i="43" s="1"/>
  <c r="J34" i="2"/>
  <c r="K34" i="2" s="1"/>
  <c r="F109" i="43"/>
  <c r="H109" i="43" s="1"/>
  <c r="J19" i="2"/>
  <c r="K19" i="2" s="1"/>
  <c r="F64" i="43"/>
  <c r="H64" i="43" s="1"/>
  <c r="J41" i="2"/>
  <c r="K41" i="2" s="1"/>
  <c r="F126" i="43"/>
  <c r="H126" i="43" s="1"/>
  <c r="J24" i="2"/>
  <c r="K24" i="2" s="1"/>
  <c r="F79" i="43"/>
  <c r="H79" i="43" s="1"/>
  <c r="J45" i="2"/>
  <c r="K45" i="2" s="1"/>
  <c r="F140" i="43"/>
  <c r="H140" i="43" s="1"/>
  <c r="J61" i="2"/>
  <c r="K61" i="2" s="1"/>
  <c r="F186" i="43"/>
  <c r="H186" i="43" s="1"/>
  <c r="J39" i="2"/>
  <c r="K39" i="2" s="1"/>
  <c r="F124" i="43"/>
  <c r="H124" i="43" s="1"/>
  <c r="J20" i="2"/>
  <c r="K20" i="2" s="1"/>
  <c r="F65" i="43"/>
  <c r="H65" i="43" s="1"/>
  <c r="J15" i="2"/>
  <c r="K15" i="2" s="1"/>
  <c r="F50" i="43"/>
  <c r="H50" i="43" s="1"/>
  <c r="J31" i="2"/>
  <c r="K31" i="2" s="1"/>
  <c r="F96" i="43"/>
  <c r="H96" i="43" s="1"/>
  <c r="J46" i="2"/>
  <c r="K46" i="2" s="1"/>
  <c r="F141" i="43"/>
  <c r="H141" i="43" s="1"/>
  <c r="J59" i="2"/>
  <c r="K59" i="2" s="1"/>
  <c r="F184" i="43"/>
  <c r="H184" i="43" s="1"/>
  <c r="J25" i="2"/>
  <c r="K25" i="2" s="1"/>
  <c r="F80" i="43"/>
  <c r="H80" i="43" s="1"/>
  <c r="J55" i="2"/>
  <c r="K55" i="2" s="1"/>
  <c r="F170" i="43"/>
  <c r="H170" i="43" s="1"/>
  <c r="J14" i="2"/>
  <c r="K14" i="2" s="1"/>
  <c r="F19" i="42"/>
  <c r="G19" i="42" s="1"/>
  <c r="H19" i="42" s="1"/>
  <c r="J11" i="2"/>
  <c r="K11" i="2" s="1"/>
  <c r="F9" i="42"/>
  <c r="G9" i="42" s="1"/>
  <c r="H9" i="42" s="1"/>
  <c r="J9" i="2"/>
  <c r="K9" i="2" s="1"/>
  <c r="R19" i="42" l="1"/>
  <c r="S17" i="42"/>
  <c r="H37" i="43"/>
  <c r="G6" i="43" s="1"/>
  <c r="H127" i="43"/>
  <c r="G12" i="43" s="1"/>
  <c r="R13" i="42"/>
  <c r="S13" i="42"/>
  <c r="S12" i="42"/>
  <c r="R12" i="42"/>
  <c r="R18" i="42"/>
  <c r="S18" i="42"/>
  <c r="S16" i="42"/>
  <c r="R16" i="42"/>
  <c r="S9" i="42"/>
  <c r="R9" i="42"/>
  <c r="H52" i="43"/>
  <c r="G7" i="43" s="1"/>
  <c r="S14" i="42"/>
  <c r="R14" i="42"/>
  <c r="S10" i="42"/>
  <c r="R10" i="42"/>
  <c r="S11" i="42"/>
  <c r="R11" i="42"/>
  <c r="H112" i="43"/>
  <c r="G11" i="43" s="1"/>
  <c r="H97" i="43"/>
  <c r="G10" i="43" s="1"/>
  <c r="H157" i="43"/>
  <c r="G14" i="43" s="1"/>
  <c r="H187" i="43"/>
  <c r="G16" i="43" s="1"/>
  <c r="H200" i="43"/>
  <c r="G17" i="43" s="1"/>
  <c r="H172" i="43"/>
  <c r="G15" i="43" s="1"/>
  <c r="H82" i="43"/>
  <c r="G9" i="43" s="1"/>
  <c r="H67" i="43"/>
  <c r="G8" i="43" s="1"/>
  <c r="H142" i="43"/>
  <c r="G13" i="43" s="1"/>
  <c r="S8" i="42"/>
  <c r="R8" i="42"/>
  <c r="G19" i="43" l="1"/>
  <c r="G21" i="43" s="1"/>
  <c r="O7" i="43"/>
</calcChain>
</file>

<file path=xl/sharedStrings.xml><?xml version="1.0" encoding="utf-8"?>
<sst xmlns="http://schemas.openxmlformats.org/spreadsheetml/2006/main" count="1362" uniqueCount="399">
  <si>
    <t>Total Operating Expenses</t>
  </si>
  <si>
    <t>Taxes Other Than Income</t>
  </si>
  <si>
    <t>Salaries and Wages - Employees</t>
  </si>
  <si>
    <t>Salaries and Wages - Officers</t>
  </si>
  <si>
    <t>Employee Pensions and Benefits</t>
  </si>
  <si>
    <t>Purchased Water</t>
  </si>
  <si>
    <t>Purchased Power</t>
  </si>
  <si>
    <t>Materials and Supplies</t>
  </si>
  <si>
    <t>Miscellaneous Expenses</t>
  </si>
  <si>
    <t>Transportation Expenses</t>
  </si>
  <si>
    <t>Proposed</t>
  </si>
  <si>
    <t>Total</t>
  </si>
  <si>
    <t>Gallons</t>
  </si>
  <si>
    <t>Operating Revenues</t>
  </si>
  <si>
    <t>Sales for Resale</t>
  </si>
  <si>
    <t>Other Water Revenues:</t>
  </si>
  <si>
    <t>Total Operating Revenues</t>
  </si>
  <si>
    <t>Operating Expenses</t>
  </si>
  <si>
    <t>Depreciation Expense</t>
  </si>
  <si>
    <t>Plus:</t>
  </si>
  <si>
    <t>Less:</t>
  </si>
  <si>
    <t>Other Operating Revenue</t>
  </si>
  <si>
    <t>Existing</t>
  </si>
  <si>
    <t>Change</t>
  </si>
  <si>
    <t>1"</t>
  </si>
  <si>
    <t>2"</t>
  </si>
  <si>
    <t>Table A</t>
  </si>
  <si>
    <t>SCHEDULE OF ADJUSTED OPERATIONS</t>
  </si>
  <si>
    <t>Test Year</t>
  </si>
  <si>
    <t>Adjustments</t>
  </si>
  <si>
    <t>Ref.</t>
  </si>
  <si>
    <t>Proforma</t>
  </si>
  <si>
    <t>Operation and Maintenance</t>
  </si>
  <si>
    <t>Total Operation and Mnt. Expenses</t>
  </si>
  <si>
    <t>Total Utility Operating Income</t>
  </si>
  <si>
    <t>Pro Forma Operating Expenses</t>
  </si>
  <si>
    <t>Adjustment</t>
  </si>
  <si>
    <t>Forfeited Discounts</t>
  </si>
  <si>
    <t>DEPRECIATION EXPENSE ADJUSTMENTS</t>
  </si>
  <si>
    <t>Depreciation</t>
  </si>
  <si>
    <t>Date in</t>
  </si>
  <si>
    <t>Original</t>
  </si>
  <si>
    <t>Expense</t>
  </si>
  <si>
    <t>Service</t>
  </si>
  <si>
    <t>Life</t>
  </si>
  <si>
    <t>Depr. Exp.</t>
  </si>
  <si>
    <t>SUMMARY</t>
  </si>
  <si>
    <t>USAGE</t>
  </si>
  <si>
    <t>BILLS</t>
  </si>
  <si>
    <t>GALLONS</t>
  </si>
  <si>
    <t>TOTAL</t>
  </si>
  <si>
    <t>RATE</t>
  </si>
  <si>
    <t>REVENUE</t>
  </si>
  <si>
    <t>CURRENT AND PROPOSED RATES</t>
  </si>
  <si>
    <t>Insurance - Other</t>
  </si>
  <si>
    <t>Bad Debt</t>
  </si>
  <si>
    <t>Revenue Required From Sales of Water</t>
  </si>
  <si>
    <t>Revenue from Sales with Present Rates</t>
  </si>
  <si>
    <t>Total Revenue Requirement</t>
  </si>
  <si>
    <t>Required Revenue Increase</t>
  </si>
  <si>
    <t>Percent Increase</t>
  </si>
  <si>
    <t>various</t>
  </si>
  <si>
    <t>Meter</t>
  </si>
  <si>
    <t>Difference</t>
  </si>
  <si>
    <t>Bill</t>
  </si>
  <si>
    <t>Percentage</t>
  </si>
  <si>
    <t>Size</t>
  </si>
  <si>
    <t>EXISTING AND PROPOSED BILLS</t>
  </si>
  <si>
    <t>MONTHLY</t>
  </si>
  <si>
    <t>EMPLOYEE</t>
  </si>
  <si>
    <t xml:space="preserve">WATER DIST </t>
  </si>
  <si>
    <t>PREMIUM</t>
  </si>
  <si>
    <t>ANNUAL</t>
  </si>
  <si>
    <t>Medical Insurance Adjustment</t>
  </si>
  <si>
    <t>CONTRIB</t>
  </si>
  <si>
    <t>CONTRIB %</t>
  </si>
  <si>
    <t>TOTALS</t>
  </si>
  <si>
    <t>per Month*</t>
  </si>
  <si>
    <t>* Highlighted usage represents the average residential bill.</t>
  </si>
  <si>
    <t>Chemicals</t>
  </si>
  <si>
    <t>Salaries &amp; Wages and Associated Adjustments</t>
  </si>
  <si>
    <t>Pro Forma</t>
  </si>
  <si>
    <t xml:space="preserve">Pro Forma </t>
  </si>
  <si>
    <t>Employee</t>
  </si>
  <si>
    <t>Reg. Hrs</t>
  </si>
  <si>
    <t>O. T. Hours</t>
  </si>
  <si>
    <t>Wage Rate</t>
  </si>
  <si>
    <t>Reg. Wages</t>
  </si>
  <si>
    <t>O. T. Wages</t>
  </si>
  <si>
    <t>Wages</t>
  </si>
  <si>
    <t>Pro Forma Salaries &amp; Wages Expense</t>
  </si>
  <si>
    <t>Less: Test Year Salaries &amp; Wages Exp</t>
  </si>
  <si>
    <t>Pro Forma Salaries &amp; Wages Adj'mt</t>
  </si>
  <si>
    <t xml:space="preserve"> </t>
  </si>
  <si>
    <t>Pro Forma Salaries and Wages Expense</t>
  </si>
  <si>
    <t>Times: 7.65 Percent FICA Rate</t>
  </si>
  <si>
    <t>Pro Forma Payroll Taxes</t>
  </si>
  <si>
    <t>Less: Test Year Payroll Taxes</t>
  </si>
  <si>
    <t>Payroll Tax Adjustment</t>
  </si>
  <si>
    <t>Total Pro Forma Pension Contribution</t>
  </si>
  <si>
    <t>Less: Test Year Pension Contribution</t>
  </si>
  <si>
    <t>Pension &amp; Benefits Adjustment</t>
  </si>
  <si>
    <t>per month</t>
  </si>
  <si>
    <t>1 Inch Meter</t>
  </si>
  <si>
    <t>2 Inch Meter</t>
  </si>
  <si>
    <t>COMPONENT</t>
  </si>
  <si>
    <t>1 INCH METER</t>
  </si>
  <si>
    <t>2 INCH METER</t>
  </si>
  <si>
    <t>Medical Adjustment</t>
  </si>
  <si>
    <t>Reported</t>
  </si>
  <si>
    <t>Asset</t>
  </si>
  <si>
    <t>Cost *</t>
  </si>
  <si>
    <t>General Plant</t>
  </si>
  <si>
    <t>Structures &amp; Improvements</t>
  </si>
  <si>
    <t>varies</t>
  </si>
  <si>
    <t>Communication &amp; Computer Eqmt.</t>
  </si>
  <si>
    <t>Office Furniture &amp; Equipment</t>
  </si>
  <si>
    <t>Power Operated Equipment</t>
  </si>
  <si>
    <t>Tools, Shop, &amp; Garage Equipment</t>
  </si>
  <si>
    <t>Pumping Plant</t>
  </si>
  <si>
    <t>Telemetry</t>
  </si>
  <si>
    <t>Pumping Equipment</t>
  </si>
  <si>
    <t>Transmission &amp; Distribution Plant</t>
  </si>
  <si>
    <t>Hydrants</t>
  </si>
  <si>
    <t>Transmission &amp; Distribution Mains</t>
  </si>
  <si>
    <t>Meter Installations</t>
  </si>
  <si>
    <t>Meter Change-outs</t>
  </si>
  <si>
    <t>Pump Equipment</t>
  </si>
  <si>
    <t>Tank Fence</t>
  </si>
  <si>
    <t>Services</t>
  </si>
  <si>
    <t>Reservoirs &amp; Tanks</t>
  </si>
  <si>
    <t>Transportation Equipment</t>
  </si>
  <si>
    <t>Entire Group</t>
  </si>
  <si>
    <t>Water Treatment Plant</t>
  </si>
  <si>
    <t xml:space="preserve">              *  Includes only costs associated with assets that contributed to depreciation expense in the test year.</t>
  </si>
  <si>
    <t>Table B</t>
  </si>
  <si>
    <t>DEBT SERVICE SCHDULE</t>
  </si>
  <si>
    <t>CY 2026</t>
  </si>
  <si>
    <t>Interest</t>
  </si>
  <si>
    <t>Principal</t>
  </si>
  <si>
    <t>&amp; Fees</t>
  </si>
  <si>
    <t>Average Annual Principal &amp; Interest</t>
  </si>
  <si>
    <t>Average Annual Coverage</t>
  </si>
  <si>
    <t>Average Annual Principal and Interest Payments</t>
  </si>
  <si>
    <t>Additional Working Capital</t>
  </si>
  <si>
    <t>DISTRICT'S</t>
  </si>
  <si>
    <t>Total Gross Wages</t>
  </si>
  <si>
    <t>Produced &amp; Purchased</t>
  </si>
  <si>
    <t>Sold</t>
  </si>
  <si>
    <t>Uses:</t>
  </si>
  <si>
    <t xml:space="preserve">  WTP</t>
  </si>
  <si>
    <t xml:space="preserve">  Flushing</t>
  </si>
  <si>
    <t xml:space="preserve">  Fire</t>
  </si>
  <si>
    <t>Tank O.F.</t>
  </si>
  <si>
    <t>Line Brks.</t>
  </si>
  <si>
    <t>Line Leaks</t>
  </si>
  <si>
    <t xml:space="preserve">  water loss percentage</t>
  </si>
  <si>
    <t xml:space="preserve">  allowable in rates</t>
  </si>
  <si>
    <t xml:space="preserve">  adjustment percentage</t>
  </si>
  <si>
    <t>Other</t>
  </si>
  <si>
    <t>Miscellaneous Service Revenues</t>
  </si>
  <si>
    <t>Current</t>
  </si>
  <si>
    <t>Location</t>
  </si>
  <si>
    <t>Non-Utility Income</t>
  </si>
  <si>
    <t>5/8 Inch Meter</t>
  </si>
  <si>
    <t>per gallon</t>
  </si>
  <si>
    <t>First</t>
  </si>
  <si>
    <t>Over</t>
  </si>
  <si>
    <t>5/8"</t>
  </si>
  <si>
    <t>5/8 INCH METER</t>
  </si>
  <si>
    <t>MEDICAL</t>
  </si>
  <si>
    <t>DENTAL</t>
  </si>
  <si>
    <t>REVENUE BY RATE INCREMENT</t>
  </si>
  <si>
    <t>CONSUMPTION BY RATE INCREMENT</t>
  </si>
  <si>
    <t>Debt service on promissory note.</t>
  </si>
  <si>
    <t>A</t>
  </si>
  <si>
    <t>REVENUE REQUIREMENTS USING DEBT SERVICE COVERAGE METHOD</t>
  </si>
  <si>
    <t>REVENUE REQUIREMENTS USING OPERATING RATIO METHOD</t>
  </si>
  <si>
    <t>Divided by:  Operating Ratio</t>
  </si>
  <si>
    <t xml:space="preserve">  Subtotal</t>
  </si>
  <si>
    <t>Interest Expense</t>
  </si>
  <si>
    <t>Sheet Debt Service Cell M29</t>
  </si>
  <si>
    <t>Interest on promissory note.</t>
  </si>
  <si>
    <t>Other Water Revenues</t>
  </si>
  <si>
    <t xml:space="preserve">     Legal</t>
  </si>
  <si>
    <t xml:space="preserve">     Water Testing</t>
  </si>
  <si>
    <t>Insurance - Worker's Compensation</t>
  </si>
  <si>
    <t xml:space="preserve">     Accounting</t>
  </si>
  <si>
    <t xml:space="preserve">     Other</t>
  </si>
  <si>
    <t>Gains(Losses) from disposition of property</t>
  </si>
  <si>
    <t>References</t>
  </si>
  <si>
    <t>Adjustment to revenues to match billing analysis with current rates.</t>
  </si>
  <si>
    <t>Various</t>
  </si>
  <si>
    <t>Tank Painting &amp; Repairs</t>
  </si>
  <si>
    <t>Monthly</t>
  </si>
  <si>
    <t>COMMISIONERS</t>
  </si>
  <si>
    <t>CY 2027</t>
  </si>
  <si>
    <t>5 yr Average Interest Only</t>
  </si>
  <si>
    <t xml:space="preserve">Approved </t>
  </si>
  <si>
    <t>B</t>
  </si>
  <si>
    <t>C</t>
  </si>
  <si>
    <t>CERS</t>
  </si>
  <si>
    <t>Pension Rates</t>
  </si>
  <si>
    <t>%</t>
  </si>
  <si>
    <t xml:space="preserve">Pension </t>
  </si>
  <si>
    <t>Contribution</t>
  </si>
  <si>
    <t>Commissioners Salaries</t>
  </si>
  <si>
    <t>TOTAL WAGES</t>
  </si>
  <si>
    <t>Interest and Dividend Income</t>
  </si>
  <si>
    <t>D</t>
  </si>
  <si>
    <t>E</t>
  </si>
  <si>
    <t>F</t>
  </si>
  <si>
    <t>G</t>
  </si>
  <si>
    <t>H</t>
  </si>
  <si>
    <t>I</t>
  </si>
  <si>
    <t>J</t>
  </si>
  <si>
    <t>** FYI O.R. method not used **</t>
  </si>
  <si>
    <t>Adjust wages to current wage rates and additional employee.</t>
  </si>
  <si>
    <t xml:space="preserve">  Other - test Bench</t>
  </si>
  <si>
    <t>TOTAL USES</t>
  </si>
  <si>
    <t>CY 2028</t>
  </si>
  <si>
    <t>Hours</t>
  </si>
  <si>
    <t>Adjustment to SAO Billed Revenues</t>
  </si>
  <si>
    <t>Effect of proposed increase on average bill for each customer classification</t>
  </si>
  <si>
    <t>Average Gallons</t>
  </si>
  <si>
    <t xml:space="preserve">Proposed </t>
  </si>
  <si>
    <t>$</t>
  </si>
  <si>
    <t>per Month</t>
  </si>
  <si>
    <t>Water Bill</t>
  </si>
  <si>
    <t>Increase</t>
  </si>
  <si>
    <t xml:space="preserve">Employee </t>
  </si>
  <si>
    <t>Commisioner</t>
  </si>
  <si>
    <t xml:space="preserve"> PSC annual report</t>
  </si>
  <si>
    <t>Laurel County Water District #2</t>
  </si>
  <si>
    <t>Residential Metered Sales</t>
  </si>
  <si>
    <t>Comercial Metered Sales</t>
  </si>
  <si>
    <t>Indutrial Metered Sales</t>
  </si>
  <si>
    <t>Contractual Services - Eng.</t>
  </si>
  <si>
    <t>Rental of Equipment</t>
  </si>
  <si>
    <t>Insurance - Gen. Liab.</t>
  </si>
  <si>
    <t>2024 Water Loss Adjustment</t>
  </si>
  <si>
    <t>Amortization Expense</t>
  </si>
  <si>
    <t>Nonutility Income</t>
  </si>
  <si>
    <t>2024 AR page 20</t>
  </si>
  <si>
    <t>2024 Annual report</t>
  </si>
  <si>
    <t>2024</t>
  </si>
  <si>
    <t>5/8 X 3/4-Inch Meter</t>
  </si>
  <si>
    <t>1-Inch Meter</t>
  </si>
  <si>
    <t>1 1/2-Inch Meter</t>
  </si>
  <si>
    <t>2-Inch Meter</t>
  </si>
  <si>
    <t>LESS ADJUSTMENTS</t>
  </si>
  <si>
    <t>NET METERED WATER SALES</t>
  </si>
  <si>
    <t>DIFFERENCE</t>
  </si>
  <si>
    <t>Next</t>
  </si>
  <si>
    <t>Effective 3/6/24</t>
  </si>
  <si>
    <t>1 1/2 INCH METER</t>
  </si>
  <si>
    <t>3 INCH METER</t>
  </si>
  <si>
    <t>4 INCH METER</t>
  </si>
  <si>
    <t>Campground Heights (Bldg 1-8)</t>
  </si>
  <si>
    <t>Campground Heights (Bldg 9)</t>
  </si>
  <si>
    <t xml:space="preserve">Manenterprises, LLC, (MT. Hll Apartments) </t>
  </si>
  <si>
    <t>KTR, LLC (Emma's Place Apart.)</t>
  </si>
  <si>
    <t>Chestnut Green Lmtd Partnership (Pine Grove #2 Apart.)</t>
  </si>
  <si>
    <t>Corban Manor Apartments</t>
  </si>
  <si>
    <t>3-Inch Meter</t>
  </si>
  <si>
    <t>4-Inch Meter</t>
  </si>
  <si>
    <t>Campground Heights (Buildings 1-8)</t>
  </si>
  <si>
    <t>Campground Heights (Buildings 9)</t>
  </si>
  <si>
    <t>Reported 2024 metered sales</t>
  </si>
  <si>
    <t>BILLING ANALYSIS WITH 2024 USAGE &amp; EXISTING RATES</t>
  </si>
  <si>
    <t>Water Treatment Equipment</t>
  </si>
  <si>
    <t>CY 2029</t>
  </si>
  <si>
    <t>CY 2030</t>
  </si>
  <si>
    <t>Origiinal</t>
  </si>
  <si>
    <t>KIA B19-005</t>
  </si>
  <si>
    <t>KRWFC-WRB2010A</t>
  </si>
  <si>
    <t>USDA-RD-WRB2010B</t>
  </si>
  <si>
    <t>USDA-RD-Series 2018</t>
  </si>
  <si>
    <t>USDA-RD-Series 2020A</t>
  </si>
  <si>
    <t>USDA-RD-Series 2020B</t>
  </si>
  <si>
    <t>CY 2026 - 2030</t>
  </si>
  <si>
    <t xml:space="preserve">KIA B </t>
  </si>
  <si>
    <t xml:space="preserve">TOTALS for Depreciation Expense 2024 </t>
  </si>
  <si>
    <t>AR</t>
  </si>
  <si>
    <t>19 new employee</t>
  </si>
  <si>
    <t>Source 8/20/25 email from Wanda will hire Nov. 25</t>
  </si>
  <si>
    <t>Contractual Labor and Materials Adjustment for New Service Installations</t>
  </si>
  <si>
    <t>New Meter Fees Collected</t>
  </si>
  <si>
    <t xml:space="preserve">Labor </t>
  </si>
  <si>
    <t xml:space="preserve">Materials </t>
  </si>
  <si>
    <t xml:space="preserve">5/8 X 3/4 </t>
  </si>
  <si>
    <t>meter size</t>
  </si>
  <si>
    <t>Installs 2024</t>
  </si>
  <si>
    <t>Tap Fee $1007</t>
  </si>
  <si>
    <t xml:space="preserve">Decrease Labor for meter tap fee </t>
  </si>
  <si>
    <t xml:space="preserve">Decrease Materials for meter tap fee </t>
  </si>
  <si>
    <t>Sheet Capital Cell C6</t>
  </si>
  <si>
    <t>Sheet Capital Cell C5</t>
  </si>
  <si>
    <t>PSC Case #</t>
  </si>
  <si>
    <t>1995-551</t>
  </si>
  <si>
    <t>2010-126</t>
  </si>
  <si>
    <t>2017-397</t>
  </si>
  <si>
    <t>2020-157</t>
  </si>
  <si>
    <t>2019-221</t>
  </si>
  <si>
    <t>2020-79</t>
  </si>
  <si>
    <t>Health &amp; Life</t>
  </si>
  <si>
    <t>supplies</t>
  </si>
  <si>
    <t>other benefits</t>
  </si>
  <si>
    <t>Retirement</t>
  </si>
  <si>
    <t>24 AR Pens. &amp; Benefits</t>
  </si>
  <si>
    <t>Bills</t>
  </si>
  <si>
    <t>Revenue</t>
  </si>
  <si>
    <t>Total BA sheets</t>
  </si>
  <si>
    <t>1-1/2 Inch Meter</t>
  </si>
  <si>
    <t>3 Inch Meter</t>
  </si>
  <si>
    <t>4 Inch Meter</t>
  </si>
  <si>
    <t>Campground Heights (buildings 1-8)</t>
  </si>
  <si>
    <t>Campground Heights (buildings 9)</t>
  </si>
  <si>
    <t>Chestnut Green(Pine Grove #2 Apart.)</t>
  </si>
  <si>
    <t>PROPOSED BILLING ANALYSIS WITH 2024 USAGE &amp; PROPOSED RATES</t>
  </si>
  <si>
    <t>Report of Billing Adjustments 2024 (Misread, Leak, Billing)</t>
  </si>
  <si>
    <t>Rates eff. 4/8/2020 case 2020-79</t>
  </si>
  <si>
    <t>Revenue from Metered Sales with Present Rates</t>
  </si>
  <si>
    <t>Customer Class</t>
  </si>
  <si>
    <t>3"</t>
  </si>
  <si>
    <t>4"</t>
  </si>
  <si>
    <t>EXBA Cell G21</t>
  </si>
  <si>
    <t>2024 Commissioners</t>
  </si>
  <si>
    <t>Commissioner</t>
  </si>
  <si>
    <t>2024 officers wages</t>
  </si>
  <si>
    <t>Structures and Improvements</t>
  </si>
  <si>
    <t>Sheet Depreciation Cell K40</t>
  </si>
  <si>
    <t>2024 Depreciation adjusted to NARUC average lives</t>
  </si>
  <si>
    <t>2024 Pension &amp; Benefits</t>
  </si>
  <si>
    <t>Adjust revenues to test year Billing analysis</t>
  </si>
  <si>
    <t>Distribution Supervisor</t>
  </si>
  <si>
    <t>Salary</t>
  </si>
  <si>
    <t>Plant Operator-Safety Officer</t>
  </si>
  <si>
    <t>Plant Manager/Asst Superintendent</t>
  </si>
  <si>
    <t>Distribution Operator</t>
  </si>
  <si>
    <t xml:space="preserve">Plant Operator </t>
  </si>
  <si>
    <t>Superintendent</t>
  </si>
  <si>
    <t>Customer Service/Inventory/Accts Payable Clerk</t>
  </si>
  <si>
    <t>Plant Operator</t>
  </si>
  <si>
    <t>Customer Service/Readings/Payroll Clerk</t>
  </si>
  <si>
    <t>Distribution Laborer</t>
  </si>
  <si>
    <t>Part-time Customer Service/bookkeeping</t>
  </si>
  <si>
    <t>Part-time Customer Service</t>
  </si>
  <si>
    <t>Customer Service</t>
  </si>
  <si>
    <t>Meter Reader</t>
  </si>
  <si>
    <t>Office Manager/Accountant/Asst Superintendent</t>
  </si>
  <si>
    <t>Vacation</t>
  </si>
  <si>
    <t>Sheet Wages Cell K35</t>
  </si>
  <si>
    <t>Sheet Wages Cell K43</t>
  </si>
  <si>
    <t>July - Dec 2025</t>
  </si>
  <si>
    <t>New Employee</t>
  </si>
  <si>
    <t>CONTRIBUTION-Eligible wages times (FY2026)eff. July 1, 2025 CERS pension Rate(0.1862%)</t>
  </si>
  <si>
    <t>2024 'Pension &amp; Benefits</t>
  </si>
  <si>
    <t>Interest &amp; Fees Only</t>
  </si>
  <si>
    <t xml:space="preserve">LIFE </t>
  </si>
  <si>
    <t>Guardian</t>
  </si>
  <si>
    <t>Lincoln Life</t>
  </si>
  <si>
    <t>The district pays the premium for all full time employess. Two commissioners are on the guradian policy but they reimburse the district for their premium</t>
  </si>
  <si>
    <t>Reimbursement from Commissioners</t>
  </si>
  <si>
    <t>Payroll Taxes - Fica</t>
  </si>
  <si>
    <t xml:space="preserve"> Additions to KY Retirement System Pension related to Change in Pension &amp; OPEB Liabilities included in $257,636 </t>
  </si>
  <si>
    <t>Amounts related to GASB 68 Pension liability</t>
  </si>
  <si>
    <t>Amounts related to GASB 75 OPEB liability</t>
  </si>
  <si>
    <t>Sheet Medical Cell C57</t>
  </si>
  <si>
    <t>Decrease Medical insurance premiums.</t>
  </si>
  <si>
    <t>Increase due to increased computer services</t>
  </si>
  <si>
    <t>Since 2024, there have been increase in wage rates, employee turnover and an additional employee, resulting in an annual wage increase of $100,680.</t>
  </si>
  <si>
    <t>Sheet Debt Service Cell M23</t>
  </si>
  <si>
    <t>Sheet Debt Service Cell M25</t>
  </si>
  <si>
    <t>The utility collected $56,647 in tapping fees in 2024. These taps were installed by the utility and were recorded as labor and material expenses.  Labor expense has been reduced by $16,994 or 30% of the tapping fees while materials and supplies expense has been reduced by $39,653 or 70% of the tapping fees.</t>
  </si>
  <si>
    <t>The PSC requires adjustments to a water utility's depreciation expense when asset lives fall outside the ranges recommended by NARUC in its publication titled "Depreciation Practices for small utilities".  Therefore, adjustments are included to bring asset lives to the midpoint of the recommended ranges, depreciation expense was increase by $76,481. See Table A.</t>
  </si>
  <si>
    <t>Revenue requirements were computed using the Debt Service Coverage Method.  Annual debt service payments for the utility's debt are shown in Table B. the five-year average of these payments $563,325 is added in the revenue requirement calculation.</t>
  </si>
  <si>
    <t>The amount of $112,665 is included in the revenue requirement as additional working capital.  The amount shown in Table B for coverage on long term debt is required by the utility's loan documents.</t>
  </si>
  <si>
    <t>Increase taxes due to 2025 wage rates and additional employee.</t>
  </si>
  <si>
    <t>2024 AR taxes other than income</t>
  </si>
  <si>
    <t>Annual</t>
  </si>
  <si>
    <t xml:space="preserve"> Health &amp; Life insurance expense</t>
  </si>
  <si>
    <t>Less 2024 health &amp; Life ins.</t>
  </si>
  <si>
    <t>TOTAL HEALTH INS.</t>
  </si>
  <si>
    <t>Employee pays 100% of Dental Ins. Expense through payroll deduction</t>
  </si>
  <si>
    <t>Decrease in Health and Life insurance.</t>
  </si>
  <si>
    <t>Decrease in pension expense to reflect change in salaries and current contribution rates.</t>
  </si>
  <si>
    <t>Increased wages results in an increase to payroll taxes of $6,169.</t>
  </si>
  <si>
    <t>TOTAL MEDICAL AND LIFE INSURANCE</t>
  </si>
  <si>
    <t>KRWA Rate study amortized over 3 years ($9,335 / 3 years = $3,111.66)</t>
  </si>
  <si>
    <t>Decrease due to decreased retirement contribution rate.</t>
  </si>
  <si>
    <t>Wages for Full Time Employees CERS Eligible( Part-time wages and vacation wages not eligible)</t>
  </si>
  <si>
    <t>Totals</t>
  </si>
  <si>
    <t>Sheet Wages Cell K47</t>
  </si>
  <si>
    <t>Decrease 2024 PSC Annual report to 5/9/25 Depreciation History Report</t>
  </si>
  <si>
    <t xml:space="preserve">Decrease to Depereciation reported in 2024 annual report to LCWD #2 May 9, 2025 Depreciation History Report total.  </t>
  </si>
  <si>
    <t>K</t>
  </si>
  <si>
    <t>Increase amortization expense by $3,112. Recovery of Rate Case Expense, KRWA consulting fees in the amount of $9,335 amortized over a three year period for the current project($9,335/3yrs= $3,112).</t>
  </si>
  <si>
    <t>1/1/24 - 12/31/24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</si>
</sst>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6" formatCode="&quot;$&quot;#,##0_);[Red]\(&quot;$&quot;#,##0\)"/>
    <numFmt numFmtId="42" formatCode="_(&quot;$&quot;* #,##0_);_(&quot;$&quot;* \(#,##0\);_(&quot;$&quot;* &quot;-&quot;_);_(@_)"/>
    <numFmt numFmtId="44" formatCode="_(&quot;$&quot;* #,##0.00_);_(&quot;$&quot;* \(#,##0.00\);_(&quot;$&quot;* &quot;-&quot;??_);_(@_)"/>
    <numFmt numFmtId="43" formatCode="_(* #,##0.00_);_(* \(#,##0.00\);_(* &quot;-&quot;??_);_(@_)"/>
    <numFmt numFmtId="164" formatCode="_(&quot;$&quot;* #,##0_);_(&quot;$&quot;* \(#,##0\);_(&quot;$&quot;* &quot;-&quot;??_);_(@_)"/>
    <numFmt numFmtId="165" formatCode="&quot;$&quot;#,##0.00"/>
    <numFmt numFmtId="166" formatCode="0.0%"/>
    <numFmt numFmtId="167" formatCode="_(* #,##0.0_);_(* \(#,##0.0\);_(* &quot;-&quot;??_);_(@_)"/>
    <numFmt numFmtId="168" formatCode="mm/dd/yy;@"/>
    <numFmt numFmtId="169" formatCode="_([$$-409]* #,##0_);_([$$-409]* \(#,##0\);_([$$-409]* &quot;-&quot;??_);_(@_)"/>
    <numFmt numFmtId="170" formatCode="[$$-409]#,##0"/>
    <numFmt numFmtId="171" formatCode="_(* #,##0.0000_);_(* \(#,##0.0000\);_(* &quot;-&quot;??_);_(@_)"/>
    <numFmt numFmtId="172" formatCode="&quot;$&quot;#,##0.00000"/>
    <numFmt numFmtId="173" formatCode="_(* #,##0_);_(* \(#,##0\);_(* &quot;-&quot;??_);_(@_)"/>
    <numFmt numFmtId="174" formatCode="_(* #,##0.00000_);_(* \(#,##0.00000\);_(* &quot;-&quot;??_);_(@_)"/>
  </numFmts>
  <fonts count="37" x14ac:knownFonts="1">
    <font>
      <sz val="12"/>
      <name val="Arial"/>
    </font>
    <font>
      <sz val="12"/>
      <name val="Arial"/>
      <family val="2"/>
    </font>
    <font>
      <sz val="12"/>
      <name val="Arial"/>
      <family val="2"/>
    </font>
    <font>
      <sz val="11"/>
      <name val="Calibri"/>
      <family val="2"/>
      <scheme val="minor"/>
    </font>
    <font>
      <b/>
      <sz val="14"/>
      <name val="Calibri"/>
      <family val="2"/>
      <scheme val="minor"/>
    </font>
    <font>
      <b/>
      <u/>
      <sz val="14"/>
      <name val="Calibri"/>
      <family val="2"/>
      <scheme val="minor"/>
    </font>
    <font>
      <u/>
      <sz val="11"/>
      <name val="Calibri"/>
      <family val="2"/>
      <scheme val="minor"/>
    </font>
    <font>
      <b/>
      <sz val="11"/>
      <name val="Calibri"/>
      <family val="2"/>
      <scheme val="minor"/>
    </font>
    <font>
      <b/>
      <u/>
      <sz val="11"/>
      <name val="Calibri"/>
      <family val="2"/>
      <scheme val="minor"/>
    </font>
    <font>
      <u val="singleAccounting"/>
      <sz val="11"/>
      <name val="Calibri"/>
      <family val="2"/>
      <scheme val="minor"/>
    </font>
    <font>
      <b/>
      <u val="singleAccounting"/>
      <sz val="11"/>
      <name val="Calibri"/>
      <family val="2"/>
      <scheme val="minor"/>
    </font>
    <font>
      <b/>
      <sz val="12"/>
      <name val="Calibri"/>
      <family val="2"/>
      <scheme val="minor"/>
    </font>
    <font>
      <sz val="8"/>
      <color rgb="FFFF0000"/>
      <name val="Calibri"/>
      <family val="2"/>
      <scheme val="minor"/>
    </font>
    <font>
      <b/>
      <sz val="11"/>
      <color rgb="FFFF0000"/>
      <name val="Calibri"/>
      <family val="2"/>
      <scheme val="minor"/>
    </font>
    <font>
      <b/>
      <sz val="8"/>
      <color rgb="FF00B050"/>
      <name val="Calibri"/>
      <family val="2"/>
      <scheme val="minor"/>
    </font>
    <font>
      <sz val="11"/>
      <color theme="1"/>
      <name val="Calibri"/>
      <family val="2"/>
      <scheme val="minor"/>
    </font>
    <font>
      <b/>
      <sz val="11"/>
      <color theme="1"/>
      <name val="Calibri"/>
      <family val="2"/>
      <scheme val="minor"/>
    </font>
    <font>
      <b/>
      <sz val="11"/>
      <color rgb="FF00B050"/>
      <name val="Calibri"/>
      <family val="2"/>
      <scheme val="minor"/>
    </font>
    <font>
      <sz val="8"/>
      <name val="Calibri"/>
      <family val="2"/>
      <scheme val="minor"/>
    </font>
    <font>
      <u/>
      <sz val="11"/>
      <color theme="1"/>
      <name val="Calibri"/>
      <family val="2"/>
      <scheme val="minor"/>
    </font>
    <font>
      <b/>
      <sz val="16"/>
      <name val="Calibri"/>
      <family val="2"/>
      <scheme val="minor"/>
    </font>
    <font>
      <sz val="11"/>
      <color rgb="FFFF0000"/>
      <name val="Calibri"/>
      <family val="2"/>
      <scheme val="minor"/>
    </font>
    <font>
      <b/>
      <u/>
      <sz val="11"/>
      <color theme="1"/>
      <name val="Calibri"/>
      <family val="2"/>
      <scheme val="minor"/>
    </font>
    <font>
      <sz val="12"/>
      <name val="Calibri"/>
      <family val="2"/>
      <scheme val="minor"/>
    </font>
    <font>
      <u/>
      <sz val="12"/>
      <color theme="10"/>
      <name val="Arial"/>
      <family val="2"/>
    </font>
    <font>
      <sz val="11"/>
      <name val="Calibri"/>
      <family val="2"/>
    </font>
    <font>
      <sz val="8"/>
      <name val="Arial"/>
      <family val="2"/>
    </font>
    <font>
      <sz val="11"/>
      <color theme="0"/>
      <name val="Calibri"/>
      <family val="2"/>
      <scheme val="minor"/>
    </font>
    <font>
      <b/>
      <sz val="11"/>
      <name val="Calibri"/>
      <family val="2"/>
    </font>
    <font>
      <sz val="11"/>
      <name val="Arial"/>
      <family val="2"/>
    </font>
    <font>
      <u val="singleAccounting"/>
      <sz val="11"/>
      <name val="Calibri"/>
      <family val="2"/>
    </font>
    <font>
      <b/>
      <sz val="10"/>
      <color indexed="8"/>
      <name val="Arial"/>
      <family val="2"/>
    </font>
    <font>
      <sz val="10"/>
      <name val="Arial"/>
      <family val="2"/>
    </font>
    <font>
      <b/>
      <sz val="10"/>
      <name val="Arial"/>
      <family val="2"/>
    </font>
    <font>
      <u val="singleAccounting"/>
      <sz val="11"/>
      <color theme="1"/>
      <name val="Times New Roman"/>
      <family val="2"/>
    </font>
    <font>
      <sz val="8"/>
      <name val="Arial"/>
      <family val="2"/>
    </font>
    <font>
      <u val="singleAccounting"/>
      <sz val="12"/>
      <name val="Arial"/>
      <family val="2"/>
    </font>
  </fonts>
  <fills count="8">
    <fill>
      <patternFill patternType="none"/>
    </fill>
    <fill>
      <patternFill patternType="gray125"/>
    </fill>
    <fill>
      <patternFill patternType="solid">
        <fgColor rgb="FFFFFFCC"/>
        <bgColor indexed="64"/>
      </patternFill>
    </fill>
    <fill>
      <patternFill patternType="solid">
        <fgColor rgb="FFFFFF00"/>
        <bgColor indexed="64"/>
      </patternFill>
    </fill>
    <fill>
      <patternFill patternType="solid">
        <fgColor theme="0"/>
        <bgColor indexed="64"/>
      </patternFill>
    </fill>
    <fill>
      <patternFill patternType="solid">
        <fgColor indexed="22"/>
        <bgColor indexed="64"/>
      </patternFill>
    </fill>
    <fill>
      <patternFill patternType="solid">
        <fgColor theme="6" tint="0.79998168889431442"/>
        <bgColor indexed="64"/>
      </patternFill>
    </fill>
    <fill>
      <patternFill patternType="solid">
        <fgColor theme="4" tint="0.79998168889431442"/>
        <bgColor indexed="64"/>
      </patternFill>
    </fill>
  </fills>
  <borders count="29">
    <border>
      <left/>
      <right/>
      <top/>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top style="thin">
        <color indexed="64"/>
      </top>
      <bottom style="double">
        <color indexed="64"/>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s>
  <cellStyleXfs count="22">
    <xf numFmtId="0" fontId="0" fillId="0" borderId="0"/>
    <xf numFmtId="43" fontId="2" fillId="0" borderId="0" applyFont="0" applyFill="0" applyBorder="0" applyAlignment="0" applyProtection="0"/>
    <xf numFmtId="44" fontId="2" fillId="0" borderId="0" applyFont="0" applyFill="0" applyBorder="0" applyAlignment="0" applyProtection="0"/>
    <xf numFmtId="9" fontId="2"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5" fillId="0" borderId="0"/>
    <xf numFmtId="43" fontId="15" fillId="0" borderId="0" applyFont="0" applyFill="0" applyBorder="0" applyAlignment="0" applyProtection="0"/>
    <xf numFmtId="44" fontId="15" fillId="0" borderId="0" applyFont="0" applyFill="0" applyBorder="0" applyAlignment="0" applyProtection="0"/>
    <xf numFmtId="0" fontId="24" fillId="0" borderId="0" applyNumberFormat="0" applyFill="0" applyBorder="0" applyAlignment="0" applyProtection="0"/>
    <xf numFmtId="40" fontId="31" fillId="5" borderId="0">
      <alignment horizontal="left"/>
    </xf>
    <xf numFmtId="0" fontId="32" fillId="0" borderId="0">
      <alignment horizontal="left"/>
    </xf>
    <xf numFmtId="0" fontId="32" fillId="0" borderId="0">
      <alignment horizontal="left"/>
    </xf>
    <xf numFmtId="40" fontId="32" fillId="0" borderId="0">
      <alignment horizontal="right"/>
    </xf>
    <xf numFmtId="40" fontId="33" fillId="0" borderId="0">
      <alignment horizontal="left"/>
    </xf>
    <xf numFmtId="40" fontId="33" fillId="0" borderId="0">
      <alignment horizontal="left"/>
    </xf>
    <xf numFmtId="40" fontId="33" fillId="0" borderId="22">
      <alignment horizontal="right"/>
    </xf>
    <xf numFmtId="40" fontId="33" fillId="0" borderId="0">
      <alignment horizontal="left"/>
    </xf>
    <xf numFmtId="40" fontId="33" fillId="0" borderId="0">
      <alignment horizontal="left"/>
    </xf>
    <xf numFmtId="40" fontId="33" fillId="0" borderId="23">
      <alignment horizontal="right"/>
    </xf>
  </cellStyleXfs>
  <cellXfs count="534">
    <xf numFmtId="0" fontId="0" fillId="0" borderId="0" xfId="0"/>
    <xf numFmtId="0" fontId="3" fillId="0" borderId="0" xfId="0" applyFont="1"/>
    <xf numFmtId="43" fontId="3" fillId="0" borderId="1" xfId="1" applyFont="1" applyBorder="1"/>
    <xf numFmtId="43" fontId="3" fillId="0" borderId="0" xfId="1" applyFont="1" applyBorder="1"/>
    <xf numFmtId="43" fontId="3" fillId="0" borderId="0" xfId="1" applyFont="1"/>
    <xf numFmtId="43" fontId="3" fillId="0" borderId="8" xfId="1" applyFont="1" applyBorder="1"/>
    <xf numFmtId="43" fontId="9" fillId="0" borderId="0" xfId="1" applyFont="1" applyBorder="1" applyAlignment="1">
      <alignment horizontal="center"/>
    </xf>
    <xf numFmtId="43" fontId="3" fillId="0" borderId="0" xfId="5" applyFont="1"/>
    <xf numFmtId="43" fontId="3" fillId="0" borderId="7" xfId="5" applyFont="1" applyBorder="1"/>
    <xf numFmtId="0" fontId="3" fillId="0" borderId="0" xfId="0" applyFont="1" applyAlignment="1">
      <alignment horizontal="center"/>
    </xf>
    <xf numFmtId="0" fontId="3" fillId="0" borderId="1" xfId="0" applyFont="1" applyBorder="1" applyAlignment="1">
      <alignment horizontal="center"/>
    </xf>
    <xf numFmtId="43" fontId="3" fillId="0" borderId="0" xfId="5" applyFont="1" applyBorder="1"/>
    <xf numFmtId="164" fontId="3" fillId="0" borderId="0" xfId="0" applyNumberFormat="1" applyFont="1"/>
    <xf numFmtId="167" fontId="3" fillId="0" borderId="0" xfId="5" applyNumberFormat="1" applyFont="1" applyBorder="1"/>
    <xf numFmtId="167" fontId="8" fillId="0" borderId="0" xfId="5" applyNumberFormat="1" applyFont="1" applyBorder="1" applyAlignment="1">
      <alignment horizontal="center"/>
    </xf>
    <xf numFmtId="43" fontId="3" fillId="0" borderId="0" xfId="1" applyFont="1" applyBorder="1" applyAlignment="1"/>
    <xf numFmtId="164" fontId="3" fillId="0" borderId="0" xfId="6" applyNumberFormat="1" applyFont="1"/>
    <xf numFmtId="43" fontId="6" fillId="0" borderId="0" xfId="1" applyFont="1"/>
    <xf numFmtId="43" fontId="9" fillId="0" borderId="8" xfId="1" applyFont="1" applyBorder="1" applyAlignment="1">
      <alignment horizontal="center"/>
    </xf>
    <xf numFmtId="3" fontId="4" fillId="0" borderId="0" xfId="0" applyNumberFormat="1" applyFont="1" applyAlignment="1">
      <alignment horizontal="center" vertical="center"/>
    </xf>
    <xf numFmtId="43" fontId="3" fillId="0" borderId="8" xfId="1" quotePrefix="1" applyFont="1" applyBorder="1" applyAlignment="1">
      <alignment horizontal="center"/>
    </xf>
    <xf numFmtId="0" fontId="3" fillId="0" borderId="8" xfId="0" applyFont="1" applyBorder="1" applyAlignment="1">
      <alignment horizontal="center"/>
    </xf>
    <xf numFmtId="43" fontId="3" fillId="2" borderId="8" xfId="1" quotePrefix="1" applyFont="1" applyFill="1" applyBorder="1" applyAlignment="1">
      <alignment horizontal="center"/>
    </xf>
    <xf numFmtId="43" fontId="13" fillId="0" borderId="0" xfId="1" applyFont="1"/>
    <xf numFmtId="44" fontId="3" fillId="0" borderId="0" xfId="10" applyFont="1"/>
    <xf numFmtId="43" fontId="9" fillId="0" borderId="0" xfId="1" applyFont="1" applyBorder="1"/>
    <xf numFmtId="0" fontId="16" fillId="0" borderId="0" xfId="0" applyFont="1"/>
    <xf numFmtId="0" fontId="19" fillId="0" borderId="0" xfId="0" applyFont="1" applyAlignment="1">
      <alignment horizontal="center"/>
    </xf>
    <xf numFmtId="10" fontId="3" fillId="0" borderId="0" xfId="3" applyNumberFormat="1" applyFont="1" applyAlignment="1">
      <alignment horizontal="center"/>
    </xf>
    <xf numFmtId="44" fontId="3" fillId="0" borderId="0" xfId="0" applyNumberFormat="1" applyFont="1"/>
    <xf numFmtId="43" fontId="3" fillId="0" borderId="0" xfId="5" quotePrefix="1" applyFont="1"/>
    <xf numFmtId="165" fontId="3" fillId="0" borderId="0" xfId="1" applyNumberFormat="1" applyFont="1" applyBorder="1" applyAlignment="1"/>
    <xf numFmtId="0" fontId="3" fillId="0" borderId="7" xfId="0" applyFont="1" applyBorder="1"/>
    <xf numFmtId="43" fontId="17" fillId="0" borderId="0" xfId="1" applyFont="1"/>
    <xf numFmtId="43" fontId="3" fillId="0" borderId="0" xfId="1" applyFont="1" applyAlignment="1">
      <alignment horizontal="centerContinuous" vertical="center"/>
    </xf>
    <xf numFmtId="43" fontId="3" fillId="0" borderId="0" xfId="1" applyFont="1" applyAlignment="1">
      <alignment vertical="center"/>
    </xf>
    <xf numFmtId="43" fontId="8" fillId="0" borderId="0" xfId="1" applyFont="1" applyAlignment="1">
      <alignment horizontal="center" vertical="center"/>
    </xf>
    <xf numFmtId="43" fontId="6" fillId="0" borderId="0" xfId="1" applyFont="1" applyAlignment="1">
      <alignment vertical="center"/>
    </xf>
    <xf numFmtId="43" fontId="3" fillId="0" borderId="0" xfId="1" applyFont="1" applyAlignment="1">
      <alignment horizontal="center" vertical="center"/>
    </xf>
    <xf numFmtId="43" fontId="12" fillId="0" borderId="0" xfId="1" applyFont="1" applyAlignment="1">
      <alignment vertical="center"/>
    </xf>
    <xf numFmtId="43" fontId="14" fillId="0" borderId="0" xfId="1" applyFont="1" applyAlignment="1">
      <alignment vertical="center"/>
    </xf>
    <xf numFmtId="43" fontId="18" fillId="0" borderId="0" xfId="1" applyFont="1" applyAlignment="1">
      <alignment vertical="center"/>
    </xf>
    <xf numFmtId="43" fontId="7" fillId="0" borderId="0" xfId="1" applyFont="1" applyAlignment="1">
      <alignment vertical="center"/>
    </xf>
    <xf numFmtId="43" fontId="3" fillId="0" borderId="0" xfId="1" applyFont="1" applyAlignment="1">
      <alignment horizontal="center"/>
    </xf>
    <xf numFmtId="43" fontId="12" fillId="0" borderId="0" xfId="1" applyFont="1" applyAlignment="1">
      <alignment horizontal="left"/>
    </xf>
    <xf numFmtId="43" fontId="12" fillId="0" borderId="0" xfId="1" applyFont="1" applyAlignment="1">
      <alignment horizontal="center"/>
    </xf>
    <xf numFmtId="43" fontId="10" fillId="0" borderId="0" xfId="1" quotePrefix="1" applyFont="1" applyAlignment="1">
      <alignment horizontal="center" vertical="center"/>
    </xf>
    <xf numFmtId="43" fontId="10" fillId="0" borderId="0" xfId="1" applyFont="1" applyAlignment="1">
      <alignment horizontal="center" vertical="center"/>
    </xf>
    <xf numFmtId="43" fontId="3" fillId="0" borderId="0" xfId="1" applyFont="1" applyAlignment="1"/>
    <xf numFmtId="10" fontId="3" fillId="0" borderId="0" xfId="3" applyNumberFormat="1" applyFont="1" applyAlignment="1">
      <alignment vertical="center"/>
    </xf>
    <xf numFmtId="43" fontId="3" fillId="0" borderId="0" xfId="5" applyFont="1" applyBorder="1" applyAlignment="1">
      <alignment horizontal="center"/>
    </xf>
    <xf numFmtId="10" fontId="3" fillId="0" borderId="0" xfId="3" applyNumberFormat="1" applyFont="1" applyBorder="1" applyAlignment="1">
      <alignment vertical="center"/>
    </xf>
    <xf numFmtId="10" fontId="3" fillId="0" borderId="0" xfId="3" applyNumberFormat="1" applyFont="1" applyBorder="1"/>
    <xf numFmtId="43" fontId="3" fillId="0" borderId="8" xfId="5" applyFont="1" applyBorder="1"/>
    <xf numFmtId="0" fontId="22" fillId="0" borderId="0" xfId="0" applyFont="1" applyAlignment="1">
      <alignment horizontal="center"/>
    </xf>
    <xf numFmtId="43" fontId="21" fillId="0" borderId="0" xfId="5" applyFont="1"/>
    <xf numFmtId="169" fontId="3" fillId="0" borderId="0" xfId="0" applyNumberFormat="1" applyFont="1"/>
    <xf numFmtId="164" fontId="16" fillId="0" borderId="9" xfId="6" applyNumberFormat="1" applyFont="1" applyBorder="1"/>
    <xf numFmtId="43" fontId="3" fillId="0" borderId="0" xfId="1" applyFont="1" applyBorder="1" applyAlignment="1">
      <alignment horizontal="center"/>
    </xf>
    <xf numFmtId="165" fontId="3" fillId="0" borderId="0" xfId="1" applyNumberFormat="1" applyFont="1" applyBorder="1" applyAlignment="1">
      <alignment horizontal="center"/>
    </xf>
    <xf numFmtId="165" fontId="3" fillId="0" borderId="0" xfId="2" applyNumberFormat="1" applyFont="1" applyBorder="1"/>
    <xf numFmtId="0" fontId="6" fillId="0" borderId="0" xfId="0" applyFont="1"/>
    <xf numFmtId="0" fontId="3" fillId="0" borderId="3" xfId="0" applyFont="1" applyBorder="1"/>
    <xf numFmtId="0" fontId="3" fillId="0" borderId="5" xfId="0" applyFont="1" applyBorder="1"/>
    <xf numFmtId="0" fontId="3" fillId="0" borderId="0" xfId="1" applyNumberFormat="1" applyFont="1" applyBorder="1" applyAlignment="1"/>
    <xf numFmtId="0" fontId="3" fillId="0" borderId="0" xfId="1" applyNumberFormat="1" applyFont="1" applyBorder="1" applyAlignment="1">
      <alignment horizontal="center"/>
    </xf>
    <xf numFmtId="43" fontId="3" fillId="0" borderId="0" xfId="5" applyFont="1" applyFill="1"/>
    <xf numFmtId="37" fontId="3" fillId="0" borderId="0" xfId="0" applyNumberFormat="1" applyFont="1" applyAlignment="1">
      <alignment horizontal="center"/>
    </xf>
    <xf numFmtId="43" fontId="9" fillId="0" borderId="0" xfId="5" applyFont="1" applyBorder="1"/>
    <xf numFmtId="3" fontId="3" fillId="0" borderId="0" xfId="0" applyNumberFormat="1" applyFont="1" applyAlignment="1">
      <alignment horizontal="right"/>
    </xf>
    <xf numFmtId="0" fontId="3" fillId="0" borderId="0" xfId="0" quotePrefix="1" applyFont="1"/>
    <xf numFmtId="0" fontId="3" fillId="0" borderId="0" xfId="0" applyFont="1" applyAlignment="1">
      <alignment horizontal="right"/>
    </xf>
    <xf numFmtId="0" fontId="3" fillId="0" borderId="0" xfId="0" applyFont="1" applyAlignment="1">
      <alignment horizontal="left"/>
    </xf>
    <xf numFmtId="43" fontId="4" fillId="0" borderId="0" xfId="1" applyFont="1" applyBorder="1" applyAlignment="1">
      <alignment horizontal="center" vertical="center"/>
    </xf>
    <xf numFmtId="43" fontId="0" fillId="0" borderId="0" xfId="1" applyFont="1" applyBorder="1"/>
    <xf numFmtId="44" fontId="3" fillId="0" borderId="0" xfId="0" applyNumberFormat="1" applyFont="1" applyAlignment="1">
      <alignment horizontal="center"/>
    </xf>
    <xf numFmtId="44" fontId="3" fillId="0" borderId="0" xfId="5" applyNumberFormat="1" applyFont="1" applyBorder="1"/>
    <xf numFmtId="44" fontId="0" fillId="0" borderId="0" xfId="0" applyNumberFormat="1"/>
    <xf numFmtId="44" fontId="3" fillId="0" borderId="1" xfId="1" applyNumberFormat="1" applyFont="1" applyBorder="1"/>
    <xf numFmtId="44" fontId="11" fillId="0" borderId="7" xfId="0" applyNumberFormat="1" applyFont="1" applyBorder="1" applyAlignment="1">
      <alignment horizontal="center" vertical="center"/>
    </xf>
    <xf numFmtId="44" fontId="9" fillId="0" borderId="7" xfId="1" applyNumberFormat="1" applyFont="1" applyBorder="1" applyAlignment="1">
      <alignment horizontal="center"/>
    </xf>
    <xf numFmtId="44" fontId="3" fillId="0" borderId="7" xfId="1" applyNumberFormat="1" applyFont="1" applyBorder="1"/>
    <xf numFmtId="44" fontId="3" fillId="0" borderId="0" xfId="1" applyNumberFormat="1" applyFont="1"/>
    <xf numFmtId="44" fontId="9" fillId="0" borderId="0" xfId="1" applyNumberFormat="1" applyFont="1" applyBorder="1" applyAlignment="1">
      <alignment horizontal="center"/>
    </xf>
    <xf numFmtId="44" fontId="3" fillId="0" borderId="0" xfId="1" applyNumberFormat="1" applyFont="1" applyBorder="1"/>
    <xf numFmtId="44" fontId="3" fillId="0" borderId="0" xfId="2" applyFont="1" applyBorder="1"/>
    <xf numFmtId="0" fontId="7" fillId="0" borderId="0" xfId="0" applyFont="1"/>
    <xf numFmtId="43" fontId="3" fillId="0" borderId="0" xfId="9" applyFont="1" applyFill="1" applyBorder="1"/>
    <xf numFmtId="43" fontId="9" fillId="0" borderId="0" xfId="9" applyFont="1" applyFill="1" applyBorder="1"/>
    <xf numFmtId="0" fontId="1" fillId="0" borderId="0" xfId="4"/>
    <xf numFmtId="0" fontId="19" fillId="0" borderId="0" xfId="4" applyFont="1" applyAlignment="1">
      <alignment horizontal="center"/>
    </xf>
    <xf numFmtId="166" fontId="3" fillId="0" borderId="0" xfId="3" applyNumberFormat="1" applyFont="1" applyFill="1" applyBorder="1"/>
    <xf numFmtId="43" fontId="3" fillId="0" borderId="0" xfId="9" applyFont="1" applyFill="1" applyBorder="1" applyAlignment="1">
      <alignment horizontal="center"/>
    </xf>
    <xf numFmtId="43" fontId="7" fillId="0" borderId="7" xfId="5" applyFont="1" applyBorder="1" applyAlignment="1">
      <alignment horizontal="center"/>
    </xf>
    <xf numFmtId="3" fontId="3" fillId="0" borderId="0" xfId="0" applyNumberFormat="1" applyFont="1"/>
    <xf numFmtId="167" fontId="3" fillId="0" borderId="0" xfId="5" applyNumberFormat="1" applyFont="1" applyAlignment="1"/>
    <xf numFmtId="3" fontId="3" fillId="0" borderId="2" xfId="0" applyNumberFormat="1" applyFont="1" applyBorder="1"/>
    <xf numFmtId="167" fontId="3" fillId="0" borderId="2" xfId="5" applyNumberFormat="1" applyFont="1" applyBorder="1"/>
    <xf numFmtId="3" fontId="3" fillId="0" borderId="4" xfId="0" applyNumberFormat="1" applyFont="1" applyBorder="1"/>
    <xf numFmtId="3" fontId="3" fillId="0" borderId="7" xfId="0" applyNumberFormat="1" applyFont="1" applyBorder="1"/>
    <xf numFmtId="3" fontId="3" fillId="0" borderId="8" xfId="0" applyNumberFormat="1" applyFont="1" applyBorder="1"/>
    <xf numFmtId="167" fontId="3" fillId="0" borderId="0" xfId="5" applyNumberFormat="1" applyFont="1" applyBorder="1" applyAlignment="1"/>
    <xf numFmtId="3" fontId="8" fillId="0" borderId="0" xfId="0" applyNumberFormat="1" applyFont="1" applyAlignment="1">
      <alignment horizontal="center"/>
    </xf>
    <xf numFmtId="3" fontId="7" fillId="0" borderId="0" xfId="0" applyNumberFormat="1" applyFont="1" applyAlignment="1">
      <alignment horizontal="center"/>
    </xf>
    <xf numFmtId="167" fontId="8" fillId="0" borderId="0" xfId="5" applyNumberFormat="1" applyFont="1" applyBorder="1" applyAlignment="1">
      <alignment horizontal="centerContinuous"/>
    </xf>
    <xf numFmtId="3" fontId="8" fillId="0" borderId="0" xfId="0" applyNumberFormat="1" applyFont="1" applyAlignment="1">
      <alignment horizontal="centerContinuous"/>
    </xf>
    <xf numFmtId="44" fontId="10" fillId="0" borderId="0" xfId="0" applyNumberFormat="1" applyFont="1" applyAlignment="1">
      <alignment horizontal="center"/>
    </xf>
    <xf numFmtId="3" fontId="8" fillId="0" borderId="0" xfId="0" applyNumberFormat="1" applyFont="1"/>
    <xf numFmtId="168" fontId="3" fillId="0" borderId="0" xfId="0" applyNumberFormat="1" applyFont="1" applyAlignment="1">
      <alignment horizontal="center"/>
    </xf>
    <xf numFmtId="167" fontId="3" fillId="0" borderId="0" xfId="5" applyNumberFormat="1" applyFont="1" applyBorder="1" applyAlignment="1">
      <alignment horizontal="center"/>
    </xf>
    <xf numFmtId="167" fontId="3" fillId="0" borderId="0" xfId="5" quotePrefix="1" applyNumberFormat="1" applyFont="1" applyBorder="1" applyAlignment="1">
      <alignment horizontal="center"/>
    </xf>
    <xf numFmtId="167" fontId="13" fillId="0" borderId="0" xfId="5" applyNumberFormat="1" applyFont="1" applyBorder="1" applyAlignment="1"/>
    <xf numFmtId="43" fontId="3" fillId="0" borderId="0" xfId="5" applyFont="1" applyBorder="1" applyAlignment="1"/>
    <xf numFmtId="3" fontId="7" fillId="0" borderId="0" xfId="0" applyNumberFormat="1" applyFont="1"/>
    <xf numFmtId="170" fontId="3" fillId="0" borderId="0" xfId="0" applyNumberFormat="1" applyFont="1"/>
    <xf numFmtId="169" fontId="7" fillId="0" borderId="0" xfId="0" applyNumberFormat="1" applyFont="1"/>
    <xf numFmtId="3" fontId="3" fillId="0" borderId="1" xfId="0" applyNumberFormat="1" applyFont="1" applyBorder="1"/>
    <xf numFmtId="167" fontId="3" fillId="0" borderId="1" xfId="5" applyNumberFormat="1" applyFont="1" applyBorder="1" applyAlignment="1"/>
    <xf numFmtId="3" fontId="3" fillId="0" borderId="6" xfId="0" applyNumberFormat="1" applyFont="1" applyBorder="1"/>
    <xf numFmtId="4" fontId="3" fillId="0" borderId="7" xfId="0" applyNumberFormat="1" applyFont="1" applyBorder="1"/>
    <xf numFmtId="43" fontId="3" fillId="0" borderId="3" xfId="5" applyFont="1" applyBorder="1"/>
    <xf numFmtId="43" fontId="3" fillId="0" borderId="2" xfId="5" applyFont="1" applyBorder="1"/>
    <xf numFmtId="43" fontId="3" fillId="0" borderId="4" xfId="5" applyFont="1" applyBorder="1"/>
    <xf numFmtId="43" fontId="4" fillId="0" borderId="7" xfId="5" applyFont="1" applyBorder="1" applyAlignment="1">
      <alignment horizontal="centerContinuous"/>
    </xf>
    <xf numFmtId="43" fontId="5" fillId="0" borderId="7" xfId="5" applyFont="1" applyBorder="1" applyAlignment="1">
      <alignment horizontal="centerContinuous"/>
    </xf>
    <xf numFmtId="3" fontId="11" fillId="0" borderId="7" xfId="0" applyNumberFormat="1" applyFont="1" applyBorder="1" applyAlignment="1">
      <alignment horizontal="centerContinuous" vertical="center"/>
    </xf>
    <xf numFmtId="43" fontId="23" fillId="0" borderId="7" xfId="5" applyFont="1" applyBorder="1" applyAlignment="1">
      <alignment horizontal="centerContinuous"/>
    </xf>
    <xf numFmtId="43" fontId="3" fillId="0" borderId="7" xfId="5" applyFont="1" applyBorder="1" applyAlignment="1">
      <alignment horizontal="centerContinuous"/>
    </xf>
    <xf numFmtId="43" fontId="3" fillId="0" borderId="10" xfId="5" applyFont="1" applyBorder="1" applyAlignment="1">
      <alignment horizontal="left"/>
    </xf>
    <xf numFmtId="43" fontId="3" fillId="0" borderId="3" xfId="5" applyFont="1" applyBorder="1" applyAlignment="1">
      <alignment horizontal="left"/>
    </xf>
    <xf numFmtId="43" fontId="3" fillId="0" borderId="2" xfId="5" applyFont="1" applyBorder="1" applyAlignment="1">
      <alignment horizontal="left"/>
    </xf>
    <xf numFmtId="43" fontId="3" fillId="0" borderId="4" xfId="5" applyFont="1" applyBorder="1" applyAlignment="1">
      <alignment horizontal="left"/>
    </xf>
    <xf numFmtId="43" fontId="3" fillId="0" borderId="11" xfId="5" applyFont="1" applyBorder="1"/>
    <xf numFmtId="43" fontId="10" fillId="0" borderId="0" xfId="5" applyFont="1" applyAlignment="1">
      <alignment horizontal="center" vertical="center"/>
    </xf>
    <xf numFmtId="43" fontId="7" fillId="0" borderId="8" xfId="5" applyFont="1" applyBorder="1" applyAlignment="1">
      <alignment horizontal="center" vertical="center"/>
    </xf>
    <xf numFmtId="43" fontId="7" fillId="0" borderId="0" xfId="5" applyFont="1" applyAlignment="1">
      <alignment horizontal="center" vertical="center"/>
    </xf>
    <xf numFmtId="43" fontId="10" fillId="0" borderId="8" xfId="5" applyFont="1" applyBorder="1" applyAlignment="1">
      <alignment horizontal="center" vertical="center"/>
    </xf>
    <xf numFmtId="43" fontId="10" fillId="0" borderId="0" xfId="5" applyFont="1" applyBorder="1" applyAlignment="1">
      <alignment horizontal="center" vertical="center"/>
    </xf>
    <xf numFmtId="43" fontId="3" fillId="0" borderId="11" xfId="5" quotePrefix="1" applyFont="1" applyBorder="1" applyAlignment="1">
      <alignment horizontal="center"/>
    </xf>
    <xf numFmtId="43" fontId="7" fillId="0" borderId="12" xfId="5" applyFont="1" applyBorder="1" applyAlignment="1">
      <alignment horizontal="right"/>
    </xf>
    <xf numFmtId="43" fontId="7" fillId="0" borderId="6" xfId="5" applyFont="1" applyBorder="1" applyAlignment="1">
      <alignment horizontal="right"/>
    </xf>
    <xf numFmtId="43" fontId="7" fillId="0" borderId="8" xfId="5" applyFont="1" applyBorder="1" applyAlignment="1">
      <alignment horizontal="right"/>
    </xf>
    <xf numFmtId="43" fontId="7" fillId="0" borderId="7" xfId="5" applyFont="1" applyBorder="1" applyAlignment="1">
      <alignment horizontal="right"/>
    </xf>
    <xf numFmtId="43" fontId="7" fillId="0" borderId="2" xfId="5" applyFont="1" applyBorder="1" applyAlignment="1">
      <alignment horizontal="right"/>
    </xf>
    <xf numFmtId="43" fontId="7" fillId="0" borderId="7" xfId="5" applyFont="1" applyBorder="1"/>
    <xf numFmtId="43" fontId="7" fillId="0" borderId="0" xfId="5" applyFont="1" applyBorder="1"/>
    <xf numFmtId="164" fontId="7" fillId="0" borderId="0" xfId="6" applyNumberFormat="1" applyFont="1" applyBorder="1"/>
    <xf numFmtId="43" fontId="3" fillId="0" borderId="5" xfId="5" applyFont="1" applyBorder="1" applyAlignment="1">
      <alignment horizontal="center"/>
    </xf>
    <xf numFmtId="43" fontId="3" fillId="0" borderId="1" xfId="5" applyFont="1" applyBorder="1" applyAlignment="1">
      <alignment horizontal="center"/>
    </xf>
    <xf numFmtId="0" fontId="21" fillId="0" borderId="0" xfId="0" applyFont="1" applyAlignment="1">
      <alignment horizontal="left"/>
    </xf>
    <xf numFmtId="43" fontId="21" fillId="0" borderId="0" xfId="1" applyFont="1" applyAlignment="1">
      <alignment vertical="center"/>
    </xf>
    <xf numFmtId="9" fontId="3" fillId="0" borderId="0" xfId="0" applyNumberFormat="1" applyFont="1" applyAlignment="1">
      <alignment horizontal="center"/>
    </xf>
    <xf numFmtId="9" fontId="19" fillId="0" borderId="0" xfId="0" applyNumberFormat="1" applyFont="1" applyAlignment="1">
      <alignment horizontal="center"/>
    </xf>
    <xf numFmtId="9" fontId="3" fillId="0" borderId="0" xfId="3" applyFont="1" applyAlignment="1">
      <alignment horizontal="center"/>
    </xf>
    <xf numFmtId="164" fontId="3" fillId="0" borderId="0" xfId="5" applyNumberFormat="1" applyFont="1" applyBorder="1"/>
    <xf numFmtId="164" fontId="3" fillId="0" borderId="0" xfId="2" applyNumberFormat="1" applyFont="1" applyBorder="1"/>
    <xf numFmtId="9" fontId="3" fillId="0" borderId="0" xfId="3" applyFont="1"/>
    <xf numFmtId="10" fontId="3" fillId="0" borderId="0" xfId="0" applyNumberFormat="1" applyFont="1"/>
    <xf numFmtId="164" fontId="7" fillId="0" borderId="9" xfId="6" applyNumberFormat="1" applyFont="1" applyBorder="1"/>
    <xf numFmtId="9" fontId="3" fillId="0" borderId="0" xfId="9" applyNumberFormat="1" applyFont="1" applyFill="1" applyBorder="1" applyAlignment="1">
      <alignment horizontal="center"/>
    </xf>
    <xf numFmtId="9" fontId="9" fillId="0" borderId="0" xfId="9" applyNumberFormat="1" applyFont="1" applyFill="1" applyBorder="1" applyAlignment="1">
      <alignment horizontal="center"/>
    </xf>
    <xf numFmtId="164" fontId="3" fillId="0" borderId="0" xfId="0" applyNumberFormat="1" applyFont="1" applyAlignment="1">
      <alignment horizontal="left" indent="1"/>
    </xf>
    <xf numFmtId="164" fontId="7" fillId="0" borderId="0" xfId="4" applyNumberFormat="1" applyFont="1" applyAlignment="1">
      <alignment horizontal="left" indent="1"/>
    </xf>
    <xf numFmtId="10" fontId="7" fillId="0" borderId="0" xfId="0" applyNumberFormat="1" applyFont="1"/>
    <xf numFmtId="43" fontId="3" fillId="0" borderId="0" xfId="1" applyFont="1" applyBorder="1" applyAlignment="1">
      <alignment vertical="center"/>
    </xf>
    <xf numFmtId="43" fontId="3" fillId="0" borderId="0" xfId="1" applyFont="1" applyBorder="1" applyAlignment="1">
      <alignment horizontal="center" vertical="center"/>
    </xf>
    <xf numFmtId="43" fontId="9" fillId="0" borderId="0" xfId="1" applyFont="1" applyBorder="1" applyAlignment="1">
      <alignment horizontal="center" vertical="center"/>
    </xf>
    <xf numFmtId="171" fontId="3" fillId="0" borderId="0" xfId="1" applyNumberFormat="1" applyFont="1" applyBorder="1"/>
    <xf numFmtId="171" fontId="0" fillId="0" borderId="0" xfId="1" applyNumberFormat="1" applyFont="1" applyBorder="1"/>
    <xf numFmtId="43" fontId="9" fillId="0" borderId="0" xfId="1" applyFont="1"/>
    <xf numFmtId="44" fontId="3" fillId="2" borderId="0" xfId="1" applyNumberFormat="1" applyFont="1" applyFill="1" applyBorder="1"/>
    <xf numFmtId="10" fontId="3" fillId="2" borderId="0" xfId="3" applyNumberFormat="1" applyFont="1" applyFill="1" applyBorder="1"/>
    <xf numFmtId="10" fontId="3" fillId="0" borderId="0" xfId="3" applyNumberFormat="1" applyFont="1" applyBorder="1" applyAlignment="1"/>
    <xf numFmtId="0" fontId="25" fillId="0" borderId="0" xfId="11" applyFont="1" applyAlignment="1">
      <alignment vertical="center"/>
    </xf>
    <xf numFmtId="43" fontId="10" fillId="0" borderId="0" xfId="1" applyFont="1" applyAlignment="1">
      <alignment vertical="center"/>
    </xf>
    <xf numFmtId="172" fontId="3" fillId="0" borderId="0" xfId="1" applyNumberFormat="1" applyFont="1" applyBorder="1" applyAlignment="1"/>
    <xf numFmtId="0" fontId="3" fillId="0" borderId="0" xfId="1" applyNumberFormat="1" applyFont="1" applyBorder="1" applyAlignment="1">
      <alignment horizontal="left"/>
    </xf>
    <xf numFmtId="0" fontId="3" fillId="0" borderId="0" xfId="1" applyNumberFormat="1" applyFont="1" applyBorder="1" applyAlignment="1">
      <alignment horizontal="right"/>
    </xf>
    <xf numFmtId="165" fontId="3" fillId="0" borderId="0" xfId="1" applyNumberFormat="1" applyFont="1" applyBorder="1" applyAlignment="1">
      <alignment horizontal="right"/>
    </xf>
    <xf numFmtId="172" fontId="3" fillId="0" borderId="0" xfId="2" applyNumberFormat="1" applyFont="1" applyBorder="1"/>
    <xf numFmtId="44" fontId="3" fillId="0" borderId="1" xfId="0" applyNumberFormat="1" applyFont="1" applyBorder="1"/>
    <xf numFmtId="0" fontId="16" fillId="0" borderId="1" xfId="0" applyFont="1" applyBorder="1"/>
    <xf numFmtId="44" fontId="3" fillId="0" borderId="1" xfId="10" applyFont="1" applyBorder="1"/>
    <xf numFmtId="0" fontId="7" fillId="0" borderId="0" xfId="0" applyFont="1" applyAlignment="1">
      <alignment horizontal="center"/>
    </xf>
    <xf numFmtId="43" fontId="3" fillId="0" borderId="0" xfId="1" applyFont="1" applyBorder="1" applyAlignment="1">
      <alignment horizontal="right"/>
    </xf>
    <xf numFmtId="43" fontId="3" fillId="0" borderId="0" xfId="1" quotePrefix="1" applyFont="1" applyBorder="1"/>
    <xf numFmtId="43" fontId="9" fillId="0" borderId="0" xfId="1" quotePrefix="1" applyFont="1" applyBorder="1"/>
    <xf numFmtId="43" fontId="9" fillId="0" borderId="0" xfId="1" applyFont="1" applyBorder="1" applyAlignment="1">
      <alignment horizontal="right"/>
    </xf>
    <xf numFmtId="0" fontId="3" fillId="0" borderId="14" xfId="0" applyFont="1" applyBorder="1"/>
    <xf numFmtId="0" fontId="3" fillId="0" borderId="17" xfId="0" applyFont="1" applyBorder="1"/>
    <xf numFmtId="43" fontId="3" fillId="0" borderId="19" xfId="1" applyFont="1" applyBorder="1"/>
    <xf numFmtId="0" fontId="3" fillId="0" borderId="19" xfId="0" applyFont="1" applyBorder="1"/>
    <xf numFmtId="0" fontId="3" fillId="0" borderId="15" xfId="0" applyFont="1" applyBorder="1"/>
    <xf numFmtId="0" fontId="3" fillId="0" borderId="20" xfId="0" applyFont="1" applyBorder="1"/>
    <xf numFmtId="164" fontId="9" fillId="0" borderId="0" xfId="5" applyNumberFormat="1" applyFont="1" applyBorder="1"/>
    <xf numFmtId="43" fontId="3" fillId="0" borderId="0" xfId="1" quotePrefix="1" applyFont="1" applyAlignment="1">
      <alignment horizontal="left" vertical="center"/>
    </xf>
    <xf numFmtId="9" fontId="3" fillId="0" borderId="0" xfId="3" applyFont="1" applyBorder="1"/>
    <xf numFmtId="164" fontId="3" fillId="0" borderId="0" xfId="2" applyNumberFormat="1" applyFont="1"/>
    <xf numFmtId="0" fontId="3" fillId="0" borderId="1" xfId="0" applyFont="1" applyBorder="1"/>
    <xf numFmtId="3" fontId="7" fillId="0" borderId="0" xfId="0" applyNumberFormat="1" applyFont="1" applyAlignment="1">
      <alignment vertical="center"/>
    </xf>
    <xf numFmtId="3" fontId="3" fillId="0" borderId="0" xfId="0" applyNumberFormat="1" applyFont="1" applyAlignment="1">
      <alignment vertical="center"/>
    </xf>
    <xf numFmtId="0" fontId="25" fillId="0" borderId="0" xfId="0" applyFont="1"/>
    <xf numFmtId="0" fontId="3" fillId="0" borderId="0" xfId="1" applyNumberFormat="1" applyFont="1" applyAlignment="1">
      <alignment horizontal="left" vertical="center"/>
    </xf>
    <xf numFmtId="0" fontId="3" fillId="0" borderId="0" xfId="0" applyFont="1" applyAlignment="1">
      <alignment vertical="center"/>
    </xf>
    <xf numFmtId="0" fontId="3" fillId="0" borderId="0" xfId="1" applyNumberFormat="1" applyFont="1" applyAlignment="1">
      <alignment vertical="center"/>
    </xf>
    <xf numFmtId="43" fontId="3" fillId="0" borderId="0" xfId="1" applyFont="1" applyFill="1"/>
    <xf numFmtId="0" fontId="7" fillId="0" borderId="3" xfId="0" applyFont="1" applyBorder="1"/>
    <xf numFmtId="3" fontId="3" fillId="0" borderId="2" xfId="0" applyNumberFormat="1" applyFont="1" applyBorder="1" applyAlignment="1">
      <alignment horizontal="right"/>
    </xf>
    <xf numFmtId="0" fontId="3" fillId="0" borderId="2" xfId="0" applyFont="1" applyBorder="1"/>
    <xf numFmtId="0" fontId="3" fillId="0" borderId="4" xfId="0" applyFont="1" applyBorder="1"/>
    <xf numFmtId="0" fontId="7" fillId="0" borderId="7" xfId="0" applyFont="1" applyBorder="1"/>
    <xf numFmtId="0" fontId="3" fillId="0" borderId="8" xfId="0" applyFont="1" applyBorder="1"/>
    <xf numFmtId="0" fontId="3" fillId="0" borderId="7" xfId="0" applyFont="1" applyBorder="1" applyAlignment="1">
      <alignment horizontal="right"/>
    </xf>
    <xf numFmtId="0" fontId="3" fillId="0" borderId="6" xfId="0" applyFont="1" applyBorder="1"/>
    <xf numFmtId="43" fontId="3" fillId="0" borderId="0" xfId="0" applyNumberFormat="1" applyFont="1"/>
    <xf numFmtId="44" fontId="3" fillId="0" borderId="7" xfId="1" quotePrefix="1" applyNumberFormat="1" applyFont="1" applyBorder="1"/>
    <xf numFmtId="0" fontId="0" fillId="0" borderId="0" xfId="0" applyAlignment="1">
      <alignment horizontal="center" vertical="center"/>
    </xf>
    <xf numFmtId="0" fontId="1" fillId="0" borderId="0" xfId="0" applyFont="1" applyAlignment="1">
      <alignment horizontal="center" vertical="center"/>
    </xf>
    <xf numFmtId="0" fontId="1" fillId="0" borderId="0" xfId="0" applyFont="1" applyAlignment="1">
      <alignment wrapText="1"/>
    </xf>
    <xf numFmtId="0" fontId="1" fillId="0" borderId="0" xfId="0" applyFont="1"/>
    <xf numFmtId="0" fontId="0" fillId="0" borderId="0" xfId="0" applyAlignment="1">
      <alignment wrapText="1"/>
    </xf>
    <xf numFmtId="43" fontId="3" fillId="4" borderId="0" xfId="1" applyFont="1" applyFill="1" applyAlignment="1">
      <alignment vertical="center"/>
    </xf>
    <xf numFmtId="43" fontId="3" fillId="4" borderId="0" xfId="1" applyFont="1" applyFill="1" applyBorder="1"/>
    <xf numFmtId="0" fontId="3" fillId="4" borderId="0" xfId="0" applyFont="1" applyFill="1"/>
    <xf numFmtId="43" fontId="3" fillId="0" borderId="0" xfId="1" applyFont="1" applyFill="1" applyBorder="1"/>
    <xf numFmtId="10" fontId="3" fillId="4" borderId="1" xfId="0" applyNumberFormat="1" applyFont="1" applyFill="1" applyBorder="1"/>
    <xf numFmtId="3" fontId="3" fillId="0" borderId="0" xfId="5" applyNumberFormat="1" applyFont="1" applyBorder="1"/>
    <xf numFmtId="3" fontId="3" fillId="0" borderId="0" xfId="0" applyNumberFormat="1" applyFont="1" applyAlignment="1">
      <alignment horizontal="center"/>
    </xf>
    <xf numFmtId="3" fontId="0" fillId="0" borderId="0" xfId="0" applyNumberFormat="1"/>
    <xf numFmtId="0" fontId="6" fillId="0" borderId="0" xfId="0" applyFont="1" applyAlignment="1">
      <alignment horizontal="center"/>
    </xf>
    <xf numFmtId="43" fontId="3" fillId="4" borderId="0" xfId="1" applyFont="1" applyFill="1"/>
    <xf numFmtId="44" fontId="3" fillId="2" borderId="7" xfId="1" quotePrefix="1" applyNumberFormat="1" applyFont="1" applyFill="1" applyBorder="1"/>
    <xf numFmtId="43" fontId="3" fillId="0" borderId="8" xfId="1" quotePrefix="1" applyFont="1" applyFill="1" applyBorder="1" applyAlignment="1">
      <alignment horizontal="center"/>
    </xf>
    <xf numFmtId="44" fontId="3" fillId="0" borderId="7" xfId="1" quotePrefix="1" applyNumberFormat="1" applyFont="1" applyFill="1" applyBorder="1"/>
    <xf numFmtId="14" fontId="3" fillId="0" borderId="0" xfId="0" applyNumberFormat="1" applyFont="1"/>
    <xf numFmtId="43" fontId="3" fillId="0" borderId="0" xfId="5" applyFont="1" applyFill="1" applyBorder="1"/>
    <xf numFmtId="164" fontId="7" fillId="0" borderId="0" xfId="0" applyNumberFormat="1" applyFont="1"/>
    <xf numFmtId="43" fontId="3" fillId="0" borderId="1" xfId="5" applyFont="1" applyBorder="1"/>
    <xf numFmtId="43" fontId="3" fillId="0" borderId="0" xfId="1" applyFont="1" applyFill="1" applyAlignment="1">
      <alignment vertical="center"/>
    </xf>
    <xf numFmtId="0" fontId="0" fillId="0" borderId="0" xfId="0" applyAlignment="1">
      <alignment horizontal="center"/>
    </xf>
    <xf numFmtId="43" fontId="0" fillId="0" borderId="1" xfId="1" applyFont="1" applyBorder="1"/>
    <xf numFmtId="0" fontId="29" fillId="0" borderId="0" xfId="0" applyFont="1"/>
    <xf numFmtId="164" fontId="29" fillId="0" borderId="0" xfId="2" applyNumberFormat="1" applyFont="1"/>
    <xf numFmtId="43" fontId="29" fillId="0" borderId="0" xfId="1" applyFont="1"/>
    <xf numFmtId="164" fontId="29" fillId="0" borderId="0" xfId="0" applyNumberFormat="1" applyFont="1"/>
    <xf numFmtId="44" fontId="29" fillId="0" borderId="0" xfId="0" applyNumberFormat="1" applyFont="1"/>
    <xf numFmtId="164" fontId="0" fillId="0" borderId="0" xfId="0" applyNumberFormat="1"/>
    <xf numFmtId="0" fontId="0" fillId="0" borderId="0" xfId="0" quotePrefix="1"/>
    <xf numFmtId="43" fontId="25" fillId="0" borderId="0" xfId="5" applyFont="1"/>
    <xf numFmtId="43" fontId="3" fillId="0" borderId="11" xfId="5" applyFont="1" applyFill="1" applyBorder="1" applyAlignment="1">
      <alignment horizontal="left"/>
    </xf>
    <xf numFmtId="43" fontId="7" fillId="0" borderId="0" xfId="5" applyFont="1" applyBorder="1" applyAlignment="1">
      <alignment horizontal="center" vertical="center"/>
    </xf>
    <xf numFmtId="0" fontId="28" fillId="0" borderId="0" xfId="0" applyFont="1" applyAlignment="1">
      <alignment horizontal="center"/>
    </xf>
    <xf numFmtId="9" fontId="3" fillId="0" borderId="0" xfId="3" applyFont="1" applyFill="1" applyAlignment="1">
      <alignment horizontal="center"/>
    </xf>
    <xf numFmtId="43" fontId="9" fillId="0" borderId="0" xfId="1" applyFont="1" applyFill="1" applyBorder="1" applyAlignment="1">
      <alignment vertical="center"/>
    </xf>
    <xf numFmtId="43" fontId="3" fillId="0" borderId="0" xfId="0" applyNumberFormat="1" applyFont="1" applyAlignment="1">
      <alignment horizontal="left"/>
    </xf>
    <xf numFmtId="44" fontId="3" fillId="0" borderId="0" xfId="0" applyNumberFormat="1" applyFont="1" applyAlignment="1">
      <alignment horizontal="left"/>
    </xf>
    <xf numFmtId="164" fontId="3" fillId="0" borderId="0" xfId="6" applyNumberFormat="1" applyFont="1" applyFill="1" applyBorder="1"/>
    <xf numFmtId="43" fontId="9" fillId="0" borderId="0" xfId="1" applyFont="1" applyFill="1" applyBorder="1"/>
    <xf numFmtId="43" fontId="3" fillId="4" borderId="21" xfId="1" applyFont="1" applyFill="1" applyBorder="1"/>
    <xf numFmtId="3" fontId="20" fillId="0" borderId="0" xfId="0" applyNumberFormat="1" applyFont="1" applyAlignment="1">
      <alignment horizontal="center" vertical="center"/>
    </xf>
    <xf numFmtId="164" fontId="3" fillId="0" borderId="0" xfId="4" applyNumberFormat="1" applyFont="1" applyAlignment="1">
      <alignment horizontal="left" indent="1"/>
    </xf>
    <xf numFmtId="3" fontId="11" fillId="0" borderId="0" xfId="0" applyNumberFormat="1" applyFont="1" applyAlignment="1">
      <alignment horizontal="center" vertical="center"/>
    </xf>
    <xf numFmtId="43" fontId="25" fillId="0" borderId="0" xfId="5" applyFont="1" applyAlignment="1">
      <alignment horizontal="center"/>
    </xf>
    <xf numFmtId="43" fontId="7" fillId="0" borderId="0" xfId="1" applyFont="1" applyBorder="1" applyAlignment="1">
      <alignment vertical="center"/>
    </xf>
    <xf numFmtId="10" fontId="3" fillId="0" borderId="0" xfId="3" applyNumberFormat="1" applyFont="1"/>
    <xf numFmtId="164" fontId="3" fillId="0" borderId="0" xfId="2" applyNumberFormat="1" applyFont="1" applyAlignment="1">
      <alignment vertical="center"/>
    </xf>
    <xf numFmtId="164" fontId="3" fillId="0" borderId="0" xfId="2" applyNumberFormat="1" applyFont="1" applyFill="1" applyAlignment="1">
      <alignment vertical="center"/>
    </xf>
    <xf numFmtId="164" fontId="3" fillId="0" borderId="0" xfId="2" applyNumberFormat="1" applyFont="1" applyAlignment="1">
      <alignment horizontal="center" vertical="center"/>
    </xf>
    <xf numFmtId="43" fontId="7" fillId="0" borderId="0" xfId="5" applyFont="1" applyBorder="1" applyAlignment="1">
      <alignment horizontal="centerContinuous"/>
    </xf>
    <xf numFmtId="43" fontId="8" fillId="0" borderId="0" xfId="5" applyFont="1" applyBorder="1" applyAlignment="1">
      <alignment horizontal="centerContinuous"/>
    </xf>
    <xf numFmtId="43" fontId="3" fillId="0" borderId="0" xfId="5" applyFont="1" applyBorder="1" applyAlignment="1">
      <alignment horizontal="centerContinuous"/>
    </xf>
    <xf numFmtId="43" fontId="7" fillId="0" borderId="0" xfId="5" applyFont="1" applyBorder="1" applyAlignment="1">
      <alignment horizontal="right"/>
    </xf>
    <xf numFmtId="43" fontId="7" fillId="0" borderId="8" xfId="5" applyFont="1" applyBorder="1" applyAlignment="1">
      <alignment horizontal="centerContinuous"/>
    </xf>
    <xf numFmtId="43" fontId="8" fillId="0" borderId="8" xfId="5" applyFont="1" applyBorder="1" applyAlignment="1">
      <alignment horizontal="centerContinuous"/>
    </xf>
    <xf numFmtId="43" fontId="3" fillId="0" borderId="8" xfId="5" applyFont="1" applyBorder="1" applyAlignment="1">
      <alignment horizontal="centerContinuous"/>
    </xf>
    <xf numFmtId="164" fontId="3" fillId="0" borderId="8" xfId="6" quotePrefix="1" applyNumberFormat="1" applyFont="1" applyFill="1" applyBorder="1" applyAlignment="1">
      <alignment horizontal="center"/>
    </xf>
    <xf numFmtId="43" fontId="3" fillId="0" borderId="8" xfId="5" quotePrefix="1" applyFont="1" applyBorder="1" applyAlignment="1">
      <alignment horizontal="left"/>
    </xf>
    <xf numFmtId="164" fontId="7" fillId="0" borderId="8" xfId="6" applyNumberFormat="1" applyFont="1" applyBorder="1"/>
    <xf numFmtId="164" fontId="3" fillId="0" borderId="8" xfId="6" applyNumberFormat="1" applyFont="1" applyBorder="1"/>
    <xf numFmtId="43" fontId="3" fillId="0" borderId="6" xfId="5" applyFont="1" applyBorder="1" applyAlignment="1">
      <alignment horizontal="center"/>
    </xf>
    <xf numFmtId="43" fontId="3" fillId="0" borderId="13" xfId="1" applyFont="1" applyBorder="1"/>
    <xf numFmtId="43" fontId="3" fillId="0" borderId="16" xfId="1" applyFont="1" applyBorder="1"/>
    <xf numFmtId="3" fontId="11" fillId="0" borderId="17" xfId="0" applyNumberFormat="1" applyFont="1" applyBorder="1" applyAlignment="1">
      <alignment horizontal="center" vertical="center"/>
    </xf>
    <xf numFmtId="43" fontId="3" fillId="0" borderId="25" xfId="1" applyFont="1" applyBorder="1"/>
    <xf numFmtId="43" fontId="3" fillId="0" borderId="26" xfId="1" applyFont="1" applyBorder="1"/>
    <xf numFmtId="44" fontId="11" fillId="0" borderId="0" xfId="0" applyNumberFormat="1" applyFont="1" applyAlignment="1">
      <alignment horizontal="center" vertical="center"/>
    </xf>
    <xf numFmtId="43" fontId="9" fillId="0" borderId="17" xfId="1" applyFont="1" applyBorder="1" applyAlignment="1">
      <alignment horizontal="center"/>
    </xf>
    <xf numFmtId="166" fontId="3" fillId="0" borderId="17" xfId="3" applyNumberFormat="1" applyFont="1" applyBorder="1"/>
    <xf numFmtId="166" fontId="3" fillId="2" borderId="17" xfId="3" applyNumberFormat="1" applyFont="1" applyFill="1" applyBorder="1"/>
    <xf numFmtId="43" fontId="3" fillId="0" borderId="18" xfId="1" applyFont="1" applyBorder="1"/>
    <xf numFmtId="0" fontId="0" fillId="0" borderId="27" xfId="0" applyBorder="1"/>
    <xf numFmtId="44" fontId="3" fillId="0" borderId="28" xfId="1" applyNumberFormat="1" applyFont="1" applyBorder="1"/>
    <xf numFmtId="44" fontId="3" fillId="0" borderId="19" xfId="1" applyNumberFormat="1" applyFont="1" applyBorder="1"/>
    <xf numFmtId="43" fontId="3" fillId="0" borderId="20" xfId="1" applyFont="1" applyBorder="1"/>
    <xf numFmtId="43" fontId="7" fillId="0" borderId="0" xfId="1" quotePrefix="1" applyFont="1" applyAlignment="1">
      <alignment horizontal="center" vertical="center"/>
    </xf>
    <xf numFmtId="43" fontId="3" fillId="0" borderId="11" xfId="5" quotePrefix="1" applyFont="1" applyFill="1" applyBorder="1" applyAlignment="1">
      <alignment horizontal="left"/>
    </xf>
    <xf numFmtId="10" fontId="3" fillId="0" borderId="0" xfId="3" quotePrefix="1" applyNumberFormat="1" applyFont="1" applyBorder="1"/>
    <xf numFmtId="3" fontId="4" fillId="0" borderId="7" xfId="0" applyNumberFormat="1" applyFont="1" applyBorder="1" applyAlignment="1">
      <alignment horizontal="center" vertical="center"/>
    </xf>
    <xf numFmtId="44" fontId="4" fillId="0" borderId="0" xfId="0" applyNumberFormat="1" applyFont="1" applyAlignment="1">
      <alignment horizontal="center" vertical="center"/>
    </xf>
    <xf numFmtId="0" fontId="3" fillId="0" borderId="8" xfId="0" quotePrefix="1" applyFont="1" applyBorder="1"/>
    <xf numFmtId="43" fontId="3" fillId="0" borderId="0" xfId="1" applyFont="1" applyFill="1" applyBorder="1" applyAlignment="1">
      <alignment vertical="center"/>
    </xf>
    <xf numFmtId="43" fontId="3" fillId="0" borderId="0" xfId="5" applyFont="1" applyAlignment="1">
      <alignment horizontal="center"/>
    </xf>
    <xf numFmtId="43" fontId="9" fillId="0" borderId="0" xfId="5" applyFont="1" applyBorder="1" applyAlignment="1">
      <alignment horizontal="center"/>
    </xf>
    <xf numFmtId="44" fontId="9" fillId="0" borderId="0" xfId="5" applyNumberFormat="1" applyFont="1" applyBorder="1" applyAlignment="1">
      <alignment horizontal="center"/>
    </xf>
    <xf numFmtId="44" fontId="3" fillId="0" borderId="0" xfId="5" applyNumberFormat="1" applyFont="1" applyFill="1" applyBorder="1"/>
    <xf numFmtId="42" fontId="3" fillId="0" borderId="0" xfId="0" applyNumberFormat="1" applyFont="1"/>
    <xf numFmtId="0" fontId="3" fillId="0" borderId="5" xfId="0" applyFont="1" applyBorder="1" applyAlignment="1">
      <alignment horizontal="right"/>
    </xf>
    <xf numFmtId="43" fontId="3" fillId="3" borderId="0" xfId="1" applyFont="1" applyFill="1" applyAlignment="1">
      <alignment vertical="center"/>
    </xf>
    <xf numFmtId="0" fontId="13" fillId="0" borderId="0" xfId="0" applyFont="1" applyAlignment="1">
      <alignment horizontal="centerContinuous"/>
    </xf>
    <xf numFmtId="0" fontId="0" fillId="0" borderId="0" xfId="0" applyAlignment="1">
      <alignment vertical="top"/>
    </xf>
    <xf numFmtId="0" fontId="7" fillId="0" borderId="0" xfId="0" applyFont="1" applyAlignment="1">
      <alignment horizontal="left"/>
    </xf>
    <xf numFmtId="0" fontId="3" fillId="0" borderId="0" xfId="0" applyFont="1" applyAlignment="1">
      <alignment horizontal="center" vertical="top"/>
    </xf>
    <xf numFmtId="164" fontId="0" fillId="0" borderId="0" xfId="0" applyNumberFormat="1" applyAlignment="1">
      <alignment vertical="top"/>
    </xf>
    <xf numFmtId="3" fontId="3" fillId="0" borderId="0" xfId="0" applyNumberFormat="1" applyFont="1" applyAlignment="1">
      <alignment horizontal="left"/>
    </xf>
    <xf numFmtId="0" fontId="0" fillId="0" borderId="8" xfId="0" applyBorder="1" applyAlignment="1">
      <alignment vertical="top"/>
    </xf>
    <xf numFmtId="0" fontId="3" fillId="0" borderId="7" xfId="5" applyNumberFormat="1" applyFont="1" applyBorder="1" applyAlignment="1">
      <alignment horizontal="right"/>
    </xf>
    <xf numFmtId="173" fontId="3" fillId="0" borderId="0" xfId="5" applyNumberFormat="1" applyFont="1" applyBorder="1"/>
    <xf numFmtId="173" fontId="3" fillId="0" borderId="2" xfId="5" applyNumberFormat="1" applyFont="1" applyBorder="1"/>
    <xf numFmtId="173" fontId="3" fillId="0" borderId="2" xfId="0" applyNumberFormat="1" applyFont="1" applyBorder="1"/>
    <xf numFmtId="173" fontId="3" fillId="0" borderId="0" xfId="5" applyNumberFormat="1" applyFont="1" applyBorder="1" applyAlignment="1">
      <alignment horizontal="center"/>
    </xf>
    <xf numFmtId="173" fontId="3" fillId="0" borderId="0" xfId="0" applyNumberFormat="1" applyFont="1" applyAlignment="1">
      <alignment horizontal="right"/>
    </xf>
    <xf numFmtId="173" fontId="3" fillId="0" borderId="0" xfId="5" applyNumberFormat="1" applyFont="1" applyFill="1" applyBorder="1"/>
    <xf numFmtId="173" fontId="3" fillId="0" borderId="0" xfId="5" applyNumberFormat="1" applyFont="1" applyBorder="1" applyAlignment="1">
      <alignment horizontal="right"/>
    </xf>
    <xf numFmtId="173" fontId="9" fillId="0" borderId="0" xfId="5" applyNumberFormat="1" applyFont="1" applyFill="1" applyBorder="1"/>
    <xf numFmtId="173" fontId="9" fillId="0" borderId="0" xfId="5" applyNumberFormat="1" applyFont="1" applyBorder="1" applyAlignment="1">
      <alignment horizontal="right"/>
    </xf>
    <xf numFmtId="173" fontId="9" fillId="0" borderId="0" xfId="5" applyNumberFormat="1" applyFont="1" applyBorder="1"/>
    <xf numFmtId="173" fontId="3" fillId="0" borderId="0" xfId="0" applyNumberFormat="1" applyFont="1"/>
    <xf numFmtId="173" fontId="6" fillId="0" borderId="0" xfId="0" applyNumberFormat="1" applyFont="1"/>
    <xf numFmtId="173" fontId="3" fillId="0" borderId="1" xfId="5" applyNumberFormat="1" applyFont="1" applyBorder="1"/>
    <xf numFmtId="173" fontId="3" fillId="0" borderId="0" xfId="1" applyNumberFormat="1" applyFont="1" applyAlignment="1">
      <alignment horizontal="right"/>
    </xf>
    <xf numFmtId="2" fontId="3" fillId="0" borderId="0" xfId="0" applyNumberFormat="1" applyFont="1"/>
    <xf numFmtId="43" fontId="30" fillId="0" borderId="0" xfId="5" applyFont="1" applyAlignment="1">
      <alignment horizontal="center"/>
    </xf>
    <xf numFmtId="43" fontId="9" fillId="0" borderId="0" xfId="5" applyFont="1" applyAlignment="1">
      <alignment horizontal="center"/>
    </xf>
    <xf numFmtId="173" fontId="3" fillId="0" borderId="7" xfId="5" applyNumberFormat="1" applyFont="1" applyFill="1" applyBorder="1" applyAlignment="1">
      <alignment horizontal="center"/>
    </xf>
    <xf numFmtId="173" fontId="3" fillId="0" borderId="0" xfId="5" applyNumberFormat="1" applyFont="1" applyFill="1" applyBorder="1" applyAlignment="1">
      <alignment horizontal="center"/>
    </xf>
    <xf numFmtId="173" fontId="3" fillId="0" borderId="8" xfId="5" applyNumberFormat="1" applyFont="1" applyFill="1" applyBorder="1" applyAlignment="1">
      <alignment horizontal="center"/>
    </xf>
    <xf numFmtId="173" fontId="3" fillId="0" borderId="7" xfId="5" quotePrefix="1" applyNumberFormat="1" applyFont="1" applyBorder="1" applyAlignment="1">
      <alignment horizontal="left"/>
    </xf>
    <xf numFmtId="173" fontId="3" fillId="0" borderId="0" xfId="5" quotePrefix="1" applyNumberFormat="1" applyFont="1" applyBorder="1" applyAlignment="1">
      <alignment horizontal="left"/>
    </xf>
    <xf numFmtId="173" fontId="7" fillId="0" borderId="7" xfId="5" quotePrefix="1" applyNumberFormat="1" applyFont="1" applyBorder="1" applyAlignment="1">
      <alignment horizontal="left"/>
    </xf>
    <xf numFmtId="173" fontId="7" fillId="0" borderId="5" xfId="5" applyNumberFormat="1" applyFont="1" applyBorder="1" applyAlignment="1">
      <alignment horizontal="right"/>
    </xf>
    <xf numFmtId="173" fontId="7" fillId="0" borderId="1" xfId="5" applyNumberFormat="1" applyFont="1" applyBorder="1" applyAlignment="1">
      <alignment horizontal="right"/>
    </xf>
    <xf numFmtId="173" fontId="7" fillId="0" borderId="6" xfId="5" applyNumberFormat="1" applyFont="1" applyBorder="1" applyAlignment="1">
      <alignment horizontal="right"/>
    </xf>
    <xf numFmtId="173" fontId="7" fillId="0" borderId="8" xfId="5" applyNumberFormat="1" applyFont="1" applyBorder="1" applyAlignment="1">
      <alignment horizontal="right"/>
    </xf>
    <xf numFmtId="43" fontId="3" fillId="0" borderId="0" xfId="5" applyFont="1" applyBorder="1" applyAlignment="1">
      <alignment horizontal="center" vertical="center"/>
    </xf>
    <xf numFmtId="43" fontId="3" fillId="0" borderId="8" xfId="5" applyFont="1" applyBorder="1" applyAlignment="1">
      <alignment horizontal="center" vertical="center"/>
    </xf>
    <xf numFmtId="173" fontId="3" fillId="0" borderId="8" xfId="1" quotePrefix="1" applyNumberFormat="1" applyFont="1" applyFill="1" applyBorder="1" applyAlignment="1">
      <alignment horizontal="center"/>
    </xf>
    <xf numFmtId="173" fontId="3" fillId="0" borderId="8" xfId="5" quotePrefix="1" applyNumberFormat="1" applyFont="1" applyFill="1" applyBorder="1" applyAlignment="1">
      <alignment horizontal="center"/>
    </xf>
    <xf numFmtId="173" fontId="3" fillId="0" borderId="0" xfId="5" applyNumberFormat="1" applyFont="1"/>
    <xf numFmtId="43" fontId="25" fillId="0" borderId="0" xfId="1" applyFont="1"/>
    <xf numFmtId="173" fontId="3" fillId="0" borderId="8" xfId="5" quotePrefix="1" applyNumberFormat="1" applyFont="1" applyBorder="1" applyAlignment="1">
      <alignment horizontal="left"/>
    </xf>
    <xf numFmtId="173" fontId="7" fillId="0" borderId="11" xfId="5" quotePrefix="1" applyNumberFormat="1" applyFont="1" applyBorder="1" applyAlignment="1">
      <alignment horizontal="left"/>
    </xf>
    <xf numFmtId="43" fontId="0" fillId="0" borderId="0" xfId="1" applyFont="1"/>
    <xf numFmtId="173" fontId="0" fillId="0" borderId="1" xfId="0" applyNumberFormat="1" applyBorder="1"/>
    <xf numFmtId="6" fontId="3" fillId="0" borderId="0" xfId="0" applyNumberFormat="1" applyFont="1"/>
    <xf numFmtId="9" fontId="3" fillId="0" borderId="0" xfId="0" applyNumberFormat="1" applyFont="1"/>
    <xf numFmtId="44" fontId="0" fillId="0" borderId="0" xfId="2" applyFont="1"/>
    <xf numFmtId="44" fontId="0" fillId="0" borderId="1" xfId="2" applyFont="1" applyBorder="1"/>
    <xf numFmtId="43" fontId="25" fillId="0" borderId="0" xfId="5" applyFont="1" applyFill="1" applyAlignment="1">
      <alignment horizontal="center"/>
    </xf>
    <xf numFmtId="0" fontId="25" fillId="0" borderId="0" xfId="0" applyFont="1" applyAlignment="1">
      <alignment horizontal="center"/>
    </xf>
    <xf numFmtId="0" fontId="25" fillId="0" borderId="0" xfId="0" applyFont="1" applyAlignment="1">
      <alignment horizontal="center" vertical="center"/>
    </xf>
    <xf numFmtId="173" fontId="3" fillId="0" borderId="0" xfId="0" applyNumberFormat="1" applyFont="1" applyAlignment="1">
      <alignment horizontal="center"/>
    </xf>
    <xf numFmtId="173" fontId="3" fillId="0" borderId="2" xfId="0" applyNumberFormat="1" applyFont="1" applyBorder="1" applyAlignment="1">
      <alignment horizontal="right"/>
    </xf>
    <xf numFmtId="173" fontId="7" fillId="0" borderId="0" xfId="0" applyNumberFormat="1" applyFont="1"/>
    <xf numFmtId="173" fontId="3" fillId="0" borderId="0" xfId="6" applyNumberFormat="1" applyFont="1" applyBorder="1"/>
    <xf numFmtId="173" fontId="0" fillId="0" borderId="0" xfId="0" applyNumberFormat="1"/>
    <xf numFmtId="173" fontId="3" fillId="0" borderId="1" xfId="6" applyNumberFormat="1" applyFont="1" applyBorder="1"/>
    <xf numFmtId="173" fontId="4" fillId="0" borderId="0" xfId="0" applyNumberFormat="1" applyFont="1" applyAlignment="1">
      <alignment horizontal="center" vertical="center"/>
    </xf>
    <xf numFmtId="173" fontId="7" fillId="0" borderId="0" xfId="0" applyNumberFormat="1" applyFont="1" applyAlignment="1">
      <alignment horizontal="right"/>
    </xf>
    <xf numFmtId="173" fontId="3" fillId="0" borderId="0" xfId="5" applyNumberFormat="1" applyFont="1" applyBorder="1" applyAlignment="1"/>
    <xf numFmtId="173" fontId="7" fillId="0" borderId="0" xfId="0" applyNumberFormat="1" applyFont="1" applyAlignment="1">
      <alignment horizontal="center"/>
    </xf>
    <xf numFmtId="173" fontId="3" fillId="0" borderId="0" xfId="6" applyNumberFormat="1" applyFont="1" applyFill="1" applyBorder="1"/>
    <xf numFmtId="173" fontId="11" fillId="0" borderId="0" xfId="5" applyNumberFormat="1" applyFont="1" applyBorder="1" applyAlignment="1">
      <alignment horizontal="center" vertical="center"/>
    </xf>
    <xf numFmtId="173" fontId="7" fillId="0" borderId="0" xfId="5" applyNumberFormat="1" applyFont="1" applyBorder="1" applyAlignment="1"/>
    <xf numFmtId="173" fontId="9" fillId="0" borderId="0" xfId="6" applyNumberFormat="1" applyFont="1" applyFill="1" applyBorder="1" applyAlignment="1"/>
    <xf numFmtId="173" fontId="3" fillId="0" borderId="0" xfId="6" applyNumberFormat="1" applyFont="1" applyFill="1" applyBorder="1" applyAlignment="1"/>
    <xf numFmtId="173" fontId="3" fillId="0" borderId="0" xfId="6" applyNumberFormat="1" applyFont="1" applyBorder="1" applyAlignment="1"/>
    <xf numFmtId="173" fontId="9" fillId="0" borderId="0" xfId="6" applyNumberFormat="1" applyFont="1" applyBorder="1" applyAlignment="1"/>
    <xf numFmtId="173" fontId="3" fillId="0" borderId="1" xfId="0" applyNumberFormat="1" applyFont="1" applyBorder="1"/>
    <xf numFmtId="44" fontId="3" fillId="0" borderId="1" xfId="2" applyFont="1" applyBorder="1"/>
    <xf numFmtId="0" fontId="0" fillId="0" borderId="8" xfId="0" applyBorder="1" applyAlignment="1">
      <alignment horizontal="center" vertical="top"/>
    </xf>
    <xf numFmtId="173" fontId="3" fillId="0" borderId="0" xfId="1" applyNumberFormat="1" applyFont="1" applyAlignment="1">
      <alignment horizontal="center"/>
    </xf>
    <xf numFmtId="173" fontId="3" fillId="0" borderId="0" xfId="1" applyNumberFormat="1" applyFont="1" applyAlignment="1">
      <alignment horizontal="center" vertical="center"/>
    </xf>
    <xf numFmtId="44" fontId="3" fillId="0" borderId="0" xfId="2" applyFont="1" applyBorder="1" applyAlignment="1">
      <alignment horizontal="right"/>
    </xf>
    <xf numFmtId="174" fontId="3" fillId="0" borderId="0" xfId="5" applyNumberFormat="1" applyFont="1" applyBorder="1" applyAlignment="1">
      <alignment horizontal="right"/>
    </xf>
    <xf numFmtId="173" fontId="3" fillId="0" borderId="0" xfId="1" applyNumberFormat="1" applyFont="1" applyFill="1" applyBorder="1"/>
    <xf numFmtId="173" fontId="3" fillId="0" borderId="0" xfId="1" applyNumberFormat="1" applyFont="1"/>
    <xf numFmtId="44" fontId="3" fillId="0" borderId="0" xfId="2" applyFont="1" applyFill="1" applyBorder="1"/>
    <xf numFmtId="44" fontId="3" fillId="0" borderId="0" xfId="2" applyFont="1"/>
    <xf numFmtId="173" fontId="3" fillId="0" borderId="1" xfId="1" applyNumberFormat="1" applyFont="1" applyFill="1" applyBorder="1"/>
    <xf numFmtId="44" fontId="7" fillId="0" borderId="0" xfId="2" applyFont="1" applyAlignment="1">
      <alignment horizontal="right"/>
    </xf>
    <xf numFmtId="43" fontId="7" fillId="0" borderId="0" xfId="0" applyNumberFormat="1" applyFont="1" applyAlignment="1">
      <alignment horizontal="right"/>
    </xf>
    <xf numFmtId="43" fontId="7" fillId="0" borderId="0" xfId="6" applyNumberFormat="1" applyFont="1" applyBorder="1"/>
    <xf numFmtId="174" fontId="3" fillId="0" borderId="0" xfId="6" applyNumberFormat="1" applyFont="1" applyBorder="1"/>
    <xf numFmtId="164" fontId="3" fillId="0" borderId="1" xfId="2" applyNumberFormat="1" applyFont="1" applyFill="1" applyBorder="1"/>
    <xf numFmtId="164" fontId="3" fillId="0" borderId="0" xfId="2" applyNumberFormat="1" applyFont="1" applyFill="1" applyBorder="1"/>
    <xf numFmtId="173" fontId="3" fillId="0" borderId="0" xfId="1" applyNumberFormat="1" applyFont="1" applyBorder="1" applyAlignment="1"/>
    <xf numFmtId="173" fontId="6" fillId="0" borderId="0" xfId="1" applyNumberFormat="1" applyFont="1" applyBorder="1"/>
    <xf numFmtId="173" fontId="3" fillId="0" borderId="0" xfId="1" applyNumberFormat="1" applyFont="1" applyBorder="1"/>
    <xf numFmtId="173" fontId="3" fillId="0" borderId="0" xfId="1" applyNumberFormat="1" applyFont="1" applyBorder="1" applyAlignment="1">
      <alignment horizontal="center"/>
    </xf>
    <xf numFmtId="174" fontId="3" fillId="0" borderId="0" xfId="1" applyNumberFormat="1" applyFont="1" applyBorder="1" applyAlignment="1">
      <alignment horizontal="right"/>
    </xf>
    <xf numFmtId="43" fontId="9" fillId="0" borderId="0" xfId="6" applyNumberFormat="1" applyFont="1" applyFill="1" applyBorder="1" applyAlignment="1"/>
    <xf numFmtId="173" fontId="7" fillId="0" borderId="0" xfId="5" applyNumberFormat="1" applyFont="1" applyFill="1" applyBorder="1" applyAlignment="1"/>
    <xf numFmtId="43" fontId="7" fillId="0" borderId="0" xfId="6" applyNumberFormat="1" applyFont="1" applyFill="1" applyBorder="1"/>
    <xf numFmtId="0" fontId="3" fillId="2" borderId="0" xfId="0" applyFont="1" applyFill="1"/>
    <xf numFmtId="43" fontId="3" fillId="2" borderId="0" xfId="1" applyFont="1" applyFill="1" applyBorder="1" applyAlignment="1"/>
    <xf numFmtId="173" fontId="7" fillId="0" borderId="7" xfId="5" quotePrefix="1" applyNumberFormat="1" applyFont="1" applyFill="1" applyBorder="1" applyAlignment="1">
      <alignment horizontal="left"/>
    </xf>
    <xf numFmtId="10" fontId="3" fillId="0" borderId="0" xfId="7" applyNumberFormat="1" applyFont="1" applyFill="1" applyBorder="1"/>
    <xf numFmtId="43" fontId="3" fillId="0" borderId="0" xfId="0" applyNumberFormat="1" applyFont="1" applyAlignment="1">
      <alignment horizontal="left" vertical="center"/>
    </xf>
    <xf numFmtId="43" fontId="3" fillId="0" borderId="0" xfId="1" applyFont="1" applyAlignment="1">
      <alignment horizontal="center" vertical="top"/>
    </xf>
    <xf numFmtId="43" fontId="9" fillId="0" borderId="1" xfId="5" applyFont="1" applyBorder="1" applyAlignment="1">
      <alignment horizontal="center"/>
    </xf>
    <xf numFmtId="173" fontId="3" fillId="2" borderId="0" xfId="1" applyNumberFormat="1" applyFont="1" applyFill="1" applyBorder="1"/>
    <xf numFmtId="43" fontId="3" fillId="0" borderId="0" xfId="1" applyFont="1" applyFill="1" applyAlignment="1">
      <alignment horizontal="center" vertical="center"/>
    </xf>
    <xf numFmtId="43" fontId="9" fillId="0" borderId="0" xfId="1" applyFont="1" applyFill="1" applyAlignment="1">
      <alignment vertical="center"/>
    </xf>
    <xf numFmtId="43" fontId="21" fillId="0" borderId="0" xfId="1" applyFont="1" applyFill="1" applyAlignment="1">
      <alignment vertical="center"/>
    </xf>
    <xf numFmtId="43" fontId="3" fillId="0" borderId="0" xfId="1" applyFont="1" applyFill="1" applyAlignment="1">
      <alignment horizontal="right" vertical="center"/>
    </xf>
    <xf numFmtId="43" fontId="9" fillId="0" borderId="0" xfId="5" applyFont="1" applyFill="1"/>
    <xf numFmtId="164" fontId="3" fillId="0" borderId="0" xfId="6" applyNumberFormat="1" applyFont="1" applyFill="1"/>
    <xf numFmtId="164" fontId="3" fillId="0" borderId="1" xfId="6" applyNumberFormat="1" applyFont="1" applyFill="1" applyBorder="1"/>
    <xf numFmtId="173" fontId="3" fillId="0" borderId="0" xfId="1" applyNumberFormat="1" applyFont="1" applyAlignment="1">
      <alignment vertical="center"/>
    </xf>
    <xf numFmtId="173" fontId="9" fillId="0" borderId="0" xfId="1" applyNumberFormat="1" applyFont="1" applyAlignment="1">
      <alignment vertical="center"/>
    </xf>
    <xf numFmtId="173" fontId="9" fillId="0" borderId="0" xfId="1" applyNumberFormat="1" applyFont="1" applyBorder="1" applyAlignment="1">
      <alignment vertical="center"/>
    </xf>
    <xf numFmtId="173" fontId="3" fillId="4" borderId="0" xfId="1" applyNumberFormat="1" applyFont="1" applyFill="1" applyAlignment="1">
      <alignment vertical="center"/>
    </xf>
    <xf numFmtId="173" fontId="3" fillId="0" borderId="0" xfId="1" applyNumberFormat="1" applyFont="1" applyBorder="1" applyAlignment="1">
      <alignment vertical="center"/>
    </xf>
    <xf numFmtId="173" fontId="3" fillId="0" borderId="0" xfId="1" applyNumberFormat="1" applyFont="1" applyFill="1" applyAlignment="1">
      <alignment horizontal="right" vertical="center"/>
    </xf>
    <xf numFmtId="173" fontId="3" fillId="0" borderId="0" xfId="1" applyNumberFormat="1" applyFont="1" applyFill="1" applyAlignment="1">
      <alignment vertical="center"/>
    </xf>
    <xf numFmtId="173" fontId="9" fillId="0" borderId="0" xfId="1" applyNumberFormat="1" applyFont="1" applyFill="1" applyBorder="1" applyAlignment="1">
      <alignment vertical="center"/>
    </xf>
    <xf numFmtId="43" fontId="3" fillId="0" borderId="1" xfId="1" applyFont="1" applyFill="1" applyBorder="1"/>
    <xf numFmtId="173" fontId="27" fillId="0" borderId="0" xfId="1" applyNumberFormat="1" applyFont="1" applyFill="1" applyAlignment="1">
      <alignment vertical="center"/>
    </xf>
    <xf numFmtId="43" fontId="3" fillId="0" borderId="0" xfId="1" applyFont="1" applyFill="1" applyAlignment="1">
      <alignment horizontal="center"/>
    </xf>
    <xf numFmtId="173" fontId="9" fillId="0" borderId="0" xfId="1" applyNumberFormat="1" applyFont="1" applyFill="1" applyAlignment="1">
      <alignment vertical="center"/>
    </xf>
    <xf numFmtId="0" fontId="1" fillId="0" borderId="0" xfId="0" applyFont="1" applyAlignment="1">
      <alignment horizontal="center" wrapText="1"/>
    </xf>
    <xf numFmtId="4" fontId="3" fillId="0" borderId="0" xfId="0" applyNumberFormat="1" applyFont="1"/>
    <xf numFmtId="40" fontId="31" fillId="0" borderId="16" xfId="12" quotePrefix="1" applyFill="1" applyBorder="1">
      <alignment horizontal="left"/>
    </xf>
    <xf numFmtId="0" fontId="32" fillId="0" borderId="16" xfId="13" quotePrefix="1" applyBorder="1">
      <alignment horizontal="left"/>
    </xf>
    <xf numFmtId="40" fontId="3" fillId="0" borderId="0" xfId="0" applyNumberFormat="1" applyFont="1"/>
    <xf numFmtId="0" fontId="32" fillId="0" borderId="0" xfId="14" quotePrefix="1">
      <alignment horizontal="left"/>
    </xf>
    <xf numFmtId="40" fontId="32" fillId="0" borderId="0" xfId="15">
      <alignment horizontal="right"/>
    </xf>
    <xf numFmtId="40" fontId="33" fillId="0" borderId="18" xfId="19" quotePrefix="1" applyBorder="1">
      <alignment horizontal="left"/>
    </xf>
    <xf numFmtId="40" fontId="33" fillId="0" borderId="19" xfId="20" quotePrefix="1" applyBorder="1">
      <alignment horizontal="left"/>
    </xf>
    <xf numFmtId="40" fontId="33" fillId="0" borderId="24" xfId="21" applyBorder="1">
      <alignment horizontal="right"/>
    </xf>
    <xf numFmtId="40" fontId="31" fillId="0" borderId="13" xfId="12" quotePrefix="1" applyFill="1" applyBorder="1">
      <alignment horizontal="left"/>
    </xf>
    <xf numFmtId="0" fontId="0" fillId="0" borderId="14" xfId="0" applyBorder="1"/>
    <xf numFmtId="40" fontId="33" fillId="0" borderId="16" xfId="16" quotePrefix="1" applyBorder="1">
      <alignment horizontal="left"/>
    </xf>
    <xf numFmtId="40" fontId="33" fillId="0" borderId="0" xfId="17" quotePrefix="1">
      <alignment horizontal="left"/>
    </xf>
    <xf numFmtId="0" fontId="3" fillId="0" borderId="16" xfId="0" applyFont="1" applyBorder="1"/>
    <xf numFmtId="43" fontId="34" fillId="0" borderId="0" xfId="1" applyFont="1" applyFill="1" applyBorder="1"/>
    <xf numFmtId="43" fontId="0" fillId="0" borderId="0" xfId="1" applyFont="1" applyFill="1" applyBorder="1"/>
    <xf numFmtId="40" fontId="33" fillId="0" borderId="0" xfId="18" applyBorder="1">
      <alignment horizontal="right"/>
    </xf>
    <xf numFmtId="0" fontId="3" fillId="6" borderId="0" xfId="0" applyFont="1" applyFill="1"/>
    <xf numFmtId="44" fontId="3" fillId="6" borderId="0" xfId="0" applyNumberFormat="1" applyFont="1" applyFill="1"/>
    <xf numFmtId="43" fontId="3" fillId="6" borderId="0" xfId="1" applyFont="1" applyFill="1"/>
    <xf numFmtId="10" fontId="3" fillId="6" borderId="0" xfId="3" applyNumberFormat="1" applyFont="1" applyFill="1" applyAlignment="1">
      <alignment horizontal="center"/>
    </xf>
    <xf numFmtId="0" fontId="3" fillId="6" borderId="0" xfId="0" applyFont="1" applyFill="1" applyAlignment="1">
      <alignment horizontal="center"/>
    </xf>
    <xf numFmtId="0" fontId="7" fillId="6" borderId="0" xfId="0" applyFont="1" applyFill="1"/>
    <xf numFmtId="0" fontId="3" fillId="6" borderId="1" xfId="0" applyFont="1" applyFill="1" applyBorder="1" applyAlignment="1">
      <alignment horizontal="center"/>
    </xf>
    <xf numFmtId="0" fontId="19" fillId="6" borderId="0" xfId="0" applyFont="1" applyFill="1" applyAlignment="1">
      <alignment horizontal="center"/>
    </xf>
    <xf numFmtId="44" fontId="3" fillId="6" borderId="0" xfId="10" applyFont="1" applyFill="1"/>
    <xf numFmtId="44" fontId="3" fillId="6" borderId="1" xfId="10" applyFont="1" applyFill="1" applyBorder="1"/>
    <xf numFmtId="10" fontId="3" fillId="6" borderId="1" xfId="3" applyNumberFormat="1" applyFont="1" applyFill="1" applyBorder="1" applyAlignment="1">
      <alignment horizontal="center"/>
    </xf>
    <xf numFmtId="44" fontId="3" fillId="6" borderId="1" xfId="0" applyNumberFormat="1" applyFont="1" applyFill="1" applyBorder="1"/>
    <xf numFmtId="0" fontId="3" fillId="7" borderId="0" xfId="0" applyFont="1" applyFill="1"/>
    <xf numFmtId="44" fontId="3" fillId="7" borderId="0" xfId="0" applyNumberFormat="1" applyFont="1" applyFill="1"/>
    <xf numFmtId="9" fontId="3" fillId="7" borderId="0" xfId="0" applyNumberFormat="1" applyFont="1" applyFill="1" applyAlignment="1">
      <alignment horizontal="center"/>
    </xf>
    <xf numFmtId="0" fontId="6" fillId="7" borderId="0" xfId="0" applyFont="1" applyFill="1" applyAlignment="1">
      <alignment horizontal="center"/>
    </xf>
    <xf numFmtId="0" fontId="3" fillId="7" borderId="1" xfId="0" applyFont="1" applyFill="1" applyBorder="1"/>
    <xf numFmtId="43" fontId="25" fillId="0" borderId="0" xfId="5" applyFont="1" applyAlignment="1">
      <alignment vertical="center"/>
    </xf>
    <xf numFmtId="43" fontId="25" fillId="0" borderId="0" xfId="5" applyFont="1" applyAlignment="1"/>
    <xf numFmtId="164" fontId="3" fillId="0" borderId="0" xfId="2" applyNumberFormat="1" applyFont="1" applyFill="1"/>
    <xf numFmtId="0" fontId="3" fillId="0" borderId="1" xfId="0" applyFont="1" applyBorder="1" applyAlignment="1">
      <alignment horizontal="left"/>
    </xf>
    <xf numFmtId="44" fontId="3" fillId="0" borderId="0" xfId="3" applyNumberFormat="1" applyFont="1" applyFill="1" applyAlignment="1">
      <alignment horizontal="center"/>
    </xf>
    <xf numFmtId="43" fontId="3" fillId="0" borderId="1" xfId="5" applyFont="1" applyFill="1" applyBorder="1"/>
    <xf numFmtId="43" fontId="3" fillId="0" borderId="0" xfId="1" applyFont="1" applyFill="1" applyBorder="1" applyAlignment="1">
      <alignment horizontal="center" vertical="center"/>
    </xf>
    <xf numFmtId="43" fontId="12" fillId="0" borderId="0" xfId="1" applyFont="1" applyFill="1" applyAlignment="1">
      <alignment vertical="center"/>
    </xf>
    <xf numFmtId="43" fontId="7" fillId="0" borderId="0" xfId="1" applyFont="1" applyBorder="1"/>
    <xf numFmtId="42" fontId="3" fillId="0" borderId="0" xfId="2" applyNumberFormat="1" applyFont="1" applyBorder="1"/>
    <xf numFmtId="173" fontId="3" fillId="0" borderId="0" xfId="6" applyNumberFormat="1" applyFont="1" applyBorder="1" applyAlignment="1">
      <alignment horizontal="center"/>
    </xf>
    <xf numFmtId="173" fontId="3" fillId="0" borderId="1" xfId="5" applyNumberFormat="1" applyFont="1" applyBorder="1" applyAlignment="1"/>
    <xf numFmtId="43" fontId="3" fillId="0" borderId="0" xfId="0" applyNumberFormat="1" applyFont="1" applyAlignment="1">
      <alignment horizontal="center"/>
    </xf>
    <xf numFmtId="43" fontId="0" fillId="0" borderId="0" xfId="0" applyNumberFormat="1"/>
    <xf numFmtId="169" fontId="0" fillId="0" borderId="0" xfId="0" applyNumberFormat="1"/>
    <xf numFmtId="173" fontId="25" fillId="0" borderId="0" xfId="1" applyNumberFormat="1" applyFont="1"/>
    <xf numFmtId="43" fontId="3" fillId="0" borderId="3" xfId="1" applyFont="1" applyBorder="1" applyAlignment="1"/>
    <xf numFmtId="10" fontId="3" fillId="0" borderId="2" xfId="3" applyNumberFormat="1" applyFont="1" applyBorder="1" applyAlignment="1"/>
    <xf numFmtId="43" fontId="3" fillId="0" borderId="4" xfId="1" applyFont="1" applyBorder="1" applyAlignment="1"/>
    <xf numFmtId="43" fontId="3" fillId="0" borderId="7" xfId="1" applyFont="1" applyBorder="1" applyAlignment="1"/>
    <xf numFmtId="43" fontId="3" fillId="0" borderId="8" xfId="1" applyFont="1" applyBorder="1" applyAlignment="1"/>
    <xf numFmtId="0" fontId="6" fillId="0" borderId="0" xfId="0" applyFont="1" applyAlignment="1">
      <alignment horizontal="left"/>
    </xf>
    <xf numFmtId="43" fontId="3" fillId="0" borderId="8" xfId="1" applyFont="1" applyBorder="1" applyAlignment="1">
      <alignment vertical="center"/>
    </xf>
    <xf numFmtId="43" fontId="3" fillId="0" borderId="5" xfId="1" applyFont="1" applyBorder="1" applyAlignment="1"/>
    <xf numFmtId="43" fontId="3" fillId="0" borderId="1" xfId="1" applyFont="1" applyBorder="1" applyAlignment="1"/>
    <xf numFmtId="173" fontId="3" fillId="0" borderId="1" xfId="1" applyNumberFormat="1" applyFont="1" applyBorder="1" applyAlignment="1"/>
    <xf numFmtId="0" fontId="3" fillId="0" borderId="1" xfId="1" applyNumberFormat="1" applyFont="1" applyBorder="1" applyAlignment="1">
      <alignment horizontal="left"/>
    </xf>
    <xf numFmtId="0" fontId="3" fillId="0" borderId="1" xfId="1" applyNumberFormat="1" applyFont="1" applyBorder="1" applyAlignment="1"/>
    <xf numFmtId="10" fontId="3" fillId="0" borderId="1" xfId="3" applyNumberFormat="1" applyFont="1" applyBorder="1" applyAlignment="1"/>
    <xf numFmtId="43" fontId="3" fillId="0" borderId="6" xfId="1" applyFont="1" applyBorder="1" applyAlignment="1"/>
    <xf numFmtId="43" fontId="4" fillId="0" borderId="0" xfId="1" applyFont="1" applyAlignment="1">
      <alignment horizontal="center" vertical="center"/>
    </xf>
    <xf numFmtId="3" fontId="20" fillId="0" borderId="0" xfId="0" applyNumberFormat="1" applyFont="1" applyAlignment="1">
      <alignment horizontal="center" vertical="center"/>
    </xf>
    <xf numFmtId="0" fontId="0" fillId="0" borderId="0" xfId="0" applyAlignment="1">
      <alignment horizontal="center" vertical="center"/>
    </xf>
    <xf numFmtId="43" fontId="7" fillId="0" borderId="0" xfId="1" applyFont="1" applyAlignment="1">
      <alignment horizontal="center"/>
    </xf>
    <xf numFmtId="0" fontId="0" fillId="0" borderId="0" xfId="0" applyAlignment="1">
      <alignment horizontal="center"/>
    </xf>
    <xf numFmtId="43" fontId="4" fillId="0" borderId="0" xfId="1" applyFont="1" applyBorder="1" applyAlignment="1">
      <alignment horizontal="center" vertical="center"/>
    </xf>
    <xf numFmtId="43" fontId="3" fillId="3" borderId="0" xfId="1" applyFont="1" applyFill="1" applyAlignment="1">
      <alignment horizontal="center"/>
    </xf>
    <xf numFmtId="43" fontId="10" fillId="0" borderId="0" xfId="5" applyFont="1" applyBorder="1" applyAlignment="1">
      <alignment horizontal="center" vertical="center"/>
    </xf>
    <xf numFmtId="43" fontId="10" fillId="0" borderId="7" xfId="5" applyFont="1" applyFill="1" applyBorder="1" applyAlignment="1">
      <alignment horizontal="center" vertical="center"/>
    </xf>
    <xf numFmtId="43" fontId="10" fillId="0" borderId="8" xfId="5" applyFont="1" applyFill="1" applyBorder="1" applyAlignment="1">
      <alignment horizontal="center" vertical="center"/>
    </xf>
    <xf numFmtId="43" fontId="10" fillId="0" borderId="7" xfId="5" applyFont="1" applyBorder="1" applyAlignment="1">
      <alignment horizontal="center" vertical="center"/>
    </xf>
    <xf numFmtId="43" fontId="10" fillId="0" borderId="8" xfId="5" applyFont="1" applyBorder="1" applyAlignment="1">
      <alignment horizontal="center" vertical="center"/>
    </xf>
    <xf numFmtId="3" fontId="4" fillId="0" borderId="0" xfId="0" applyNumberFormat="1" applyFont="1" applyAlignment="1">
      <alignment horizontal="center"/>
    </xf>
    <xf numFmtId="3" fontId="5" fillId="0" borderId="0" xfId="0" applyNumberFormat="1" applyFont="1" applyAlignment="1">
      <alignment horizontal="center"/>
    </xf>
    <xf numFmtId="3" fontId="11" fillId="0" borderId="0" xfId="0" applyNumberFormat="1" applyFont="1" applyAlignment="1">
      <alignment horizontal="center" vertical="center"/>
    </xf>
    <xf numFmtId="3" fontId="7" fillId="0" borderId="0" xfId="0" applyNumberFormat="1" applyFont="1" applyAlignment="1">
      <alignment horizontal="center"/>
    </xf>
    <xf numFmtId="165" fontId="6" fillId="0" borderId="0" xfId="1" applyNumberFormat="1" applyFont="1" applyBorder="1" applyAlignment="1">
      <alignment horizontal="center"/>
    </xf>
    <xf numFmtId="43" fontId="4" fillId="0" borderId="2" xfId="1" applyFont="1" applyBorder="1" applyAlignment="1">
      <alignment horizontal="center"/>
    </xf>
    <xf numFmtId="0" fontId="6" fillId="0" borderId="0" xfId="0" applyFont="1" applyAlignment="1">
      <alignment horizontal="left"/>
    </xf>
    <xf numFmtId="0" fontId="7" fillId="0" borderId="0" xfId="0" applyFont="1" applyAlignment="1">
      <alignment horizontal="left"/>
    </xf>
    <xf numFmtId="43" fontId="9" fillId="0" borderId="0" xfId="5" applyFont="1" applyBorder="1" applyAlignment="1">
      <alignment horizontal="center"/>
    </xf>
    <xf numFmtId="0" fontId="36" fillId="0" borderId="0" xfId="0" applyFont="1" applyAlignment="1">
      <alignment horizontal="center"/>
    </xf>
    <xf numFmtId="0" fontId="5" fillId="0" borderId="0" xfId="0" applyFont="1" applyAlignment="1">
      <alignment horizontal="center"/>
    </xf>
    <xf numFmtId="0" fontId="5" fillId="0" borderId="17" xfId="0" applyFont="1" applyBorder="1" applyAlignment="1">
      <alignment horizontal="center"/>
    </xf>
    <xf numFmtId="3" fontId="11" fillId="0" borderId="17" xfId="0" applyNumberFormat="1" applyFont="1" applyBorder="1" applyAlignment="1">
      <alignment horizontal="center" vertical="center"/>
    </xf>
    <xf numFmtId="43" fontId="4" fillId="0" borderId="14" xfId="1" applyFont="1" applyBorder="1" applyAlignment="1">
      <alignment horizontal="center"/>
    </xf>
    <xf numFmtId="43" fontId="4" fillId="0" borderId="15" xfId="1" applyFont="1" applyBorder="1" applyAlignment="1">
      <alignment horizontal="center"/>
    </xf>
    <xf numFmtId="43" fontId="3" fillId="0" borderId="0" xfId="5" applyFont="1" applyAlignment="1">
      <alignment horizontal="center"/>
    </xf>
    <xf numFmtId="43" fontId="3" fillId="0" borderId="0" xfId="5" applyFont="1" applyBorder="1" applyAlignment="1">
      <alignment horizontal="center"/>
    </xf>
    <xf numFmtId="0" fontId="7" fillId="0" borderId="2" xfId="0" applyFont="1" applyBorder="1" applyAlignment="1">
      <alignment horizontal="left"/>
    </xf>
    <xf numFmtId="173" fontId="3" fillId="0" borderId="0" xfId="0" applyNumberFormat="1" applyFont="1" applyAlignment="1">
      <alignment horizontal="center"/>
    </xf>
    <xf numFmtId="0" fontId="7" fillId="0" borderId="2" xfId="0" applyFont="1" applyBorder="1" applyAlignment="1">
      <alignment horizontal="center"/>
    </xf>
    <xf numFmtId="0" fontId="7" fillId="0" borderId="0" xfId="0" applyFont="1" applyAlignment="1">
      <alignment horizontal="center"/>
    </xf>
    <xf numFmtId="173" fontId="7" fillId="0" borderId="0" xfId="0" applyNumberFormat="1" applyFont="1" applyAlignment="1">
      <alignment horizontal="center"/>
    </xf>
    <xf numFmtId="43" fontId="11" fillId="0" borderId="0" xfId="5" applyFont="1" applyBorder="1" applyAlignment="1">
      <alignment horizontal="center" vertical="center"/>
    </xf>
    <xf numFmtId="37" fontId="3" fillId="0" borderId="0" xfId="0" applyNumberFormat="1" applyFont="1" applyAlignment="1">
      <alignment horizontal="center"/>
    </xf>
    <xf numFmtId="0" fontId="20" fillId="0" borderId="0" xfId="0" applyFont="1" applyBorder="1" applyAlignment="1">
      <alignment horizontal="center"/>
    </xf>
    <xf numFmtId="3" fontId="20" fillId="0" borderId="0" xfId="0" applyNumberFormat="1" applyFont="1" applyBorder="1" applyAlignment="1">
      <alignment horizontal="center" vertical="center"/>
    </xf>
    <xf numFmtId="3" fontId="4" fillId="0" borderId="0" xfId="0" applyNumberFormat="1" applyFont="1" applyBorder="1" applyAlignment="1">
      <alignment horizontal="center" vertical="center"/>
    </xf>
  </cellXfs>
  <cellStyles count="22">
    <cellStyle name="AccountDetailRowBalanceCol" xfId="15" xr:uid="{E702E259-BADC-4CFC-83F7-7ED661EA58CA}"/>
    <cellStyle name="AccountDetailRowDescCol" xfId="14" xr:uid="{32ECF78C-F3A8-4C52-841D-8E41292309BA}"/>
    <cellStyle name="AccountDetailRowNameCol" xfId="13" xr:uid="{ED721418-A2DE-485F-8533-BC3584C7DA15}"/>
    <cellStyle name="Comma" xfId="1" builtinId="3"/>
    <cellStyle name="Comma 2" xfId="5" xr:uid="{00000000-0005-0000-0000-000001000000}"/>
    <cellStyle name="Comma 3" xfId="9" xr:uid="{00000000-0005-0000-0000-000002000000}"/>
    <cellStyle name="Currency" xfId="2" builtinId="4"/>
    <cellStyle name="Currency 2" xfId="6" xr:uid="{00000000-0005-0000-0000-000004000000}"/>
    <cellStyle name="Currency 3" xfId="10" xr:uid="{00000000-0005-0000-0000-000005000000}"/>
    <cellStyle name="Hyperlink" xfId="11" builtinId="8"/>
    <cellStyle name="Normal" xfId="0" builtinId="0"/>
    <cellStyle name="Normal 2" xfId="4" xr:uid="{00000000-0005-0000-0000-000007000000}"/>
    <cellStyle name="Normal 3" xfId="8" xr:uid="{00000000-0005-0000-0000-000008000000}"/>
    <cellStyle name="Percent" xfId="3" builtinId="5"/>
    <cellStyle name="Percent 2" xfId="7" xr:uid="{00000000-0005-0000-0000-00000A000000}"/>
    <cellStyle name="SubgroupSectionHeaderRowDescCol" xfId="12" xr:uid="{7F6FC37A-44E3-44AE-A38F-4AED7212030B}"/>
    <cellStyle name="SubgroupSubtotalRowBalanceCol" xfId="21" xr:uid="{1863B9A3-507E-46BC-B014-75BCEFEC3397}"/>
    <cellStyle name="SubgroupSubtotalRowDescCol" xfId="20" xr:uid="{BF324CD9-40EA-4D64-AFEF-C5EB5A3E704B}"/>
    <cellStyle name="SubgroupSubtotalRowNameCol" xfId="19" xr:uid="{AABEAD5A-DC0C-4E8E-ACDA-A75A8249CDEB}"/>
    <cellStyle name="UnclassifiedTotalRowBalanceCol" xfId="18" xr:uid="{496D893F-E389-4266-94CB-CED2CD29139A}"/>
    <cellStyle name="UnclassifiedTotalRowDescCol" xfId="17" xr:uid="{F43D2919-5F14-4120-BF4E-5152B5812CFE}"/>
    <cellStyle name="UnclassifiedTotalRowNameCol" xfId="16" xr:uid="{80576BC2-9575-45BB-8C9B-022432449D2B}"/>
  </cellStyles>
  <dxfs count="0"/>
  <tableStyles count="0" defaultTableStyle="TableStyleMedium2" defaultPivotStyle="PivotStyleLight16"/>
  <colors>
    <mruColors>
      <color rgb="FFFF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pageSetUpPr fitToPage="1"/>
  </sheetPr>
  <dimension ref="A1:L65"/>
  <sheetViews>
    <sheetView showGridLines="0" tabSelected="1" workbookViewId="0">
      <selection activeCell="G20" sqref="G20"/>
    </sheetView>
  </sheetViews>
  <sheetFormatPr defaultColWidth="8.765625" defaultRowHeight="14.5" x14ac:dyDescent="0.35"/>
  <cols>
    <col min="1" max="1" width="3.69140625" style="4" customWidth="1"/>
    <col min="2" max="2" width="2.69140625" style="4" customWidth="1"/>
    <col min="3" max="3" width="32" style="4" bestFit="1" customWidth="1"/>
    <col min="4" max="4" width="11.3046875" style="4" customWidth="1"/>
    <col min="5" max="5" width="11.53515625" style="4" customWidth="1"/>
    <col min="6" max="6" width="5.3046875" style="4" customWidth="1"/>
    <col min="7" max="7" width="11.53515625" style="4" customWidth="1"/>
    <col min="8" max="8" width="3.61328125" style="4" customWidth="1"/>
    <col min="9" max="9" width="18.765625" style="4" customWidth="1"/>
    <col min="10" max="10" width="11.3046875" style="4" customWidth="1"/>
    <col min="11" max="11" width="18.23046875" style="4" customWidth="1"/>
    <col min="12" max="12" width="10.84375" style="4" customWidth="1"/>
    <col min="13" max="16384" width="8.765625" style="4"/>
  </cols>
  <sheetData>
    <row r="1" spans="1:12" ht="18.5" x14ac:dyDescent="0.35">
      <c r="A1" s="495" t="s">
        <v>27</v>
      </c>
      <c r="B1" s="495"/>
      <c r="C1" s="495"/>
      <c r="D1" s="495"/>
      <c r="E1" s="495"/>
      <c r="F1" s="495"/>
      <c r="G1" s="495"/>
      <c r="H1" s="35"/>
      <c r="I1" s="35"/>
      <c r="J1" s="35"/>
      <c r="K1" s="35"/>
    </row>
    <row r="2" spans="1:12" ht="21" x14ac:dyDescent="0.35">
      <c r="A2" s="496" t="s">
        <v>233</v>
      </c>
      <c r="B2" s="497"/>
      <c r="C2" s="497"/>
      <c r="D2" s="497"/>
      <c r="E2" s="497"/>
      <c r="F2" s="497"/>
      <c r="G2" s="497"/>
      <c r="H2" s="259"/>
      <c r="I2" s="35"/>
      <c r="J2" s="35"/>
      <c r="K2" s="35"/>
      <c r="L2" s="35"/>
    </row>
    <row r="3" spans="1:12" x14ac:dyDescent="0.35">
      <c r="A3" s="23"/>
      <c r="B3" s="34"/>
      <c r="C3" s="34"/>
      <c r="D3" s="294" t="s">
        <v>245</v>
      </c>
      <c r="E3" s="34"/>
      <c r="F3" s="34"/>
      <c r="G3" s="34"/>
      <c r="H3" s="35"/>
      <c r="I3" s="35"/>
      <c r="J3" s="35"/>
      <c r="K3" s="35"/>
    </row>
    <row r="4" spans="1:12" ht="16" x14ac:dyDescent="0.35">
      <c r="A4" s="35"/>
      <c r="B4" s="35"/>
      <c r="C4" s="35"/>
      <c r="D4" s="36" t="s">
        <v>28</v>
      </c>
      <c r="E4" s="36" t="s">
        <v>29</v>
      </c>
      <c r="F4" s="36" t="s">
        <v>30</v>
      </c>
      <c r="G4" s="36" t="s">
        <v>31</v>
      </c>
      <c r="H4" s="35"/>
      <c r="I4" s="47" t="s">
        <v>36</v>
      </c>
      <c r="J4" s="35"/>
      <c r="L4" s="174" t="s">
        <v>162</v>
      </c>
    </row>
    <row r="5" spans="1:12" x14ac:dyDescent="0.35">
      <c r="A5" s="37" t="s">
        <v>13</v>
      </c>
      <c r="B5" s="35"/>
      <c r="C5" s="35"/>
      <c r="D5" s="35"/>
      <c r="F5" s="35"/>
      <c r="G5" s="35"/>
      <c r="H5" s="35"/>
      <c r="J5" s="35"/>
      <c r="K5" s="35"/>
    </row>
    <row r="6" spans="1:12" x14ac:dyDescent="0.35">
      <c r="A6" s="35"/>
      <c r="B6" s="35" t="s">
        <v>234</v>
      </c>
      <c r="C6" s="35"/>
      <c r="D6" s="265">
        <v>2174947</v>
      </c>
      <c r="E6" s="266">
        <f>ExBA!G21</f>
        <v>40198.490000000224</v>
      </c>
      <c r="F6" s="411" t="s">
        <v>175</v>
      </c>
      <c r="G6" s="266">
        <f>D6+E6</f>
        <v>2215145.4900000002</v>
      </c>
      <c r="H6" s="39"/>
      <c r="I6" s="238" t="s">
        <v>334</v>
      </c>
      <c r="J6" s="35"/>
      <c r="K6" s="173"/>
      <c r="L6" s="4" t="s">
        <v>326</v>
      </c>
    </row>
    <row r="7" spans="1:12" x14ac:dyDescent="0.35">
      <c r="A7" s="35"/>
      <c r="B7" s="35" t="s">
        <v>235</v>
      </c>
      <c r="C7" s="35"/>
      <c r="D7" s="418">
        <v>586546</v>
      </c>
      <c r="E7" s="238"/>
      <c r="F7" s="411"/>
      <c r="G7" s="418">
        <f>D7+E7</f>
        <v>586546</v>
      </c>
      <c r="H7" s="40"/>
      <c r="I7" s="33"/>
      <c r="J7" s="35"/>
      <c r="K7" s="35"/>
    </row>
    <row r="8" spans="1:12" x14ac:dyDescent="0.35">
      <c r="A8" s="35"/>
      <c r="B8" s="35" t="s">
        <v>236</v>
      </c>
      <c r="C8" s="35"/>
      <c r="D8" s="418">
        <v>289496</v>
      </c>
      <c r="E8" s="238"/>
      <c r="F8" s="411"/>
      <c r="G8" s="424">
        <f t="shared" ref="G8:G12" si="0">D8+E8</f>
        <v>289496</v>
      </c>
      <c r="H8" s="39"/>
      <c r="I8" s="195"/>
      <c r="J8" s="35"/>
    </row>
    <row r="9" spans="1:12" x14ac:dyDescent="0.35">
      <c r="A9" s="35"/>
      <c r="B9" s="35" t="s">
        <v>15</v>
      </c>
      <c r="C9" s="35"/>
      <c r="D9" s="418"/>
      <c r="E9" s="238"/>
      <c r="F9" s="411"/>
      <c r="G9" s="424">
        <f t="shared" si="0"/>
        <v>0</v>
      </c>
      <c r="H9" s="41"/>
      <c r="I9" s="35"/>
      <c r="J9" s="35"/>
      <c r="K9" s="35"/>
    </row>
    <row r="10" spans="1:12" x14ac:dyDescent="0.35">
      <c r="A10" s="35"/>
      <c r="B10" s="35"/>
      <c r="C10" s="35" t="s">
        <v>37</v>
      </c>
      <c r="D10" s="418"/>
      <c r="E10" s="238"/>
      <c r="F10" s="411"/>
      <c r="G10" s="424">
        <f t="shared" si="0"/>
        <v>0</v>
      </c>
      <c r="H10" s="39"/>
      <c r="I10" s="35"/>
      <c r="J10" s="35"/>
      <c r="K10" s="35"/>
    </row>
    <row r="11" spans="1:12" x14ac:dyDescent="0.35">
      <c r="A11" s="35"/>
      <c r="B11" s="35"/>
      <c r="C11" s="35" t="s">
        <v>160</v>
      </c>
      <c r="D11" s="418">
        <v>206503</v>
      </c>
      <c r="E11" s="238">
        <v>0</v>
      </c>
      <c r="F11" s="411"/>
      <c r="G11" s="424">
        <f t="shared" si="0"/>
        <v>206503</v>
      </c>
      <c r="H11" s="39"/>
      <c r="I11" s="35"/>
      <c r="J11" s="35"/>
      <c r="K11" s="35"/>
    </row>
    <row r="12" spans="1:12" ht="16" x14ac:dyDescent="0.35">
      <c r="A12" s="35"/>
      <c r="B12" s="35"/>
      <c r="C12" s="35" t="s">
        <v>183</v>
      </c>
      <c r="D12" s="419"/>
      <c r="E12" s="412">
        <v>0</v>
      </c>
      <c r="F12" s="411"/>
      <c r="G12" s="429">
        <f t="shared" si="0"/>
        <v>0</v>
      </c>
      <c r="H12" s="39"/>
      <c r="I12" s="35"/>
      <c r="J12" s="35"/>
      <c r="K12" s="35"/>
    </row>
    <row r="13" spans="1:12" x14ac:dyDescent="0.35">
      <c r="A13" s="42" t="s">
        <v>16</v>
      </c>
      <c r="B13" s="35"/>
      <c r="C13" s="35"/>
      <c r="D13" s="418">
        <f>SUM(D6:D12)</f>
        <v>3257492</v>
      </c>
      <c r="E13" s="421">
        <f>SUM(E6:E12)</f>
        <v>40198.490000000224</v>
      </c>
      <c r="F13" s="38"/>
      <c r="G13" s="418">
        <f>SUM(G6:G12)</f>
        <v>3297690.49</v>
      </c>
      <c r="H13" s="41"/>
      <c r="J13" s="35"/>
      <c r="K13" s="35"/>
    </row>
    <row r="14" spans="1:12" x14ac:dyDescent="0.35">
      <c r="A14" s="35"/>
      <c r="B14" s="35"/>
      <c r="C14" s="35"/>
      <c r="D14" s="418"/>
      <c r="E14" s="421"/>
      <c r="F14" s="38"/>
      <c r="G14" s="418"/>
      <c r="H14" s="41"/>
      <c r="I14" s="35"/>
      <c r="J14" s="35"/>
      <c r="K14" s="35"/>
    </row>
    <row r="15" spans="1:12" x14ac:dyDescent="0.35">
      <c r="A15" s="37" t="s">
        <v>17</v>
      </c>
      <c r="B15" s="35"/>
      <c r="C15" s="35"/>
      <c r="D15" s="418"/>
      <c r="E15" s="421"/>
      <c r="F15" s="38"/>
      <c r="G15" s="418"/>
      <c r="H15" s="41"/>
      <c r="I15" s="35"/>
      <c r="J15" s="35"/>
      <c r="K15" s="35"/>
    </row>
    <row r="16" spans="1:12" x14ac:dyDescent="0.35">
      <c r="A16" s="35"/>
      <c r="B16" s="35" t="s">
        <v>32</v>
      </c>
      <c r="C16" s="35"/>
      <c r="D16" s="418"/>
      <c r="E16" s="421"/>
      <c r="F16" s="38"/>
      <c r="G16" s="418"/>
      <c r="H16" s="41"/>
      <c r="I16" s="35"/>
      <c r="J16" s="35"/>
      <c r="K16" s="35"/>
    </row>
    <row r="17" spans="1:12" x14ac:dyDescent="0.35">
      <c r="A17" s="35"/>
      <c r="B17" s="35"/>
      <c r="C17" s="35" t="s">
        <v>2</v>
      </c>
      <c r="D17" s="418">
        <v>1117626</v>
      </c>
      <c r="E17" s="421"/>
      <c r="F17" s="43"/>
      <c r="G17" s="418"/>
      <c r="H17" s="39"/>
      <c r="J17" s="35"/>
      <c r="K17" s="35"/>
    </row>
    <row r="18" spans="1:12" x14ac:dyDescent="0.35">
      <c r="A18" s="35"/>
      <c r="B18" s="35"/>
      <c r="C18" s="35"/>
      <c r="D18" s="418"/>
      <c r="E18" s="423">
        <f>Wages!K35</f>
        <v>100679.80870576925</v>
      </c>
      <c r="F18" s="428" t="s">
        <v>199</v>
      </c>
      <c r="G18" s="418"/>
      <c r="H18" s="39"/>
      <c r="I18" s="238" t="s">
        <v>217</v>
      </c>
      <c r="J18" s="35"/>
      <c r="K18" s="35"/>
      <c r="L18" s="4" t="s">
        <v>352</v>
      </c>
    </row>
    <row r="19" spans="1:12" x14ac:dyDescent="0.35">
      <c r="A19" s="35"/>
      <c r="B19" s="35"/>
      <c r="C19" s="35"/>
      <c r="D19" s="418"/>
      <c r="E19" s="480">
        <f>-Capital!C5</f>
        <v>-16994.225999999999</v>
      </c>
      <c r="F19" s="428" t="s">
        <v>200</v>
      </c>
      <c r="G19" s="418">
        <f>D17+E17+E18+E19</f>
        <v>1201311.5827057692</v>
      </c>
      <c r="H19" s="39"/>
      <c r="I19" s="35" t="s">
        <v>294</v>
      </c>
      <c r="J19" s="35"/>
      <c r="K19" s="35"/>
      <c r="L19" s="4" t="s">
        <v>297</v>
      </c>
    </row>
    <row r="20" spans="1:12" x14ac:dyDescent="0.35">
      <c r="A20" s="35"/>
      <c r="B20" s="35"/>
      <c r="C20" s="35" t="s">
        <v>3</v>
      </c>
      <c r="D20" s="418">
        <v>30000</v>
      </c>
      <c r="E20" s="424">
        <f>Wages!K64</f>
        <v>0</v>
      </c>
      <c r="F20" s="411"/>
      <c r="G20" s="418">
        <f>D20+E20</f>
        <v>30000</v>
      </c>
      <c r="H20" s="39"/>
      <c r="I20" s="205"/>
    </row>
    <row r="21" spans="1:12" x14ac:dyDescent="0.35">
      <c r="A21" s="35"/>
      <c r="B21" s="35"/>
      <c r="C21" s="35" t="s">
        <v>4</v>
      </c>
      <c r="D21" s="418">
        <v>403483</v>
      </c>
      <c r="E21" s="427"/>
      <c r="F21" s="428"/>
      <c r="G21" s="418"/>
      <c r="H21" s="39"/>
      <c r="I21" s="205"/>
      <c r="J21" s="35"/>
      <c r="K21" s="35"/>
      <c r="L21" s="230"/>
    </row>
    <row r="22" spans="1:12" x14ac:dyDescent="0.35">
      <c r="A22" s="35"/>
      <c r="B22" s="35"/>
      <c r="C22" s="35"/>
      <c r="D22" s="418"/>
      <c r="E22" s="423">
        <f>Medical!C57</f>
        <v>-1697.3600000000442</v>
      </c>
      <c r="F22" s="428" t="s">
        <v>209</v>
      </c>
      <c r="G22" s="418"/>
      <c r="H22" s="39"/>
      <c r="I22" s="238" t="s">
        <v>369</v>
      </c>
      <c r="J22" s="35"/>
      <c r="K22" s="35"/>
      <c r="L22" s="230" t="s">
        <v>368</v>
      </c>
    </row>
    <row r="23" spans="1:12" x14ac:dyDescent="0.35">
      <c r="A23" s="35"/>
      <c r="B23" s="35"/>
      <c r="C23" s="35"/>
      <c r="D23" s="418"/>
      <c r="E23" s="424">
        <f>Wages!K47</f>
        <v>-10940.107502400002</v>
      </c>
      <c r="F23" s="428" t="s">
        <v>210</v>
      </c>
      <c r="G23" s="424"/>
      <c r="H23" s="472"/>
      <c r="I23" s="238" t="s">
        <v>390</v>
      </c>
      <c r="J23" s="35"/>
      <c r="K23" s="35"/>
      <c r="L23" s="205" t="s">
        <v>393</v>
      </c>
    </row>
    <row r="24" spans="1:12" x14ac:dyDescent="0.35">
      <c r="A24" s="35"/>
      <c r="B24" s="35"/>
      <c r="C24" s="35"/>
      <c r="D24" s="418"/>
      <c r="E24" s="413"/>
      <c r="F24" s="428"/>
      <c r="G24" s="422">
        <f>D21+E21+E22+E23</f>
        <v>390845.53249759995</v>
      </c>
      <c r="H24" s="39"/>
      <c r="I24" s="150"/>
      <c r="J24" s="35"/>
      <c r="K24" s="35"/>
    </row>
    <row r="25" spans="1:12" x14ac:dyDescent="0.35">
      <c r="A25" s="35"/>
      <c r="B25" s="35"/>
      <c r="C25" s="35" t="s">
        <v>5</v>
      </c>
      <c r="D25" s="418">
        <v>46</v>
      </c>
      <c r="E25" s="414">
        <f>'Water Loss'!D19</f>
        <v>0</v>
      </c>
      <c r="F25" s="428"/>
      <c r="G25" s="418">
        <f>D25+E25</f>
        <v>46</v>
      </c>
      <c r="H25" s="44"/>
    </row>
    <row r="26" spans="1:12" x14ac:dyDescent="0.35">
      <c r="A26" s="35"/>
      <c r="B26" s="35"/>
      <c r="C26" s="35" t="s">
        <v>6</v>
      </c>
      <c r="D26" s="418">
        <v>206981</v>
      </c>
      <c r="E26" s="414">
        <f>'Water Loss'!D20</f>
        <v>0</v>
      </c>
      <c r="F26" s="428"/>
      <c r="G26" s="418">
        <f>D26+E26</f>
        <v>206981</v>
      </c>
      <c r="H26" s="45"/>
      <c r="J26" s="35"/>
      <c r="K26" s="35"/>
    </row>
    <row r="27" spans="1:12" hidden="1" x14ac:dyDescent="0.35">
      <c r="A27" s="35"/>
      <c r="B27" s="35"/>
      <c r="C27" s="35"/>
      <c r="D27" s="418"/>
      <c r="E27" s="307"/>
      <c r="F27" s="428"/>
      <c r="G27" s="418"/>
      <c r="H27" s="45"/>
      <c r="J27" s="35"/>
      <c r="K27" s="35"/>
    </row>
    <row r="28" spans="1:12" ht="16" customHeight="1" x14ac:dyDescent="0.35">
      <c r="A28" s="35"/>
      <c r="B28" s="35"/>
      <c r="C28" s="35" t="s">
        <v>79</v>
      </c>
      <c r="D28" s="418">
        <v>100110</v>
      </c>
      <c r="E28" s="238"/>
      <c r="F28" s="428"/>
      <c r="G28" s="418">
        <f>D28+E28</f>
        <v>100110</v>
      </c>
      <c r="H28" s="45"/>
      <c r="J28" s="35"/>
      <c r="K28" s="35"/>
    </row>
    <row r="29" spans="1:12" x14ac:dyDescent="0.35">
      <c r="A29" s="35"/>
      <c r="B29" s="35"/>
      <c r="C29" s="35" t="s">
        <v>7</v>
      </c>
      <c r="D29" s="418">
        <v>210769</v>
      </c>
      <c r="E29" s="480">
        <f>-Capital!C6</f>
        <v>-39653.193999999996</v>
      </c>
      <c r="F29" s="428" t="s">
        <v>200</v>
      </c>
      <c r="G29" s="418"/>
      <c r="H29" s="39"/>
      <c r="I29" s="35" t="s">
        <v>295</v>
      </c>
      <c r="J29" s="35"/>
      <c r="K29" s="35"/>
      <c r="L29" s="4" t="s">
        <v>296</v>
      </c>
    </row>
    <row r="30" spans="1:12" x14ac:dyDescent="0.35">
      <c r="A30" s="35"/>
      <c r="B30" s="35"/>
      <c r="C30" s="35"/>
      <c r="D30" s="418"/>
      <c r="E30" s="238"/>
      <c r="F30" s="428"/>
      <c r="G30" s="418">
        <f>D29+E29+E30</f>
        <v>171115.80600000001</v>
      </c>
      <c r="H30" s="39"/>
      <c r="I30" s="221"/>
      <c r="J30" s="35"/>
      <c r="K30" s="35"/>
    </row>
    <row r="31" spans="1:12" x14ac:dyDescent="0.35">
      <c r="A31" s="35"/>
      <c r="B31" s="35"/>
      <c r="C31" s="35" t="s">
        <v>237</v>
      </c>
      <c r="D31" s="418">
        <v>1155</v>
      </c>
      <c r="E31" s="238"/>
      <c r="F31" s="428"/>
      <c r="G31" s="418">
        <f>D31+E31</f>
        <v>1155</v>
      </c>
      <c r="H31" s="39"/>
      <c r="I31" s="35"/>
      <c r="J31" s="35"/>
      <c r="K31" s="35"/>
    </row>
    <row r="32" spans="1:12" x14ac:dyDescent="0.35">
      <c r="A32" s="35"/>
      <c r="B32" s="35"/>
      <c r="C32" s="35" t="s">
        <v>187</v>
      </c>
      <c r="D32" s="418">
        <v>12900</v>
      </c>
      <c r="E32" s="238"/>
      <c r="F32" s="428"/>
      <c r="G32" s="418">
        <f t="shared" ref="G32" si="1">D32+E32</f>
        <v>12900</v>
      </c>
      <c r="H32" s="39"/>
      <c r="I32" s="35"/>
      <c r="J32" s="35"/>
      <c r="K32" s="35"/>
    </row>
    <row r="33" spans="1:12" x14ac:dyDescent="0.35">
      <c r="A33" s="35"/>
      <c r="B33" s="35"/>
      <c r="C33" s="35" t="s">
        <v>184</v>
      </c>
      <c r="D33" s="418">
        <v>4007</v>
      </c>
      <c r="E33" s="238"/>
      <c r="F33" s="428"/>
      <c r="G33" s="418">
        <f t="shared" ref="G33:G42" si="2">D33+E33</f>
        <v>4007</v>
      </c>
      <c r="H33" s="39"/>
      <c r="J33" s="35"/>
      <c r="K33" s="35"/>
    </row>
    <row r="34" spans="1:12" x14ac:dyDescent="0.35">
      <c r="A34" s="35"/>
      <c r="B34" s="35"/>
      <c r="C34" s="35" t="s">
        <v>185</v>
      </c>
      <c r="D34" s="418">
        <v>29754</v>
      </c>
      <c r="E34" s="238"/>
      <c r="F34" s="428"/>
      <c r="G34" s="418">
        <f t="shared" si="2"/>
        <v>29754</v>
      </c>
      <c r="H34" s="39"/>
      <c r="I34" s="35"/>
      <c r="J34" s="35"/>
      <c r="K34" s="35"/>
    </row>
    <row r="35" spans="1:12" x14ac:dyDescent="0.35">
      <c r="A35" s="35"/>
      <c r="B35" s="35"/>
      <c r="C35" s="35" t="s">
        <v>188</v>
      </c>
      <c r="D35" s="418">
        <v>18496</v>
      </c>
      <c r="E35" s="238"/>
      <c r="F35" s="428"/>
      <c r="G35" s="418">
        <f t="shared" ref="G35:G36" si="3">D35+E35</f>
        <v>18496</v>
      </c>
      <c r="H35" s="39"/>
      <c r="I35" s="35"/>
      <c r="J35" s="35"/>
      <c r="K35" s="35"/>
    </row>
    <row r="36" spans="1:12" x14ac:dyDescent="0.35">
      <c r="A36" s="35"/>
      <c r="B36" s="35"/>
      <c r="C36" s="35" t="s">
        <v>238</v>
      </c>
      <c r="D36" s="418">
        <v>864</v>
      </c>
      <c r="E36" s="238"/>
      <c r="F36" s="428"/>
      <c r="G36" s="418">
        <f t="shared" si="3"/>
        <v>864</v>
      </c>
      <c r="H36" s="39"/>
      <c r="I36" s="35"/>
      <c r="J36" s="35"/>
      <c r="K36" s="35"/>
    </row>
    <row r="37" spans="1:12" x14ac:dyDescent="0.35">
      <c r="A37" s="35"/>
      <c r="B37" s="35"/>
      <c r="C37" s="35" t="s">
        <v>9</v>
      </c>
      <c r="D37" s="418">
        <v>62370</v>
      </c>
      <c r="E37" s="238"/>
      <c r="F37" s="428"/>
      <c r="G37" s="418">
        <f t="shared" si="2"/>
        <v>62370</v>
      </c>
      <c r="H37" s="41"/>
      <c r="I37" s="35"/>
      <c r="J37" s="35"/>
      <c r="K37" s="35"/>
    </row>
    <row r="38" spans="1:12" x14ac:dyDescent="0.35">
      <c r="A38" s="35"/>
      <c r="B38" s="35"/>
      <c r="C38" s="35" t="s">
        <v>54</v>
      </c>
      <c r="D38" s="418"/>
      <c r="E38" s="238"/>
      <c r="F38" s="428"/>
      <c r="G38" s="418"/>
      <c r="H38" s="41"/>
      <c r="I38" s="35"/>
      <c r="J38" s="35"/>
      <c r="K38" s="35"/>
    </row>
    <row r="39" spans="1:12" x14ac:dyDescent="0.35">
      <c r="A39" s="35"/>
      <c r="B39" s="35"/>
      <c r="C39" s="35" t="s">
        <v>239</v>
      </c>
      <c r="D39" s="418">
        <v>34657</v>
      </c>
      <c r="E39" s="238"/>
      <c r="F39" s="428"/>
      <c r="G39" s="418">
        <f t="shared" si="2"/>
        <v>34657</v>
      </c>
      <c r="H39" s="41"/>
      <c r="I39" s="35"/>
      <c r="J39" s="35"/>
      <c r="K39" s="35"/>
    </row>
    <row r="40" spans="1:12" x14ac:dyDescent="0.35">
      <c r="A40" s="35"/>
      <c r="B40" s="35"/>
      <c r="C40" s="35" t="s">
        <v>186</v>
      </c>
      <c r="D40" s="418">
        <v>8207</v>
      </c>
      <c r="E40" s="238"/>
      <c r="F40" s="428"/>
      <c r="G40" s="418">
        <f t="shared" si="2"/>
        <v>8207</v>
      </c>
      <c r="H40" s="41"/>
      <c r="I40" s="35"/>
      <c r="J40" s="35"/>
      <c r="K40" s="35"/>
    </row>
    <row r="41" spans="1:12" x14ac:dyDescent="0.35">
      <c r="A41" s="35"/>
      <c r="B41" s="35"/>
      <c r="C41" s="35" t="s">
        <v>55</v>
      </c>
      <c r="D41" s="418">
        <v>22370</v>
      </c>
      <c r="E41" s="238"/>
      <c r="F41" s="411"/>
      <c r="G41" s="418">
        <f t="shared" si="2"/>
        <v>22370</v>
      </c>
      <c r="H41" s="41"/>
      <c r="I41" s="35"/>
      <c r="J41" s="35"/>
      <c r="K41" s="35"/>
    </row>
    <row r="42" spans="1:12" ht="16" x14ac:dyDescent="0.35">
      <c r="A42" s="35"/>
      <c r="B42" s="35"/>
      <c r="C42" s="35" t="s">
        <v>8</v>
      </c>
      <c r="D42" s="420">
        <v>88334</v>
      </c>
      <c r="E42" s="253"/>
      <c r="F42" s="428"/>
      <c r="G42" s="420">
        <f t="shared" si="2"/>
        <v>88334</v>
      </c>
      <c r="H42" s="41"/>
      <c r="I42" s="35" t="s">
        <v>370</v>
      </c>
      <c r="J42" s="35"/>
      <c r="K42" s="35"/>
    </row>
    <row r="43" spans="1:12" x14ac:dyDescent="0.35">
      <c r="A43" s="35"/>
      <c r="B43" s="35" t="s">
        <v>33</v>
      </c>
      <c r="C43" s="35"/>
      <c r="D43" s="418">
        <f>SUM(D16:D42)</f>
        <v>2352129</v>
      </c>
      <c r="E43" s="424">
        <f>SUM(E17:E42)</f>
        <v>31394.921203369209</v>
      </c>
      <c r="F43" s="411"/>
      <c r="G43" s="418">
        <f>SUM(G17:G42)</f>
        <v>2383523.9212033693</v>
      </c>
      <c r="H43" s="41"/>
      <c r="I43" s="35"/>
      <c r="J43" s="35"/>
      <c r="K43" s="35"/>
    </row>
    <row r="44" spans="1:12" x14ac:dyDescent="0.35">
      <c r="A44" s="35"/>
      <c r="B44" s="35" t="s">
        <v>241</v>
      </c>
      <c r="C44" s="35"/>
      <c r="D44" s="418">
        <v>5849</v>
      </c>
      <c r="E44" s="424">
        <v>3112</v>
      </c>
      <c r="F44" s="411" t="s">
        <v>211</v>
      </c>
      <c r="G44" s="418">
        <f>D44+E44</f>
        <v>8961</v>
      </c>
      <c r="H44" s="41"/>
      <c r="I44" s="35" t="s">
        <v>389</v>
      </c>
      <c r="J44" s="35"/>
      <c r="K44" s="35"/>
    </row>
    <row r="45" spans="1:12" x14ac:dyDescent="0.35">
      <c r="A45" s="35"/>
      <c r="B45" s="35" t="s">
        <v>18</v>
      </c>
      <c r="C45" s="35"/>
      <c r="D45" s="421">
        <v>682966</v>
      </c>
      <c r="E45" s="424">
        <f>-Depreciation!H51</f>
        <v>-718.15000000002328</v>
      </c>
      <c r="F45" s="411" t="s">
        <v>212</v>
      </c>
      <c r="G45" s="418"/>
      <c r="H45" s="41"/>
      <c r="I45" s="35" t="s">
        <v>394</v>
      </c>
      <c r="J45" s="35"/>
      <c r="K45" s="35"/>
    </row>
    <row r="46" spans="1:12" x14ac:dyDescent="0.35">
      <c r="A46" s="35"/>
      <c r="B46" s="35"/>
      <c r="C46" s="35"/>
      <c r="D46" s="421"/>
      <c r="E46" s="424">
        <f>Depreciation!K40</f>
        <v>76481.312821991349</v>
      </c>
      <c r="F46" s="411" t="s">
        <v>213</v>
      </c>
      <c r="G46" s="418">
        <f>D45+E45+E46</f>
        <v>758729.16282199137</v>
      </c>
      <c r="H46" s="41"/>
      <c r="I46" s="238" t="s">
        <v>332</v>
      </c>
      <c r="J46" s="35"/>
      <c r="L46" s="4" t="s">
        <v>331</v>
      </c>
    </row>
    <row r="47" spans="1:12" ht="16" x14ac:dyDescent="0.35">
      <c r="A47" s="35"/>
      <c r="B47" s="35" t="s">
        <v>1</v>
      </c>
      <c r="C47" s="35"/>
      <c r="D47" s="420">
        <v>89326</v>
      </c>
      <c r="E47" s="425">
        <f>Wages!K43</f>
        <v>6169.3943659913493</v>
      </c>
      <c r="F47" s="471" t="s">
        <v>214</v>
      </c>
      <c r="G47" s="420">
        <f>D47+E47</f>
        <v>95495.394365991349</v>
      </c>
      <c r="H47" s="41"/>
      <c r="I47" s="35" t="s">
        <v>378</v>
      </c>
      <c r="J47" s="35"/>
      <c r="L47" s="4" t="s">
        <v>353</v>
      </c>
    </row>
    <row r="48" spans="1:12" ht="16" x14ac:dyDescent="0.35">
      <c r="A48" s="42" t="s">
        <v>0</v>
      </c>
      <c r="B48" s="35"/>
      <c r="C48" s="35"/>
      <c r="D48" s="420">
        <f>SUM(D43:D47)</f>
        <v>3130270</v>
      </c>
      <c r="E48" s="425">
        <f>SUM(E43:E47)</f>
        <v>116439.47839135188</v>
      </c>
      <c r="F48" s="166"/>
      <c r="G48" s="420">
        <f>SUM(G43:G47)</f>
        <v>3246709.4783913521</v>
      </c>
      <c r="H48" s="41"/>
      <c r="I48" s="35"/>
      <c r="J48" s="35"/>
      <c r="K48" s="35"/>
    </row>
    <row r="49" spans="1:11" ht="14.5" customHeight="1" x14ac:dyDescent="0.35">
      <c r="A49" s="42"/>
      <c r="B49" s="35"/>
      <c r="C49" s="35" t="s">
        <v>189</v>
      </c>
      <c r="D49" s="35"/>
      <c r="E49" s="221"/>
      <c r="F49" s="38"/>
      <c r="G49" s="35"/>
      <c r="H49" s="35"/>
      <c r="I49" s="35"/>
      <c r="J49" s="35"/>
      <c r="K49" s="35"/>
    </row>
    <row r="50" spans="1:11" x14ac:dyDescent="0.35">
      <c r="A50" s="42" t="s">
        <v>34</v>
      </c>
      <c r="B50" s="35"/>
      <c r="C50" s="35"/>
      <c r="D50" s="265">
        <f>D13-D48+D49</f>
        <v>127222</v>
      </c>
      <c r="E50" s="266"/>
      <c r="F50" s="267"/>
      <c r="G50" s="265">
        <f>G13-G48</f>
        <v>50981.011608648114</v>
      </c>
      <c r="H50" s="35"/>
      <c r="I50" s="35"/>
      <c r="K50" s="35"/>
    </row>
    <row r="51" spans="1:11" x14ac:dyDescent="0.35">
      <c r="A51" s="35"/>
      <c r="B51" s="35"/>
      <c r="C51" s="35"/>
      <c r="D51" s="35"/>
      <c r="E51" s="35"/>
      <c r="F51" s="38"/>
      <c r="G51" s="35"/>
      <c r="H51" s="35"/>
      <c r="I51" s="35"/>
      <c r="J51" s="35"/>
      <c r="K51" s="35"/>
    </row>
    <row r="53" spans="1:11" ht="15.5" x14ac:dyDescent="0.35">
      <c r="A53" s="498" t="s">
        <v>176</v>
      </c>
      <c r="B53" s="499"/>
      <c r="C53" s="499"/>
      <c r="D53" s="499"/>
      <c r="E53" s="499"/>
      <c r="F53" s="499"/>
      <c r="G53" s="499"/>
    </row>
    <row r="54" spans="1:11" x14ac:dyDescent="0.35">
      <c r="A54" s="4" t="s">
        <v>35</v>
      </c>
      <c r="G54" s="197">
        <f>'Revenue Requirements'!G2</f>
        <v>3246709.4783913521</v>
      </c>
    </row>
    <row r="55" spans="1:11" x14ac:dyDescent="0.35">
      <c r="A55" s="4" t="s">
        <v>19</v>
      </c>
      <c r="C55" s="4" t="s">
        <v>143</v>
      </c>
      <c r="F55" s="428" t="s">
        <v>215</v>
      </c>
      <c r="G55" s="385">
        <f>'Revenue Requirements'!G3</f>
        <v>563325</v>
      </c>
    </row>
    <row r="56" spans="1:11" x14ac:dyDescent="0.35">
      <c r="C56" s="4" t="s">
        <v>144</v>
      </c>
      <c r="F56" s="428" t="s">
        <v>396</v>
      </c>
      <c r="G56" s="385">
        <f>'Revenue Requirements'!G4</f>
        <v>112665</v>
      </c>
    </row>
    <row r="57" spans="1:11" x14ac:dyDescent="0.35">
      <c r="A57" s="4" t="s">
        <v>58</v>
      </c>
      <c r="F57" s="205"/>
      <c r="G57" s="385">
        <f>'Revenue Requirements'!G5</f>
        <v>3922699.4783913521</v>
      </c>
    </row>
    <row r="58" spans="1:11" x14ac:dyDescent="0.35">
      <c r="A58" s="4" t="s">
        <v>20</v>
      </c>
      <c r="C58" s="4" t="s">
        <v>21</v>
      </c>
      <c r="F58" s="205"/>
      <c r="G58" s="385">
        <f>'Revenue Requirements'!G6</f>
        <v>206503</v>
      </c>
    </row>
    <row r="59" spans="1:11" x14ac:dyDescent="0.35">
      <c r="C59" s="4" t="s">
        <v>242</v>
      </c>
      <c r="D59" s="385">
        <v>16331</v>
      </c>
      <c r="F59" s="205"/>
      <c r="G59" s="385">
        <f>'Revenue Requirements'!G7</f>
        <v>16331</v>
      </c>
      <c r="I59" s="4" t="s">
        <v>243</v>
      </c>
    </row>
    <row r="60" spans="1:11" x14ac:dyDescent="0.35">
      <c r="C60" s="4" t="s">
        <v>208</v>
      </c>
      <c r="D60" s="385">
        <v>121752</v>
      </c>
      <c r="E60" s="205">
        <f>'Revenue Requirements'!E8</f>
        <v>0</v>
      </c>
      <c r="F60" s="428"/>
      <c r="G60" s="385">
        <f>D60+E60</f>
        <v>121752</v>
      </c>
      <c r="I60" s="4" t="s">
        <v>243</v>
      </c>
    </row>
    <row r="61" spans="1:11" x14ac:dyDescent="0.35">
      <c r="A61" s="4" t="s">
        <v>56</v>
      </c>
      <c r="G61" s="385">
        <f>'Revenue Requirements'!G9</f>
        <v>3578113.4783913521</v>
      </c>
    </row>
    <row r="62" spans="1:11" x14ac:dyDescent="0.35">
      <c r="A62" s="4" t="s">
        <v>20</v>
      </c>
      <c r="C62" s="4" t="s">
        <v>57</v>
      </c>
      <c r="G62" s="385">
        <f>'Revenue Requirements'!G10</f>
        <v>3091187.49</v>
      </c>
    </row>
    <row r="63" spans="1:11" x14ac:dyDescent="0.35">
      <c r="C63" s="4" t="s">
        <v>14</v>
      </c>
      <c r="G63" s="4">
        <f>'Revenue Requirements'!G11</f>
        <v>0</v>
      </c>
    </row>
    <row r="64" spans="1:11" x14ac:dyDescent="0.35">
      <c r="A64" s="4" t="s">
        <v>59</v>
      </c>
      <c r="G64" s="197">
        <f>'Revenue Requirements'!G12</f>
        <v>486925.98839135189</v>
      </c>
    </row>
    <row r="65" spans="1:7" x14ac:dyDescent="0.35">
      <c r="A65" s="4" t="s">
        <v>60</v>
      </c>
      <c r="G65" s="264">
        <f>'Revenue Requirements'!G13</f>
        <v>0.1575</v>
      </c>
    </row>
  </sheetData>
  <mergeCells count="3">
    <mergeCell ref="A1:G1"/>
    <mergeCell ref="A2:G2"/>
    <mergeCell ref="A53:G53"/>
  </mergeCells>
  <printOptions horizontalCentered="1"/>
  <pageMargins left="0.45" right="0.25" top="0.5" bottom="0.5" header="0.3" footer="0.3"/>
  <pageSetup orientation="portrait" horizontalDpi="4294967293" r:id="rId1"/>
  <rowBreaks count="2" manualBreakCount="2">
    <brk id="50" max="16383" man="1"/>
    <brk id="51" max="1638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pageSetUpPr fitToPage="1"/>
  </sheetPr>
  <dimension ref="B2:GH66"/>
  <sheetViews>
    <sheetView showGridLines="0" workbookViewId="0">
      <selection activeCell="C5" sqref="C5:K65"/>
    </sheetView>
  </sheetViews>
  <sheetFormatPr defaultColWidth="8.84375" defaultRowHeight="14.5" x14ac:dyDescent="0.35"/>
  <cols>
    <col min="1" max="1" width="2.61328125" style="3" customWidth="1"/>
    <col min="2" max="2" width="1.765625" style="15" customWidth="1"/>
    <col min="3" max="3" width="6.69140625" style="15" customWidth="1"/>
    <col min="4" max="4" width="10.3046875" style="395" customWidth="1"/>
    <col min="5" max="5" width="12.765625" style="176" customWidth="1"/>
    <col min="6" max="6" width="7.921875" style="15" customWidth="1"/>
    <col min="7" max="7" width="9.4609375" style="15" customWidth="1"/>
    <col min="8" max="8" width="8.53515625" style="15" customWidth="1"/>
    <col min="9" max="9" width="9.15234375" style="64" customWidth="1"/>
    <col min="10" max="10" width="8.07421875" style="15" customWidth="1"/>
    <col min="11" max="11" width="7.15234375" style="172" bestFit="1" customWidth="1"/>
    <col min="12" max="12" width="1.765625" style="15" customWidth="1"/>
    <col min="13" max="13" width="1.07421875" style="15" customWidth="1"/>
    <col min="14" max="190" width="9.69140625" style="15" customWidth="1"/>
    <col min="191" max="16384" width="8.84375" style="3"/>
  </cols>
  <sheetData>
    <row r="2" spans="2:190" x14ac:dyDescent="0.35">
      <c r="O2" s="403" t="s">
        <v>321</v>
      </c>
      <c r="P2" s="404"/>
      <c r="Q2" s="404"/>
    </row>
    <row r="3" spans="2:190" ht="15.5" customHeight="1" x14ac:dyDescent="0.45">
      <c r="B3" s="481"/>
      <c r="C3" s="512"/>
      <c r="D3" s="512"/>
      <c r="E3" s="512"/>
      <c r="F3" s="512"/>
      <c r="G3" s="512"/>
      <c r="H3" s="512"/>
      <c r="I3" s="512"/>
      <c r="J3" s="512"/>
      <c r="K3" s="482"/>
      <c r="L3" s="483"/>
    </row>
    <row r="4" spans="2:190" ht="14.5" customHeight="1" x14ac:dyDescent="0.35">
      <c r="B4" s="484"/>
      <c r="L4" s="485"/>
    </row>
    <row r="5" spans="2:190" ht="18.5" x14ac:dyDescent="0.45">
      <c r="B5" s="484"/>
      <c r="C5" s="508" t="s">
        <v>53</v>
      </c>
      <c r="D5" s="508"/>
      <c r="E5" s="508"/>
      <c r="F5" s="508"/>
      <c r="G5" s="508"/>
      <c r="H5" s="508"/>
      <c r="I5" s="508"/>
      <c r="J5" s="508"/>
      <c r="L5" s="485"/>
    </row>
    <row r="6" spans="2:190" ht="18" customHeight="1" x14ac:dyDescent="0.35">
      <c r="B6" s="484"/>
      <c r="C6" s="509" t="str">
        <f>SAO!A2</f>
        <v>Laurel County Water District #2</v>
      </c>
      <c r="D6" s="509"/>
      <c r="E6" s="509"/>
      <c r="F6" s="509"/>
      <c r="G6" s="509"/>
      <c r="H6" s="509"/>
      <c r="I6" s="509"/>
      <c r="J6" s="509"/>
      <c r="L6" s="485"/>
    </row>
    <row r="7" spans="2:190" ht="6" customHeight="1" x14ac:dyDescent="0.35">
      <c r="B7" s="484"/>
      <c r="L7" s="485"/>
    </row>
    <row r="8" spans="2:190" ht="14.25" customHeight="1" x14ac:dyDescent="0.35">
      <c r="B8" s="484"/>
      <c r="C8" s="61" t="s">
        <v>164</v>
      </c>
      <c r="D8" s="396"/>
      <c r="E8" s="486"/>
      <c r="F8" s="511" t="s">
        <v>161</v>
      </c>
      <c r="G8" s="511"/>
      <c r="H8" s="511" t="s">
        <v>10</v>
      </c>
      <c r="I8" s="511"/>
      <c r="J8" s="511" t="s">
        <v>63</v>
      </c>
      <c r="K8" s="511"/>
      <c r="L8" s="487"/>
      <c r="GH8" s="3"/>
    </row>
    <row r="9" spans="2:190" ht="17.25" customHeight="1" x14ac:dyDescent="0.35">
      <c r="B9" s="484"/>
      <c r="C9" s="71" t="s">
        <v>166</v>
      </c>
      <c r="D9" s="397">
        <v>1000</v>
      </c>
      <c r="E9" s="72" t="s">
        <v>12</v>
      </c>
      <c r="F9" s="178">
        <v>15</v>
      </c>
      <c r="G9" s="31" t="s">
        <v>102</v>
      </c>
      <c r="H9" s="31">
        <f>ROUND(F9*(1+'Revenue Requirements'!$G$13),3)</f>
        <v>17.363</v>
      </c>
      <c r="I9" s="64" t="s">
        <v>102</v>
      </c>
      <c r="J9" s="31">
        <f>H9-F9</f>
        <v>2.3629999999999995</v>
      </c>
      <c r="K9" s="51">
        <f>J9/F9</f>
        <v>0.1575333333333333</v>
      </c>
      <c r="L9" s="487"/>
      <c r="GH9" s="3"/>
    </row>
    <row r="10" spans="2:190" ht="17.25" customHeight="1" x14ac:dyDescent="0.35">
      <c r="B10" s="484"/>
      <c r="C10" s="71" t="s">
        <v>253</v>
      </c>
      <c r="D10" s="397">
        <v>99000</v>
      </c>
      <c r="E10" s="72" t="s">
        <v>12</v>
      </c>
      <c r="F10" s="399">
        <v>5.8599999999999998E-3</v>
      </c>
      <c r="G10" s="31" t="s">
        <v>165</v>
      </c>
      <c r="H10" s="175">
        <f>ROUND(F10*(1+'Revenue Requirements'!$G$13),7)</f>
        <v>6.783E-3</v>
      </c>
      <c r="I10" s="31" t="s">
        <v>165</v>
      </c>
      <c r="J10" s="175">
        <f>H10-F10</f>
        <v>9.2300000000000021E-4</v>
      </c>
      <c r="K10" s="51">
        <f>J10/F10</f>
        <v>0.15750853242320823</v>
      </c>
      <c r="L10" s="487"/>
      <c r="GH10" s="3"/>
    </row>
    <row r="11" spans="2:190" ht="15" customHeight="1" x14ac:dyDescent="0.35">
      <c r="B11" s="484"/>
      <c r="C11" s="177" t="s">
        <v>167</v>
      </c>
      <c r="D11" s="398">
        <v>1000000</v>
      </c>
      <c r="E11" s="72" t="s">
        <v>12</v>
      </c>
      <c r="F11" s="399">
        <v>5.2300000000000003E-3</v>
      </c>
      <c r="G11" s="31" t="s">
        <v>165</v>
      </c>
      <c r="H11" s="175">
        <f>ROUND(F11*(1+'Revenue Requirements'!$G$13),7)</f>
        <v>6.0537000000000004E-3</v>
      </c>
      <c r="I11" s="64" t="s">
        <v>165</v>
      </c>
      <c r="J11" s="175">
        <f>H11-F11</f>
        <v>8.2370000000000013E-4</v>
      </c>
      <c r="K11" s="51">
        <f>J11/F11</f>
        <v>0.15749521988527726</v>
      </c>
      <c r="L11" s="487"/>
      <c r="GH11" s="3"/>
    </row>
    <row r="12" spans="2:190" ht="15" customHeight="1" x14ac:dyDescent="0.35">
      <c r="B12" s="484"/>
      <c r="C12" s="58"/>
      <c r="D12" s="398"/>
      <c r="F12" s="59"/>
      <c r="G12" s="58"/>
      <c r="H12" s="31"/>
      <c r="I12" s="65"/>
      <c r="J12" s="31"/>
      <c r="K12" s="51"/>
      <c r="L12" s="487"/>
      <c r="GH12" s="3"/>
    </row>
    <row r="13" spans="2:190" ht="14.25" customHeight="1" x14ac:dyDescent="0.35">
      <c r="B13" s="484"/>
      <c r="C13" s="61" t="s">
        <v>103</v>
      </c>
      <c r="D13" s="396"/>
      <c r="E13" s="486"/>
      <c r="F13" s="511" t="s">
        <v>161</v>
      </c>
      <c r="G13" s="511"/>
      <c r="H13" s="511" t="s">
        <v>10</v>
      </c>
      <c r="I13" s="511"/>
      <c r="J13" s="511" t="s">
        <v>63</v>
      </c>
      <c r="K13" s="511"/>
      <c r="L13" s="485"/>
      <c r="GH13" s="3"/>
    </row>
    <row r="14" spans="2:190" ht="14.25" customHeight="1" x14ac:dyDescent="0.35">
      <c r="B14" s="484"/>
      <c r="C14" s="71" t="s">
        <v>166</v>
      </c>
      <c r="D14" s="397">
        <v>5000</v>
      </c>
      <c r="E14" s="72" t="s">
        <v>12</v>
      </c>
      <c r="F14" s="178">
        <v>38.44</v>
      </c>
      <c r="G14" s="31" t="s">
        <v>102</v>
      </c>
      <c r="H14" s="31">
        <f>ROUND(F14*(1+'Revenue Requirements'!$G$13),3)</f>
        <v>44.494</v>
      </c>
      <c r="I14" s="64" t="s">
        <v>102</v>
      </c>
      <c r="J14" s="31">
        <f>H14-F14</f>
        <v>6.054000000000002</v>
      </c>
      <c r="K14" s="51">
        <f>J14/F14</f>
        <v>0.15749219562955261</v>
      </c>
      <c r="L14" s="485"/>
      <c r="GH14" s="3"/>
    </row>
    <row r="15" spans="2:190" ht="14.25" customHeight="1" x14ac:dyDescent="0.35">
      <c r="B15" s="484"/>
      <c r="C15" s="71" t="s">
        <v>253</v>
      </c>
      <c r="D15" s="397">
        <v>95000</v>
      </c>
      <c r="E15" s="72" t="s">
        <v>12</v>
      </c>
      <c r="F15" s="399">
        <v>5.8599999999999998E-3</v>
      </c>
      <c r="G15" s="31" t="s">
        <v>165</v>
      </c>
      <c r="H15" s="175">
        <f>ROUND(F15*(1+'Revenue Requirements'!$G$13),7)</f>
        <v>6.783E-3</v>
      </c>
      <c r="I15" s="31" t="s">
        <v>165</v>
      </c>
      <c r="J15" s="175">
        <f>H15-F15</f>
        <v>9.2300000000000021E-4</v>
      </c>
      <c r="K15" s="51">
        <f>J15/F15</f>
        <v>0.15750853242320823</v>
      </c>
      <c r="L15" s="485"/>
      <c r="GH15" s="3"/>
    </row>
    <row r="16" spans="2:190" x14ac:dyDescent="0.35">
      <c r="B16" s="484"/>
      <c r="C16" s="177" t="s">
        <v>167</v>
      </c>
      <c r="D16" s="398">
        <v>1000000</v>
      </c>
      <c r="E16" s="72" t="s">
        <v>12</v>
      </c>
      <c r="F16" s="399">
        <v>5.2300000000000003E-3</v>
      </c>
      <c r="G16" s="31" t="s">
        <v>165</v>
      </c>
      <c r="H16" s="175">
        <f>ROUND(F16*(1+'Revenue Requirements'!$G$13),7)</f>
        <v>6.0537000000000004E-3</v>
      </c>
      <c r="I16" s="64" t="s">
        <v>165</v>
      </c>
      <c r="J16" s="175">
        <f>H16-F16</f>
        <v>8.2370000000000013E-4</v>
      </c>
      <c r="K16" s="51">
        <f>J16/F16</f>
        <v>0.15749521988527726</v>
      </c>
      <c r="L16" s="485"/>
    </row>
    <row r="17" spans="2:12" x14ac:dyDescent="0.35">
      <c r="B17" s="484"/>
      <c r="L17" s="485"/>
    </row>
    <row r="18" spans="2:12" x14ac:dyDescent="0.35">
      <c r="B18" s="484"/>
      <c r="C18" s="61" t="s">
        <v>313</v>
      </c>
      <c r="D18" s="396"/>
      <c r="E18" s="486"/>
      <c r="F18" s="511" t="s">
        <v>161</v>
      </c>
      <c r="G18" s="511"/>
      <c r="H18" s="511" t="s">
        <v>10</v>
      </c>
      <c r="I18" s="511"/>
      <c r="J18" s="511" t="s">
        <v>63</v>
      </c>
      <c r="K18" s="511"/>
      <c r="L18" s="485"/>
    </row>
    <row r="19" spans="2:12" x14ac:dyDescent="0.35">
      <c r="B19" s="484"/>
      <c r="C19" s="71" t="s">
        <v>166</v>
      </c>
      <c r="D19" s="397">
        <v>10000</v>
      </c>
      <c r="E19" s="72" t="s">
        <v>12</v>
      </c>
      <c r="F19" s="178">
        <v>67.739999999999995</v>
      </c>
      <c r="G19" s="31" t="s">
        <v>102</v>
      </c>
      <c r="H19" s="31">
        <f>ROUND(F19*(1+'Revenue Requirements'!$G$13),3)</f>
        <v>78.409000000000006</v>
      </c>
      <c r="I19" s="64" t="s">
        <v>102</v>
      </c>
      <c r="J19" s="31">
        <f>H19-F19</f>
        <v>10.669000000000011</v>
      </c>
      <c r="K19" s="51">
        <f>J19/F19</f>
        <v>0.15749926188367305</v>
      </c>
      <c r="L19" s="485"/>
    </row>
    <row r="20" spans="2:12" x14ac:dyDescent="0.35">
      <c r="B20" s="484"/>
      <c r="C20" s="71" t="s">
        <v>253</v>
      </c>
      <c r="D20" s="397">
        <v>90000</v>
      </c>
      <c r="E20" s="72" t="s">
        <v>12</v>
      </c>
      <c r="F20" s="399">
        <v>5.8599999999999998E-3</v>
      </c>
      <c r="G20" s="31" t="s">
        <v>165</v>
      </c>
      <c r="H20" s="175">
        <f>ROUND(F20*(1+'Revenue Requirements'!$G$13),7)</f>
        <v>6.783E-3</v>
      </c>
      <c r="I20" s="31" t="s">
        <v>165</v>
      </c>
      <c r="J20" s="175">
        <f>H20-F20</f>
        <v>9.2300000000000021E-4</v>
      </c>
      <c r="K20" s="51">
        <f>J20/F20</f>
        <v>0.15750853242320823</v>
      </c>
      <c r="L20" s="485"/>
    </row>
    <row r="21" spans="2:12" x14ac:dyDescent="0.35">
      <c r="B21" s="484"/>
      <c r="C21" s="177" t="s">
        <v>167</v>
      </c>
      <c r="D21" s="398">
        <v>1000000</v>
      </c>
      <c r="E21" s="72" t="s">
        <v>12</v>
      </c>
      <c r="F21" s="399">
        <v>5.2300000000000003E-3</v>
      </c>
      <c r="G21" s="31" t="s">
        <v>165</v>
      </c>
      <c r="H21" s="175">
        <f>ROUND(F21*(1+'Revenue Requirements'!$G$13),7)</f>
        <v>6.0537000000000004E-3</v>
      </c>
      <c r="I21" s="64" t="s">
        <v>165</v>
      </c>
      <c r="J21" s="175">
        <f>H21-F21</f>
        <v>8.2370000000000013E-4</v>
      </c>
      <c r="K21" s="51">
        <f>J21/F21</f>
        <v>0.15749521988527726</v>
      </c>
      <c r="L21" s="485"/>
    </row>
    <row r="22" spans="2:12" x14ac:dyDescent="0.35">
      <c r="B22" s="484"/>
      <c r="C22" s="58"/>
      <c r="D22" s="398"/>
      <c r="F22" s="59"/>
      <c r="G22" s="58"/>
      <c r="H22" s="31"/>
      <c r="I22" s="65"/>
      <c r="J22" s="31"/>
      <c r="K22" s="51"/>
      <c r="L22" s="485"/>
    </row>
    <row r="23" spans="2:12" x14ac:dyDescent="0.35">
      <c r="B23" s="484"/>
      <c r="C23" s="61" t="s">
        <v>104</v>
      </c>
      <c r="D23" s="396"/>
      <c r="E23" s="486"/>
      <c r="F23" s="511" t="s">
        <v>161</v>
      </c>
      <c r="G23" s="511"/>
      <c r="H23" s="511" t="s">
        <v>10</v>
      </c>
      <c r="I23" s="511"/>
      <c r="J23" s="511" t="s">
        <v>63</v>
      </c>
      <c r="K23" s="511"/>
      <c r="L23" s="485"/>
    </row>
    <row r="24" spans="2:12" x14ac:dyDescent="0.35">
      <c r="B24" s="484"/>
      <c r="C24" s="71" t="s">
        <v>166</v>
      </c>
      <c r="D24" s="397">
        <v>20000</v>
      </c>
      <c r="E24" s="72" t="s">
        <v>12</v>
      </c>
      <c r="F24" s="178">
        <v>126.34</v>
      </c>
      <c r="G24" s="31" t="s">
        <v>102</v>
      </c>
      <c r="H24" s="31">
        <f>ROUND(F24*(1+'Revenue Requirements'!$G$13),3)</f>
        <v>146.239</v>
      </c>
      <c r="I24" s="64" t="s">
        <v>102</v>
      </c>
      <c r="J24" s="31">
        <f>H24-F24</f>
        <v>19.899000000000001</v>
      </c>
      <c r="K24" s="51">
        <f>J24/F24</f>
        <v>0.15750356181731834</v>
      </c>
      <c r="L24" s="485"/>
    </row>
    <row r="25" spans="2:12" x14ac:dyDescent="0.35">
      <c r="B25" s="484"/>
      <c r="C25" s="71" t="s">
        <v>253</v>
      </c>
      <c r="D25" s="397">
        <v>80000</v>
      </c>
      <c r="E25" s="72" t="s">
        <v>12</v>
      </c>
      <c r="F25" s="399">
        <v>5.8599999999999998E-3</v>
      </c>
      <c r="G25" s="31" t="s">
        <v>165</v>
      </c>
      <c r="H25" s="175">
        <f>ROUND(F25*(1+'Revenue Requirements'!$G$13),7)</f>
        <v>6.783E-3</v>
      </c>
      <c r="I25" s="31" t="s">
        <v>165</v>
      </c>
      <c r="J25" s="175">
        <f>H25-F25</f>
        <v>9.2300000000000021E-4</v>
      </c>
      <c r="K25" s="51">
        <f>J25/F25</f>
        <v>0.15750853242320823</v>
      </c>
      <c r="L25" s="485"/>
    </row>
    <row r="26" spans="2:12" x14ac:dyDescent="0.35">
      <c r="B26" s="484"/>
      <c r="C26" s="177" t="s">
        <v>167</v>
      </c>
      <c r="D26" s="398">
        <v>1000000</v>
      </c>
      <c r="E26" s="72" t="s">
        <v>12</v>
      </c>
      <c r="F26" s="399">
        <v>5.2300000000000003E-3</v>
      </c>
      <c r="G26" s="31" t="s">
        <v>165</v>
      </c>
      <c r="H26" s="175">
        <f>ROUND(F26*(1+'Revenue Requirements'!$G$13),7)</f>
        <v>6.0537000000000004E-3</v>
      </c>
      <c r="I26" s="64" t="s">
        <v>165</v>
      </c>
      <c r="J26" s="175">
        <f>H26-F26</f>
        <v>8.2370000000000013E-4</v>
      </c>
      <c r="K26" s="51">
        <f>J26/F26</f>
        <v>0.15749521988527726</v>
      </c>
      <c r="L26" s="485"/>
    </row>
    <row r="27" spans="2:12" x14ac:dyDescent="0.35">
      <c r="B27" s="484"/>
      <c r="L27" s="485"/>
    </row>
    <row r="28" spans="2:12" x14ac:dyDescent="0.35">
      <c r="B28" s="484"/>
      <c r="C28" s="61" t="s">
        <v>314</v>
      </c>
      <c r="D28" s="396"/>
      <c r="E28" s="486"/>
      <c r="F28" s="511" t="s">
        <v>161</v>
      </c>
      <c r="G28" s="511"/>
      <c r="H28" s="511" t="s">
        <v>10</v>
      </c>
      <c r="I28" s="511"/>
      <c r="J28" s="511" t="s">
        <v>63</v>
      </c>
      <c r="K28" s="511"/>
      <c r="L28" s="485"/>
    </row>
    <row r="29" spans="2:12" x14ac:dyDescent="0.35">
      <c r="B29" s="484"/>
      <c r="C29" s="71" t="s">
        <v>166</v>
      </c>
      <c r="D29" s="397">
        <v>30000</v>
      </c>
      <c r="E29" s="72" t="s">
        <v>12</v>
      </c>
      <c r="F29" s="178">
        <v>184.94</v>
      </c>
      <c r="G29" s="31" t="s">
        <v>102</v>
      </c>
      <c r="H29" s="31">
        <f>ROUND(F29*(1+'Revenue Requirements'!$G$13),3)</f>
        <v>214.06800000000001</v>
      </c>
      <c r="I29" s="64" t="s">
        <v>102</v>
      </c>
      <c r="J29" s="31">
        <f>H29-F29</f>
        <v>29.128000000000014</v>
      </c>
      <c r="K29" s="51">
        <f>J29/F29</f>
        <v>0.15749972964204614</v>
      </c>
      <c r="L29" s="485"/>
    </row>
    <row r="30" spans="2:12" x14ac:dyDescent="0.35">
      <c r="B30" s="484"/>
      <c r="C30" s="71" t="s">
        <v>253</v>
      </c>
      <c r="D30" s="397">
        <v>70000</v>
      </c>
      <c r="E30" s="72" t="s">
        <v>12</v>
      </c>
      <c r="F30" s="399">
        <v>5.8599999999999998E-3</v>
      </c>
      <c r="G30" s="31" t="s">
        <v>165</v>
      </c>
      <c r="H30" s="175">
        <f>ROUND(F30*(1+'Revenue Requirements'!$G$13),7)</f>
        <v>6.783E-3</v>
      </c>
      <c r="I30" s="31" t="s">
        <v>165</v>
      </c>
      <c r="J30" s="175">
        <f>H30-F30</f>
        <v>9.2300000000000021E-4</v>
      </c>
      <c r="K30" s="51">
        <f>J30/F30</f>
        <v>0.15750853242320823</v>
      </c>
      <c r="L30" s="485"/>
    </row>
    <row r="31" spans="2:12" x14ac:dyDescent="0.35">
      <c r="B31" s="484"/>
      <c r="C31" s="177" t="s">
        <v>167</v>
      </c>
      <c r="D31" s="398">
        <v>1000000</v>
      </c>
      <c r="E31" s="72" t="s">
        <v>12</v>
      </c>
      <c r="F31" s="399">
        <v>5.2300000000000003E-3</v>
      </c>
      <c r="G31" s="31" t="s">
        <v>165</v>
      </c>
      <c r="H31" s="175">
        <f>ROUND(F31*(1+'Revenue Requirements'!$G$13),7)</f>
        <v>6.0537000000000004E-3</v>
      </c>
      <c r="I31" s="64" t="s">
        <v>165</v>
      </c>
      <c r="J31" s="175">
        <f>H31-F31</f>
        <v>8.2370000000000013E-4</v>
      </c>
      <c r="K31" s="51">
        <f>J31/F31</f>
        <v>0.15749521988527726</v>
      </c>
      <c r="L31" s="485"/>
    </row>
    <row r="32" spans="2:12" x14ac:dyDescent="0.35">
      <c r="B32" s="484"/>
      <c r="C32" s="58"/>
      <c r="D32" s="398"/>
      <c r="F32" s="59"/>
      <c r="G32" s="58"/>
      <c r="H32" s="31"/>
      <c r="I32" s="65"/>
      <c r="J32" s="31"/>
      <c r="K32" s="51"/>
      <c r="L32" s="485"/>
    </row>
    <row r="33" spans="2:12" x14ac:dyDescent="0.35">
      <c r="B33" s="484"/>
      <c r="C33" s="61" t="s">
        <v>315</v>
      </c>
      <c r="D33" s="396"/>
      <c r="E33" s="486"/>
      <c r="F33" s="511" t="s">
        <v>161</v>
      </c>
      <c r="G33" s="511"/>
      <c r="H33" s="511" t="s">
        <v>10</v>
      </c>
      <c r="I33" s="511"/>
      <c r="J33" s="511" t="s">
        <v>63</v>
      </c>
      <c r="K33" s="511"/>
      <c r="L33" s="485"/>
    </row>
    <row r="34" spans="2:12" x14ac:dyDescent="0.35">
      <c r="B34" s="484"/>
      <c r="C34" s="71" t="s">
        <v>166</v>
      </c>
      <c r="D34" s="397">
        <v>50000</v>
      </c>
      <c r="E34" s="72" t="s">
        <v>12</v>
      </c>
      <c r="F34" s="178">
        <v>302.14</v>
      </c>
      <c r="G34" s="31" t="s">
        <v>102</v>
      </c>
      <c r="H34" s="31">
        <f>ROUND(F34*(1+'Revenue Requirements'!$G$13),3)</f>
        <v>349.72699999999998</v>
      </c>
      <c r="I34" s="64" t="s">
        <v>102</v>
      </c>
      <c r="J34" s="31">
        <f>H34-F34</f>
        <v>47.586999999999989</v>
      </c>
      <c r="K34" s="51">
        <f>J34/F34</f>
        <v>0.15749983451380151</v>
      </c>
      <c r="L34" s="485"/>
    </row>
    <row r="35" spans="2:12" x14ac:dyDescent="0.35">
      <c r="B35" s="484"/>
      <c r="C35" s="71" t="s">
        <v>253</v>
      </c>
      <c r="D35" s="397">
        <v>50000</v>
      </c>
      <c r="E35" s="72" t="s">
        <v>12</v>
      </c>
      <c r="F35" s="399">
        <v>5.8599999999999998E-3</v>
      </c>
      <c r="G35" s="31" t="s">
        <v>165</v>
      </c>
      <c r="H35" s="175">
        <f>ROUND(F35*(1+'Revenue Requirements'!$G$13),7)</f>
        <v>6.783E-3</v>
      </c>
      <c r="I35" s="31" t="s">
        <v>165</v>
      </c>
      <c r="J35" s="175">
        <f>H35-F35</f>
        <v>9.2300000000000021E-4</v>
      </c>
      <c r="K35" s="51">
        <f>J35/F35</f>
        <v>0.15750853242320823</v>
      </c>
      <c r="L35" s="485"/>
    </row>
    <row r="36" spans="2:12" x14ac:dyDescent="0.35">
      <c r="B36" s="484"/>
      <c r="C36" s="177" t="s">
        <v>167</v>
      </c>
      <c r="D36" s="398">
        <v>1000000</v>
      </c>
      <c r="E36" s="72" t="s">
        <v>12</v>
      </c>
      <c r="F36" s="399">
        <v>5.2300000000000003E-3</v>
      </c>
      <c r="G36" s="31" t="s">
        <v>165</v>
      </c>
      <c r="H36" s="175">
        <f>ROUND(F36*(1+'Revenue Requirements'!$G$13),7)</f>
        <v>6.0537000000000004E-3</v>
      </c>
      <c r="I36" s="64" t="s">
        <v>165</v>
      </c>
      <c r="J36" s="175">
        <f>H36-F36</f>
        <v>8.2370000000000013E-4</v>
      </c>
      <c r="K36" s="51">
        <f>J36/F36</f>
        <v>0.15749521988527726</v>
      </c>
      <c r="L36" s="485"/>
    </row>
    <row r="37" spans="2:12" x14ac:dyDescent="0.35">
      <c r="B37" s="484"/>
      <c r="L37" s="485"/>
    </row>
    <row r="38" spans="2:12" x14ac:dyDescent="0.35">
      <c r="B38" s="484"/>
      <c r="C38" s="61" t="s">
        <v>316</v>
      </c>
      <c r="D38" s="396"/>
      <c r="E38" s="486"/>
      <c r="F38" s="511" t="s">
        <v>161</v>
      </c>
      <c r="G38" s="511"/>
      <c r="H38" s="511" t="s">
        <v>10</v>
      </c>
      <c r="I38" s="511"/>
      <c r="J38" s="511" t="s">
        <v>63</v>
      </c>
      <c r="K38" s="511"/>
      <c r="L38" s="485"/>
    </row>
    <row r="39" spans="2:12" x14ac:dyDescent="0.35">
      <c r="B39" s="484"/>
      <c r="C39" s="71" t="s">
        <v>166</v>
      </c>
      <c r="D39" s="397">
        <v>4000</v>
      </c>
      <c r="E39" s="72" t="s">
        <v>12</v>
      </c>
      <c r="F39" s="178">
        <v>51.86</v>
      </c>
      <c r="G39" s="31" t="s">
        <v>102</v>
      </c>
      <c r="H39" s="31">
        <f>ROUND(F39*(1+'Revenue Requirements'!$G$13),3)</f>
        <v>60.027999999999999</v>
      </c>
      <c r="I39" s="64" t="s">
        <v>102</v>
      </c>
      <c r="J39" s="31">
        <f>H39-F39</f>
        <v>8.1679999999999993</v>
      </c>
      <c r="K39" s="51">
        <f>J39/F39</f>
        <v>0.15750096413420747</v>
      </c>
      <c r="L39" s="485"/>
    </row>
    <row r="40" spans="2:12" x14ac:dyDescent="0.35">
      <c r="B40" s="484"/>
      <c r="C40" s="71" t="s">
        <v>253</v>
      </c>
      <c r="D40" s="397">
        <v>96000</v>
      </c>
      <c r="E40" s="72" t="s">
        <v>12</v>
      </c>
      <c r="F40" s="399">
        <v>5.8599999999999998E-3</v>
      </c>
      <c r="G40" s="31" t="s">
        <v>165</v>
      </c>
      <c r="H40" s="175">
        <f>ROUND(F40*(1+'Revenue Requirements'!$G$13),7)</f>
        <v>6.783E-3</v>
      </c>
      <c r="I40" s="31" t="s">
        <v>165</v>
      </c>
      <c r="J40" s="175">
        <f>H40-F40</f>
        <v>9.2300000000000021E-4</v>
      </c>
      <c r="K40" s="51">
        <f>J40/F40</f>
        <v>0.15750853242320823</v>
      </c>
      <c r="L40" s="485"/>
    </row>
    <row r="41" spans="2:12" x14ac:dyDescent="0.35">
      <c r="B41" s="484"/>
      <c r="C41" s="177" t="s">
        <v>167</v>
      </c>
      <c r="D41" s="398">
        <v>1000000</v>
      </c>
      <c r="E41" s="72" t="s">
        <v>12</v>
      </c>
      <c r="F41" s="399">
        <v>5.2300000000000003E-3</v>
      </c>
      <c r="G41" s="31" t="s">
        <v>165</v>
      </c>
      <c r="H41" s="175">
        <f>ROUND(F41*(1+'Revenue Requirements'!$G$13),7)</f>
        <v>6.0537000000000004E-3</v>
      </c>
      <c r="I41" s="64" t="s">
        <v>165</v>
      </c>
      <c r="J41" s="175">
        <f>H41-F41</f>
        <v>8.2370000000000013E-4</v>
      </c>
      <c r="K41" s="51">
        <f>J41/F41</f>
        <v>0.15749521988527726</v>
      </c>
      <c r="L41" s="485"/>
    </row>
    <row r="42" spans="2:12" x14ac:dyDescent="0.35">
      <c r="B42" s="484"/>
      <c r="C42" s="58"/>
      <c r="D42" s="398"/>
      <c r="F42" s="59"/>
      <c r="G42" s="58"/>
      <c r="H42" s="31"/>
      <c r="I42" s="65"/>
      <c r="J42" s="31"/>
      <c r="K42" s="51"/>
      <c r="L42" s="485"/>
    </row>
    <row r="43" spans="2:12" x14ac:dyDescent="0.35">
      <c r="B43" s="484"/>
      <c r="C43" s="61" t="s">
        <v>317</v>
      </c>
      <c r="D43" s="396"/>
      <c r="E43" s="486"/>
      <c r="F43" s="511" t="s">
        <v>161</v>
      </c>
      <c r="G43" s="511"/>
      <c r="H43" s="511" t="s">
        <v>10</v>
      </c>
      <c r="I43" s="511"/>
      <c r="J43" s="511" t="s">
        <v>63</v>
      </c>
      <c r="K43" s="511"/>
      <c r="L43" s="485"/>
    </row>
    <row r="44" spans="2:12" x14ac:dyDescent="0.35">
      <c r="B44" s="484"/>
      <c r="C44" s="71" t="s">
        <v>166</v>
      </c>
      <c r="D44" s="397">
        <v>5000</v>
      </c>
      <c r="E44" s="72" t="s">
        <v>12</v>
      </c>
      <c r="F44" s="178">
        <v>38.42</v>
      </c>
      <c r="G44" s="31" t="s">
        <v>102</v>
      </c>
      <c r="H44" s="31">
        <f>ROUND(F44*(1+'Revenue Requirements'!$G$13),3)</f>
        <v>44.470999999999997</v>
      </c>
      <c r="I44" s="64" t="s">
        <v>102</v>
      </c>
      <c r="J44" s="31">
        <f>H44-F44</f>
        <v>6.0509999999999948</v>
      </c>
      <c r="K44" s="51">
        <f>J44/F44</f>
        <v>0.15749609578344598</v>
      </c>
      <c r="L44" s="485"/>
    </row>
    <row r="45" spans="2:12" x14ac:dyDescent="0.35">
      <c r="B45" s="484"/>
      <c r="C45" s="71" t="s">
        <v>253</v>
      </c>
      <c r="D45" s="397">
        <v>95000</v>
      </c>
      <c r="E45" s="72" t="s">
        <v>12</v>
      </c>
      <c r="F45" s="399">
        <v>5.8599999999999998E-3</v>
      </c>
      <c r="G45" s="31" t="s">
        <v>165</v>
      </c>
      <c r="H45" s="175">
        <f>ROUND(F45*(1+'Revenue Requirements'!$G$13),7)</f>
        <v>6.783E-3</v>
      </c>
      <c r="I45" s="31" t="s">
        <v>165</v>
      </c>
      <c r="J45" s="175">
        <f>H45-F45</f>
        <v>9.2300000000000021E-4</v>
      </c>
      <c r="K45" s="51">
        <f>J45/F45</f>
        <v>0.15750853242320823</v>
      </c>
      <c r="L45" s="485"/>
    </row>
    <row r="46" spans="2:12" x14ac:dyDescent="0.35">
      <c r="B46" s="484"/>
      <c r="C46" s="177" t="s">
        <v>167</v>
      </c>
      <c r="D46" s="398">
        <v>1000000</v>
      </c>
      <c r="E46" s="72" t="s">
        <v>12</v>
      </c>
      <c r="F46" s="399">
        <v>5.2300000000000003E-3</v>
      </c>
      <c r="G46" s="31" t="s">
        <v>165</v>
      </c>
      <c r="H46" s="175">
        <f>ROUND(F46*(1+'Revenue Requirements'!$G$13),7)</f>
        <v>6.0537000000000004E-3</v>
      </c>
      <c r="I46" s="64" t="s">
        <v>165</v>
      </c>
      <c r="J46" s="175">
        <f>H46-F46</f>
        <v>8.2370000000000013E-4</v>
      </c>
      <c r="K46" s="51">
        <f>J46/F46</f>
        <v>0.15749521988527726</v>
      </c>
      <c r="L46" s="485"/>
    </row>
    <row r="47" spans="2:12" x14ac:dyDescent="0.35">
      <c r="B47" s="484"/>
      <c r="L47" s="485"/>
    </row>
    <row r="48" spans="2:12" x14ac:dyDescent="0.35">
      <c r="B48" s="484"/>
      <c r="C48" s="513" t="s">
        <v>260</v>
      </c>
      <c r="D48" s="513"/>
      <c r="E48" s="513"/>
      <c r="F48" s="511" t="s">
        <v>161</v>
      </c>
      <c r="G48" s="511"/>
      <c r="H48" s="511" t="s">
        <v>10</v>
      </c>
      <c r="I48" s="511"/>
      <c r="J48" s="511" t="s">
        <v>63</v>
      </c>
      <c r="K48" s="511"/>
      <c r="L48" s="485"/>
    </row>
    <row r="49" spans="2:12" x14ac:dyDescent="0.35">
      <c r="B49" s="484"/>
      <c r="C49" s="71" t="s">
        <v>166</v>
      </c>
      <c r="D49" s="397">
        <v>22000</v>
      </c>
      <c r="E49" s="72" t="s">
        <v>12</v>
      </c>
      <c r="F49" s="178">
        <v>273.07</v>
      </c>
      <c r="G49" s="31" t="s">
        <v>102</v>
      </c>
      <c r="H49" s="31">
        <f>ROUND(F49*(1+'Revenue Requirements'!$G$13),3)</f>
        <v>316.07900000000001</v>
      </c>
      <c r="I49" s="64" t="s">
        <v>102</v>
      </c>
      <c r="J49" s="31">
        <f>H49-F49</f>
        <v>43.009000000000015</v>
      </c>
      <c r="K49" s="51">
        <f>J49/F49</f>
        <v>0.1575017394807193</v>
      </c>
      <c r="L49" s="485"/>
    </row>
    <row r="50" spans="2:12" x14ac:dyDescent="0.35">
      <c r="B50" s="484"/>
      <c r="C50" s="71" t="s">
        <v>253</v>
      </c>
      <c r="D50" s="397">
        <v>78000</v>
      </c>
      <c r="E50" s="72" t="s">
        <v>12</v>
      </c>
      <c r="F50" s="399">
        <v>5.8599999999999998E-3</v>
      </c>
      <c r="G50" s="31" t="s">
        <v>165</v>
      </c>
      <c r="H50" s="175">
        <f>ROUND(F50*(1+'Revenue Requirements'!$G$13),7)</f>
        <v>6.783E-3</v>
      </c>
      <c r="I50" s="31" t="s">
        <v>165</v>
      </c>
      <c r="J50" s="175">
        <f>H50-F50</f>
        <v>9.2300000000000021E-4</v>
      </c>
      <c r="K50" s="51">
        <f>J50/F50</f>
        <v>0.15750853242320823</v>
      </c>
      <c r="L50" s="485"/>
    </row>
    <row r="51" spans="2:12" x14ac:dyDescent="0.35">
      <c r="B51" s="484"/>
      <c r="C51" s="177" t="s">
        <v>167</v>
      </c>
      <c r="D51" s="398">
        <v>1000000</v>
      </c>
      <c r="E51" s="72" t="s">
        <v>12</v>
      </c>
      <c r="F51" s="399">
        <v>5.2300000000000003E-3</v>
      </c>
      <c r="G51" s="31" t="s">
        <v>165</v>
      </c>
      <c r="H51" s="175">
        <f>ROUND(F51*(1+'Revenue Requirements'!$G$13),7)</f>
        <v>6.0537000000000004E-3</v>
      </c>
      <c r="I51" s="64" t="s">
        <v>165</v>
      </c>
      <c r="J51" s="175">
        <f>H51-F51</f>
        <v>8.2370000000000013E-4</v>
      </c>
      <c r="K51" s="51">
        <f>J51/F51</f>
        <v>0.15749521988527726</v>
      </c>
      <c r="L51" s="485"/>
    </row>
    <row r="52" spans="2:12" x14ac:dyDescent="0.35">
      <c r="B52" s="484"/>
      <c r="C52" s="58"/>
      <c r="D52" s="398"/>
      <c r="F52" s="59"/>
      <c r="G52" s="58"/>
      <c r="H52" s="31"/>
      <c r="I52" s="65"/>
      <c r="J52" s="31"/>
      <c r="K52" s="51"/>
      <c r="L52" s="485"/>
    </row>
    <row r="53" spans="2:12" x14ac:dyDescent="0.35">
      <c r="B53" s="484"/>
      <c r="C53" s="513" t="s">
        <v>261</v>
      </c>
      <c r="D53" s="513"/>
      <c r="E53" s="513"/>
      <c r="F53" s="511" t="s">
        <v>161</v>
      </c>
      <c r="G53" s="511"/>
      <c r="H53" s="511" t="s">
        <v>10</v>
      </c>
      <c r="I53" s="511"/>
      <c r="J53" s="511" t="s">
        <v>63</v>
      </c>
      <c r="K53" s="511"/>
      <c r="L53" s="485"/>
    </row>
    <row r="54" spans="2:12" x14ac:dyDescent="0.35">
      <c r="B54" s="484"/>
      <c r="C54" s="71" t="s">
        <v>166</v>
      </c>
      <c r="D54" s="397">
        <v>49000</v>
      </c>
      <c r="E54" s="72" t="s">
        <v>12</v>
      </c>
      <c r="F54" s="178">
        <v>604.88</v>
      </c>
      <c r="G54" s="31" t="s">
        <v>102</v>
      </c>
      <c r="H54" s="31">
        <f>ROUND(F54*(1+'Revenue Requirements'!$G$13),3)</f>
        <v>700.149</v>
      </c>
      <c r="I54" s="64" t="s">
        <v>102</v>
      </c>
      <c r="J54" s="31">
        <f>H54-F54</f>
        <v>95.269000000000005</v>
      </c>
      <c r="K54" s="51">
        <f>J54/F54</f>
        <v>0.1575006612881894</v>
      </c>
      <c r="L54" s="485"/>
    </row>
    <row r="55" spans="2:12" x14ac:dyDescent="0.35">
      <c r="B55" s="484"/>
      <c r="C55" s="71" t="s">
        <v>253</v>
      </c>
      <c r="D55" s="397">
        <v>51000</v>
      </c>
      <c r="E55" s="72" t="s">
        <v>12</v>
      </c>
      <c r="F55" s="399">
        <v>5.8599999999999998E-3</v>
      </c>
      <c r="G55" s="31" t="s">
        <v>165</v>
      </c>
      <c r="H55" s="175">
        <f>ROUND(F55*(1+'Revenue Requirements'!$G$13),7)</f>
        <v>6.783E-3</v>
      </c>
      <c r="I55" s="31" t="s">
        <v>165</v>
      </c>
      <c r="J55" s="175">
        <f>H55-F55</f>
        <v>9.2300000000000021E-4</v>
      </c>
      <c r="K55" s="51">
        <f>J55/F55</f>
        <v>0.15750853242320823</v>
      </c>
      <c r="L55" s="485"/>
    </row>
    <row r="56" spans="2:12" x14ac:dyDescent="0.35">
      <c r="B56" s="484"/>
      <c r="C56" s="177" t="s">
        <v>167</v>
      </c>
      <c r="D56" s="398">
        <v>1000000</v>
      </c>
      <c r="E56" s="72" t="s">
        <v>12</v>
      </c>
      <c r="F56" s="399">
        <f>F51</f>
        <v>5.2300000000000003E-3</v>
      </c>
      <c r="G56" s="31" t="s">
        <v>165</v>
      </c>
      <c r="H56" s="175">
        <f>ROUND(F56*(1+'Revenue Requirements'!$G$13),7)</f>
        <v>6.0537000000000004E-3</v>
      </c>
      <c r="I56" s="64" t="s">
        <v>165</v>
      </c>
      <c r="J56" s="175">
        <f>H56-F56</f>
        <v>8.2370000000000013E-4</v>
      </c>
      <c r="K56" s="51">
        <f>J56/F56</f>
        <v>0.15749521988527726</v>
      </c>
      <c r="L56" s="485"/>
    </row>
    <row r="57" spans="2:12" x14ac:dyDescent="0.35">
      <c r="B57" s="484"/>
      <c r="L57" s="485"/>
    </row>
    <row r="58" spans="2:12" x14ac:dyDescent="0.35">
      <c r="B58" s="484"/>
      <c r="C58" s="513" t="s">
        <v>318</v>
      </c>
      <c r="D58" s="513"/>
      <c r="E58" s="513"/>
      <c r="F58" s="511" t="s">
        <v>161</v>
      </c>
      <c r="G58" s="511"/>
      <c r="H58" s="511" t="s">
        <v>10</v>
      </c>
      <c r="I58" s="511"/>
      <c r="J58" s="511" t="s">
        <v>63</v>
      </c>
      <c r="K58" s="511"/>
      <c r="L58" s="485"/>
    </row>
    <row r="59" spans="2:12" x14ac:dyDescent="0.35">
      <c r="B59" s="484"/>
      <c r="C59" s="71" t="s">
        <v>166</v>
      </c>
      <c r="D59" s="397">
        <v>26000</v>
      </c>
      <c r="E59" s="72" t="s">
        <v>12</v>
      </c>
      <c r="F59" s="178">
        <v>322.23</v>
      </c>
      <c r="G59" s="31" t="s">
        <v>102</v>
      </c>
      <c r="H59" s="31">
        <f>ROUND(F59*(1+'Revenue Requirements'!$G$13),3)</f>
        <v>372.98099999999999</v>
      </c>
      <c r="I59" s="64" t="s">
        <v>102</v>
      </c>
      <c r="J59" s="31">
        <f>H59-F59</f>
        <v>50.750999999999976</v>
      </c>
      <c r="K59" s="51">
        <f>J59/F59</f>
        <v>0.15749930174099239</v>
      </c>
      <c r="L59" s="485"/>
    </row>
    <row r="60" spans="2:12" x14ac:dyDescent="0.35">
      <c r="B60" s="484"/>
      <c r="C60" s="71" t="s">
        <v>253</v>
      </c>
      <c r="D60" s="397">
        <v>74000</v>
      </c>
      <c r="E60" s="72" t="s">
        <v>12</v>
      </c>
      <c r="F60" s="399">
        <v>5.8599999999999998E-3</v>
      </c>
      <c r="G60" s="31" t="s">
        <v>165</v>
      </c>
      <c r="H60" s="175">
        <f>ROUND(F60*(1+'Revenue Requirements'!$G$13),7)</f>
        <v>6.783E-3</v>
      </c>
      <c r="I60" s="31" t="s">
        <v>165</v>
      </c>
      <c r="J60" s="175">
        <f>H60-F60</f>
        <v>9.2300000000000021E-4</v>
      </c>
      <c r="K60" s="51">
        <f>J60/F60</f>
        <v>0.15750853242320823</v>
      </c>
      <c r="L60" s="485"/>
    </row>
    <row r="61" spans="2:12" x14ac:dyDescent="0.35">
      <c r="B61" s="484"/>
      <c r="C61" s="177" t="s">
        <v>167</v>
      </c>
      <c r="D61" s="398">
        <v>1000000</v>
      </c>
      <c r="E61" s="72" t="s">
        <v>12</v>
      </c>
      <c r="F61" s="399">
        <v>5.2300000000000003E-3</v>
      </c>
      <c r="G61" s="31" t="s">
        <v>165</v>
      </c>
      <c r="H61" s="175">
        <f>ROUND(F61*(1+'Revenue Requirements'!$G$13),7)</f>
        <v>6.0537000000000004E-3</v>
      </c>
      <c r="I61" s="64" t="s">
        <v>165</v>
      </c>
      <c r="J61" s="175">
        <f>H61-F61</f>
        <v>8.2370000000000013E-4</v>
      </c>
      <c r="K61" s="51">
        <f>J61/F61</f>
        <v>0.15749521988527726</v>
      </c>
      <c r="L61" s="485"/>
    </row>
    <row r="62" spans="2:12" x14ac:dyDescent="0.35">
      <c r="B62" s="484"/>
      <c r="C62" s="58"/>
      <c r="D62" s="398"/>
      <c r="F62" s="59"/>
      <c r="G62" s="58"/>
      <c r="H62" s="31"/>
      <c r="I62" s="65"/>
      <c r="J62" s="31"/>
      <c r="K62" s="51"/>
      <c r="L62" s="485"/>
    </row>
    <row r="63" spans="2:12" x14ac:dyDescent="0.35">
      <c r="B63" s="484"/>
      <c r="C63" s="513" t="s">
        <v>263</v>
      </c>
      <c r="D63" s="513"/>
      <c r="E63" s="513"/>
      <c r="F63" s="511" t="s">
        <v>161</v>
      </c>
      <c r="G63" s="511"/>
      <c r="H63" s="511" t="s">
        <v>10</v>
      </c>
      <c r="I63" s="511"/>
      <c r="J63" s="511" t="s">
        <v>63</v>
      </c>
      <c r="K63" s="511"/>
      <c r="L63" s="485"/>
    </row>
    <row r="64" spans="2:12" x14ac:dyDescent="0.35">
      <c r="B64" s="484"/>
      <c r="C64" s="71" t="s">
        <v>166</v>
      </c>
      <c r="D64" s="397">
        <v>200000</v>
      </c>
      <c r="E64" s="72" t="s">
        <v>12</v>
      </c>
      <c r="F64" s="178">
        <v>1118.44</v>
      </c>
      <c r="G64" s="31" t="s">
        <v>102</v>
      </c>
      <c r="H64" s="31">
        <f>ROUND(F64*(1+'Revenue Requirements'!$G$13),3)</f>
        <v>1294.5940000000001</v>
      </c>
      <c r="I64" s="64" t="s">
        <v>102</v>
      </c>
      <c r="J64" s="31">
        <f>H64-F64</f>
        <v>176.154</v>
      </c>
      <c r="K64" s="51">
        <f>J64/F64</f>
        <v>0.15749973176925003</v>
      </c>
      <c r="L64" s="485"/>
    </row>
    <row r="65" spans="2:12" x14ac:dyDescent="0.35">
      <c r="B65" s="484"/>
      <c r="C65" s="177" t="s">
        <v>167</v>
      </c>
      <c r="D65" s="398">
        <v>200000</v>
      </c>
      <c r="E65" s="72" t="s">
        <v>12</v>
      </c>
      <c r="F65" s="399">
        <f>F61</f>
        <v>5.2300000000000003E-3</v>
      </c>
      <c r="G65" s="31" t="s">
        <v>165</v>
      </c>
      <c r="H65" s="175">
        <f>ROUND(F65*(1+'Revenue Requirements'!$G$13),7)</f>
        <v>6.0537000000000004E-3</v>
      </c>
      <c r="I65" s="64" t="s">
        <v>165</v>
      </c>
      <c r="J65" s="175">
        <f>H65-F65</f>
        <v>8.2370000000000013E-4</v>
      </c>
      <c r="K65" s="51">
        <f>J65/F65</f>
        <v>0.15749521988527726</v>
      </c>
      <c r="L65" s="485"/>
    </row>
    <row r="66" spans="2:12" x14ac:dyDescent="0.35">
      <c r="B66" s="488"/>
      <c r="C66" s="489"/>
      <c r="D66" s="490"/>
      <c r="E66" s="491"/>
      <c r="F66" s="489"/>
      <c r="G66" s="489"/>
      <c r="H66" s="489"/>
      <c r="I66" s="492"/>
      <c r="J66" s="489"/>
      <c r="K66" s="493"/>
      <c r="L66" s="494"/>
    </row>
  </sheetData>
  <mergeCells count="43">
    <mergeCell ref="F63:G63"/>
    <mergeCell ref="H63:I63"/>
    <mergeCell ref="J63:K63"/>
    <mergeCell ref="C48:E48"/>
    <mergeCell ref="C53:E53"/>
    <mergeCell ref="C58:E58"/>
    <mergeCell ref="C63:E63"/>
    <mergeCell ref="F53:G53"/>
    <mergeCell ref="H53:I53"/>
    <mergeCell ref="J53:K53"/>
    <mergeCell ref="F58:G58"/>
    <mergeCell ref="H58:I58"/>
    <mergeCell ref="J58:K58"/>
    <mergeCell ref="F43:G43"/>
    <mergeCell ref="H43:I43"/>
    <mergeCell ref="J43:K43"/>
    <mergeCell ref="F48:G48"/>
    <mergeCell ref="H48:I48"/>
    <mergeCell ref="J48:K48"/>
    <mergeCell ref="F33:G33"/>
    <mergeCell ref="H33:I33"/>
    <mergeCell ref="J33:K33"/>
    <mergeCell ref="F38:G38"/>
    <mergeCell ref="H38:I38"/>
    <mergeCell ref="J38:K38"/>
    <mergeCell ref="F23:G23"/>
    <mergeCell ref="H23:I23"/>
    <mergeCell ref="J23:K23"/>
    <mergeCell ref="F28:G28"/>
    <mergeCell ref="H28:I28"/>
    <mergeCell ref="J28:K28"/>
    <mergeCell ref="F18:G18"/>
    <mergeCell ref="H18:I18"/>
    <mergeCell ref="J18:K18"/>
    <mergeCell ref="C3:J3"/>
    <mergeCell ref="F8:G8"/>
    <mergeCell ref="H8:I8"/>
    <mergeCell ref="J8:K8"/>
    <mergeCell ref="F13:G13"/>
    <mergeCell ref="H13:I13"/>
    <mergeCell ref="J13:K13"/>
    <mergeCell ref="C5:J5"/>
    <mergeCell ref="C6:J6"/>
  </mergeCells>
  <printOptions horizontalCentered="1" verticalCentered="1"/>
  <pageMargins left="0.5" right="0.5" top="0.75" bottom="0.75" header="0" footer="0"/>
  <pageSetup scale="66"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pageSetUpPr fitToPage="1"/>
  </sheetPr>
  <dimension ref="B1:W30"/>
  <sheetViews>
    <sheetView showGridLines="0" workbookViewId="0">
      <selection activeCell="M6" sqref="M6:S19"/>
    </sheetView>
  </sheetViews>
  <sheetFormatPr defaultColWidth="8.84375" defaultRowHeight="14.5" x14ac:dyDescent="0.35"/>
  <cols>
    <col min="1" max="1" width="3.61328125" style="4" customWidth="1"/>
    <col min="2" max="2" width="1.765625" style="4" customWidth="1"/>
    <col min="3" max="4" width="9.765625" style="4" customWidth="1"/>
    <col min="5" max="7" width="9.765625" style="82" customWidth="1"/>
    <col min="8" max="8" width="9.765625" style="4" customWidth="1"/>
    <col min="9" max="9" width="1.765625" style="4" customWidth="1"/>
    <col min="10" max="10" width="3.61328125" style="4" customWidth="1"/>
    <col min="11" max="11" width="8.84375" style="4"/>
    <col min="12" max="12" width="3.53515625" style="4" customWidth="1"/>
    <col min="13" max="13" width="40.4609375" style="4" customWidth="1"/>
    <col min="14" max="14" width="6" style="4" customWidth="1"/>
    <col min="15" max="15" width="8.53515625" style="4" bestFit="1" customWidth="1"/>
    <col min="16" max="16" width="9.3828125" style="4" bestFit="1" customWidth="1"/>
    <col min="17" max="17" width="8.84375" style="4"/>
    <col min="18" max="18" width="9.3046875" style="4" customWidth="1"/>
    <col min="19" max="19" width="9.69140625" style="4" customWidth="1"/>
    <col min="20" max="20" width="2.69140625" style="4" customWidth="1"/>
    <col min="21" max="21" width="8.84375" style="4"/>
    <col min="22" max="22" width="10.61328125" style="4" bestFit="1" customWidth="1"/>
    <col min="23" max="25" width="8.84375" style="4"/>
    <col min="26" max="26" width="10.61328125" style="4" bestFit="1" customWidth="1"/>
    <col min="27" max="16384" width="8.84375" style="4"/>
  </cols>
  <sheetData>
    <row r="1" spans="2:23" ht="15" thickBot="1" x14ac:dyDescent="0.4">
      <c r="B1" s="3"/>
      <c r="C1" s="3"/>
      <c r="D1" s="3"/>
      <c r="E1" s="84"/>
      <c r="F1" s="84"/>
      <c r="G1" s="84"/>
      <c r="H1" s="3"/>
      <c r="I1" s="3"/>
    </row>
    <row r="2" spans="2:23" ht="16" customHeight="1" x14ac:dyDescent="0.45">
      <c r="B2" s="280"/>
      <c r="C2" s="520"/>
      <c r="D2" s="520"/>
      <c r="E2" s="520"/>
      <c r="F2" s="520"/>
      <c r="G2" s="520"/>
      <c r="H2" s="520"/>
      <c r="I2" s="521"/>
    </row>
    <row r="3" spans="2:23" ht="18.5" x14ac:dyDescent="0.45">
      <c r="B3" s="281"/>
      <c r="C3" s="517" t="s">
        <v>67</v>
      </c>
      <c r="D3" s="517"/>
      <c r="E3" s="517"/>
      <c r="F3" s="517"/>
      <c r="G3" s="517"/>
      <c r="H3" s="517"/>
      <c r="I3" s="518"/>
    </row>
    <row r="4" spans="2:23" ht="15.5" x14ac:dyDescent="0.35">
      <c r="B4" s="281"/>
      <c r="C4" s="509" t="str">
        <f>SAO!A2</f>
        <v>Laurel County Water District #2</v>
      </c>
      <c r="D4" s="509"/>
      <c r="E4" s="509"/>
      <c r="F4" s="509"/>
      <c r="G4" s="509"/>
      <c r="H4" s="509"/>
      <c r="I4" s="519"/>
      <c r="L4" s="522" t="s">
        <v>223</v>
      </c>
      <c r="M4" s="499"/>
      <c r="N4" s="499"/>
      <c r="O4" s="499"/>
      <c r="P4" s="499"/>
      <c r="Q4" s="499"/>
      <c r="R4" s="499"/>
      <c r="S4" s="499"/>
      <c r="T4" s="499"/>
      <c r="U4" s="499"/>
      <c r="V4" s="499"/>
      <c r="W4" s="499"/>
    </row>
    <row r="5" spans="2:23" ht="15.5" x14ac:dyDescent="0.35">
      <c r="B5" s="283"/>
      <c r="C5" s="2"/>
      <c r="D5" s="2"/>
      <c r="E5" s="78"/>
      <c r="F5" s="78"/>
      <c r="G5" s="78"/>
      <c r="H5" s="2"/>
      <c r="I5" s="284"/>
      <c r="L5" s="301"/>
      <c r="M5" s="239"/>
      <c r="N5" s="239"/>
      <c r="O5" s="239"/>
      <c r="P5" s="239"/>
      <c r="Q5" s="239"/>
      <c r="R5" s="239"/>
      <c r="S5" s="239"/>
      <c r="T5" s="239"/>
      <c r="U5" s="239"/>
      <c r="V5" s="239"/>
      <c r="W5" s="239"/>
    </row>
    <row r="6" spans="2:23" ht="19.5" customHeight="1" x14ac:dyDescent="0.5">
      <c r="B6" s="281"/>
      <c r="C6" s="3"/>
      <c r="D6" s="5"/>
      <c r="E6" s="79"/>
      <c r="F6" s="285"/>
      <c r="G6" s="285"/>
      <c r="H6" s="261"/>
      <c r="I6" s="282"/>
      <c r="J6" s="19"/>
      <c r="K6" s="19"/>
      <c r="L6" s="3"/>
      <c r="M6" s="50" t="s">
        <v>323</v>
      </c>
      <c r="N6" s="523" t="s">
        <v>224</v>
      </c>
      <c r="O6" s="499"/>
      <c r="P6" s="303" t="s">
        <v>22</v>
      </c>
      <c r="Q6" s="68" t="s">
        <v>225</v>
      </c>
      <c r="R6" s="302" t="s">
        <v>226</v>
      </c>
      <c r="S6" s="302" t="s">
        <v>65</v>
      </c>
      <c r="T6" s="303"/>
      <c r="U6" s="303"/>
      <c r="V6" s="302"/>
      <c r="W6" s="302"/>
    </row>
    <row r="7" spans="2:23" ht="18.5" x14ac:dyDescent="0.65">
      <c r="B7" s="281"/>
      <c r="C7" s="6" t="s">
        <v>12</v>
      </c>
      <c r="D7" s="18" t="s">
        <v>62</v>
      </c>
      <c r="E7" s="80" t="s">
        <v>22</v>
      </c>
      <c r="F7" s="83" t="s">
        <v>10</v>
      </c>
      <c r="G7" s="83"/>
      <c r="H7" s="6"/>
      <c r="I7" s="286"/>
      <c r="L7" s="3"/>
      <c r="M7" s="409"/>
      <c r="N7" s="515" t="s">
        <v>227</v>
      </c>
      <c r="O7" s="516"/>
      <c r="P7" s="303" t="s">
        <v>64</v>
      </c>
      <c r="Q7" s="68" t="s">
        <v>228</v>
      </c>
      <c r="R7" s="303" t="s">
        <v>23</v>
      </c>
      <c r="S7" s="302" t="s">
        <v>229</v>
      </c>
      <c r="T7" s="303"/>
      <c r="U7" s="303"/>
      <c r="V7" s="303"/>
      <c r="W7" s="302"/>
    </row>
    <row r="8" spans="2:23" ht="17" x14ac:dyDescent="0.5">
      <c r="B8" s="281"/>
      <c r="C8" s="6" t="s">
        <v>77</v>
      </c>
      <c r="D8" s="18" t="s">
        <v>66</v>
      </c>
      <c r="E8" s="80" t="s">
        <v>64</v>
      </c>
      <c r="F8" s="83" t="s">
        <v>64</v>
      </c>
      <c r="G8" s="83" t="s">
        <v>23</v>
      </c>
      <c r="H8" s="6" t="s">
        <v>65</v>
      </c>
      <c r="I8" s="286"/>
      <c r="L8" s="11"/>
      <c r="M8" s="310" t="s">
        <v>246</v>
      </c>
      <c r="N8"/>
      <c r="O8" s="321">
        <v>4000</v>
      </c>
      <c r="P8" s="304">
        <f>Rates!F9+(3000*Rates!F10)</f>
        <v>32.58</v>
      </c>
      <c r="Q8" s="304">
        <f>Rates!H9+(3000*Rates!H10)</f>
        <v>37.712000000000003</v>
      </c>
      <c r="R8" s="304">
        <f>Q8-P8</f>
        <v>5.132000000000005</v>
      </c>
      <c r="S8" s="406">
        <f>(Q8-P8)/P8</f>
        <v>0.15751995089011681</v>
      </c>
      <c r="T8" s="304"/>
      <c r="U8" s="304"/>
      <c r="V8" s="408">
        <f>ExBA!F6/ExBA!E6</f>
        <v>3736.323311372862</v>
      </c>
    </row>
    <row r="9" spans="2:23" ht="14.5" customHeight="1" x14ac:dyDescent="0.35">
      <c r="B9" s="281"/>
      <c r="C9" s="3">
        <v>0</v>
      </c>
      <c r="D9" s="20" t="s">
        <v>168</v>
      </c>
      <c r="E9" s="81">
        <f>Rates!F9</f>
        <v>15</v>
      </c>
      <c r="F9" s="81">
        <f>Rates!H9</f>
        <v>17.363</v>
      </c>
      <c r="G9" s="85">
        <f>F9-E9</f>
        <v>2.3629999999999995</v>
      </c>
      <c r="H9" s="52">
        <f>G9/E9</f>
        <v>0.1575333333333333</v>
      </c>
      <c r="I9" s="287"/>
      <c r="L9" s="11"/>
      <c r="M9" s="310" t="s">
        <v>247</v>
      </c>
      <c r="N9"/>
      <c r="O9" s="316">
        <v>24000</v>
      </c>
      <c r="P9" s="76">
        <f>Rates!F14+(19000*Rates!F15)</f>
        <v>149.77999999999997</v>
      </c>
      <c r="Q9" s="76">
        <f>Rates!H14+(19000*Rates!H15)</f>
        <v>173.37100000000001</v>
      </c>
      <c r="R9" s="304">
        <f t="shared" ref="R9:R19" si="0">Q9-P9</f>
        <v>23.591000000000037</v>
      </c>
      <c r="S9" s="406">
        <f t="shared" ref="S9:S19" si="1">(Q9-P9)/P9</f>
        <v>0.15750433969822433</v>
      </c>
      <c r="T9" s="76"/>
      <c r="U9" s="76"/>
      <c r="V9" s="408">
        <f>ExBA!F7/ExBA!E7</f>
        <v>23596.45101663586</v>
      </c>
    </row>
    <row r="10" spans="2:23" ht="14.5" customHeight="1" x14ac:dyDescent="0.35">
      <c r="B10" s="281"/>
      <c r="C10" s="397">
        <v>2000</v>
      </c>
      <c r="D10" s="20" t="s">
        <v>168</v>
      </c>
      <c r="E10" s="215">
        <f>Rates!F9+(1*Rates!F10*1000)</f>
        <v>20.86</v>
      </c>
      <c r="F10" s="215">
        <f>Rates!H9+(1*Rates!H10*1000)</f>
        <v>24.146000000000001</v>
      </c>
      <c r="G10" s="84">
        <f t="shared" ref="G10:G17" si="2">F10-E10</f>
        <v>3.2860000000000014</v>
      </c>
      <c r="H10" s="52">
        <f t="shared" ref="H10:H17" si="3">G10/E10</f>
        <v>0.15752636625119854</v>
      </c>
      <c r="I10" s="287"/>
      <c r="L10" s="11"/>
      <c r="M10" s="310" t="s">
        <v>248</v>
      </c>
      <c r="N10"/>
      <c r="O10" s="316">
        <v>20000</v>
      </c>
      <c r="P10" s="76">
        <f>Rates!F19+(10000*Rates!F20)</f>
        <v>126.33999999999999</v>
      </c>
      <c r="Q10" s="76">
        <f>Rates!H19+(10000*Rates!H20)</f>
        <v>146.239</v>
      </c>
      <c r="R10" s="304">
        <f t="shared" si="0"/>
        <v>19.899000000000015</v>
      </c>
      <c r="S10" s="406">
        <f t="shared" si="1"/>
        <v>0.15750356181731848</v>
      </c>
      <c r="T10" s="76"/>
      <c r="U10" s="76"/>
      <c r="V10" s="408">
        <f>ExBA!F8/ExBA!E8</f>
        <v>19292.708333333332</v>
      </c>
    </row>
    <row r="11" spans="2:23" ht="14.5" customHeight="1" x14ac:dyDescent="0.35">
      <c r="B11" s="281"/>
      <c r="C11" s="410">
        <v>4000</v>
      </c>
      <c r="D11" s="22" t="s">
        <v>168</v>
      </c>
      <c r="E11" s="231">
        <f>Rates!F9+(3*Rates!F10*1000)</f>
        <v>32.58</v>
      </c>
      <c r="F11" s="231">
        <f>Rates!H9+(3*Rates!H10*1000)</f>
        <v>37.712000000000003</v>
      </c>
      <c r="G11" s="170">
        <f t="shared" ref="G11:G16" si="4">F11-E11</f>
        <v>5.132000000000005</v>
      </c>
      <c r="H11" s="171">
        <f t="shared" ref="H11:H16" si="5">G11/E11</f>
        <v>0.15751995089011681</v>
      </c>
      <c r="I11" s="288"/>
      <c r="L11" s="11"/>
      <c r="M11" s="86" t="s">
        <v>249</v>
      </c>
      <c r="N11"/>
      <c r="O11" s="316">
        <v>60000</v>
      </c>
      <c r="P11" s="76">
        <f>Rates!F24+(40000*Rates!F25)</f>
        <v>360.74</v>
      </c>
      <c r="Q11" s="76">
        <f>Rates!H24+(40000*Rates!H25)</f>
        <v>417.55899999999997</v>
      </c>
      <c r="R11" s="304">
        <f t="shared" si="0"/>
        <v>56.81899999999996</v>
      </c>
      <c r="S11" s="406">
        <f t="shared" si="1"/>
        <v>0.15750679159505449</v>
      </c>
      <c r="T11" s="76"/>
      <c r="U11" s="76"/>
      <c r="V11" s="408">
        <f>ExBA!F9/ExBA!E9</f>
        <v>60109.094076655056</v>
      </c>
    </row>
    <row r="12" spans="2:23" ht="14.5" customHeight="1" x14ac:dyDescent="0.35">
      <c r="B12" s="281"/>
      <c r="C12" s="397">
        <v>6000</v>
      </c>
      <c r="D12" s="232" t="s">
        <v>168</v>
      </c>
      <c r="E12" s="233">
        <f>Rates!F9+(5*Rates!F10*1000)</f>
        <v>44.3</v>
      </c>
      <c r="F12" s="233">
        <f>Rates!H9+(5*Rates!H10*1000)</f>
        <v>51.277999999999999</v>
      </c>
      <c r="G12" s="84">
        <f t="shared" si="4"/>
        <v>6.9780000000000015</v>
      </c>
      <c r="H12" s="52">
        <f t="shared" si="5"/>
        <v>0.15751693002257341</v>
      </c>
      <c r="I12" s="287"/>
      <c r="L12" s="11"/>
      <c r="M12" s="86" t="s">
        <v>264</v>
      </c>
      <c r="N12"/>
      <c r="O12" s="385">
        <v>145000</v>
      </c>
      <c r="P12" s="4">
        <f>Rates!F29+(70000*Rates!F30)+(45000*Rates!F31)</f>
        <v>830.49</v>
      </c>
      <c r="Q12" s="4">
        <f>Rates!H29+(70000*Rates!H30)+(45000*Rates!H31)</f>
        <v>961.29450000000008</v>
      </c>
      <c r="R12" s="304">
        <f t="shared" si="0"/>
        <v>130.80450000000008</v>
      </c>
      <c r="S12" s="406">
        <f t="shared" si="1"/>
        <v>0.15750279955207175</v>
      </c>
      <c r="T12" s="76"/>
      <c r="U12" s="76"/>
      <c r="V12" s="408">
        <f>ExBA!F10/ExBA!E10</f>
        <v>145105.55555555556</v>
      </c>
    </row>
    <row r="13" spans="2:23" ht="14.5" customHeight="1" x14ac:dyDescent="0.35">
      <c r="B13" s="281"/>
      <c r="C13" s="397">
        <v>8000</v>
      </c>
      <c r="D13" s="20" t="s">
        <v>24</v>
      </c>
      <c r="E13" s="215">
        <f>Rates!F14+(3000*Rates!F15)</f>
        <v>56.019999999999996</v>
      </c>
      <c r="F13" s="215">
        <f>Rates!H14+(3000*Rates!H15)</f>
        <v>64.843000000000004</v>
      </c>
      <c r="G13" s="84">
        <f t="shared" si="4"/>
        <v>8.8230000000000075</v>
      </c>
      <c r="H13" s="52">
        <f t="shared" si="5"/>
        <v>0.15749732238486269</v>
      </c>
      <c r="I13" s="287"/>
      <c r="L13" s="11"/>
      <c r="M13" s="86" t="s">
        <v>265</v>
      </c>
      <c r="N13" s="26"/>
      <c r="O13" s="385">
        <v>1680000</v>
      </c>
      <c r="P13" s="4">
        <f>Rates!F34+(50000*Rates!F35)+(1580000*Rates!F36)</f>
        <v>8858.5399999999991</v>
      </c>
      <c r="Q13" s="4">
        <f>Rates!H34+(50000*Rates!H35)+(1580000*Rates!H36)</f>
        <v>10253.723000000002</v>
      </c>
      <c r="R13" s="304">
        <f t="shared" si="0"/>
        <v>1395.1830000000027</v>
      </c>
      <c r="S13" s="406">
        <f t="shared" si="1"/>
        <v>0.15749581759522482</v>
      </c>
      <c r="T13" s="76"/>
      <c r="U13" s="76"/>
      <c r="V13" s="408">
        <f>ExBA!F11/ExBA!E11</f>
        <v>1679716.6666666667</v>
      </c>
    </row>
    <row r="14" spans="2:23" ht="14.5" customHeight="1" x14ac:dyDescent="0.35">
      <c r="B14" s="281"/>
      <c r="C14" s="397">
        <v>10000</v>
      </c>
      <c r="D14" s="20" t="s">
        <v>24</v>
      </c>
      <c r="E14" s="215">
        <f>Rates!F14+(5000*Rates!F15)</f>
        <v>67.739999999999995</v>
      </c>
      <c r="F14" s="215">
        <f>Rates!H14+(5000*Rates!H15)</f>
        <v>78.408999999999992</v>
      </c>
      <c r="G14" s="84">
        <f t="shared" si="4"/>
        <v>10.668999999999997</v>
      </c>
      <c r="H14" s="52">
        <f t="shared" si="5"/>
        <v>0.15749926188367283</v>
      </c>
      <c r="I14" s="287"/>
      <c r="L14" s="11"/>
      <c r="M14" s="86" t="s">
        <v>266</v>
      </c>
      <c r="N14" s="26"/>
      <c r="O14" s="316">
        <v>6000</v>
      </c>
      <c r="P14" s="76">
        <f>Rates!F39+(2000*Rates!F40)</f>
        <v>63.58</v>
      </c>
      <c r="Q14" s="76">
        <f>Rates!H39+(2000*Rates!H40)</f>
        <v>73.593999999999994</v>
      </c>
      <c r="R14" s="304">
        <f t="shared" si="0"/>
        <v>10.013999999999996</v>
      </c>
      <c r="S14" s="406">
        <f t="shared" si="1"/>
        <v>0.15750235923246297</v>
      </c>
      <c r="T14" s="76"/>
      <c r="U14" s="76"/>
      <c r="V14" s="408">
        <f>ExBA!F12/ExBA!E12</f>
        <v>6170.3125</v>
      </c>
    </row>
    <row r="15" spans="2:23" ht="14.5" customHeight="1" x14ac:dyDescent="0.35">
      <c r="B15" s="281"/>
      <c r="C15" s="397">
        <v>15000</v>
      </c>
      <c r="D15" s="20" t="s">
        <v>24</v>
      </c>
      <c r="E15" s="215">
        <f>Rates!F14+(10000*Rates!F15)</f>
        <v>97.039999999999992</v>
      </c>
      <c r="F15" s="215">
        <f>Rates!H14+(10000*Rates!H15)</f>
        <v>112.324</v>
      </c>
      <c r="G15" s="84">
        <f t="shared" si="4"/>
        <v>15.284000000000006</v>
      </c>
      <c r="H15" s="52">
        <f t="shared" si="5"/>
        <v>0.15750206100577088</v>
      </c>
      <c r="I15" s="287"/>
      <c r="L15" s="11"/>
      <c r="M15" s="86" t="s">
        <v>267</v>
      </c>
      <c r="N15" s="26"/>
      <c r="O15" s="316">
        <v>2000</v>
      </c>
      <c r="P15" s="76">
        <f>Rates!F44</f>
        <v>38.42</v>
      </c>
      <c r="Q15" s="76">
        <f>Rates!H44</f>
        <v>44.470999999999997</v>
      </c>
      <c r="R15" s="304">
        <f t="shared" si="0"/>
        <v>6.0509999999999948</v>
      </c>
      <c r="S15" s="406">
        <f t="shared" si="1"/>
        <v>0.15749609578344598</v>
      </c>
      <c r="T15" s="76"/>
      <c r="U15" s="76"/>
      <c r="V15" s="408">
        <f>ExBA!F13/ExBA!E13</f>
        <v>1645</v>
      </c>
    </row>
    <row r="16" spans="2:23" ht="14.5" customHeight="1" x14ac:dyDescent="0.35">
      <c r="B16" s="281"/>
      <c r="C16" s="397">
        <v>20000</v>
      </c>
      <c r="D16" s="20" t="s">
        <v>25</v>
      </c>
      <c r="E16" s="81">
        <f>Rates!F24</f>
        <v>126.34</v>
      </c>
      <c r="F16" s="81">
        <f>Rates!H24</f>
        <v>146.239</v>
      </c>
      <c r="G16" s="84">
        <f t="shared" si="4"/>
        <v>19.899000000000001</v>
      </c>
      <c r="H16" s="52">
        <f t="shared" si="5"/>
        <v>0.15750356181731834</v>
      </c>
      <c r="I16" s="287"/>
      <c r="L16" s="11"/>
      <c r="M16" s="514" t="s">
        <v>260</v>
      </c>
      <c r="N16" s="514"/>
      <c r="O16" s="316">
        <v>62000</v>
      </c>
      <c r="P16" s="76">
        <f>Rates!F49+(40000*Rates!F50)</f>
        <v>507.46999999999997</v>
      </c>
      <c r="Q16" s="76">
        <f>Rates!H49+(40000*Rates!H50)</f>
        <v>587.399</v>
      </c>
      <c r="R16" s="304">
        <f t="shared" si="0"/>
        <v>79.92900000000003</v>
      </c>
      <c r="S16" s="406">
        <f t="shared" si="1"/>
        <v>0.1575048771355943</v>
      </c>
      <c r="T16" s="76"/>
      <c r="U16" s="76"/>
      <c r="V16" s="408">
        <f>ExBA!F14/ExBA!E14</f>
        <v>61666.666666666664</v>
      </c>
    </row>
    <row r="17" spans="2:22" ht="14.5" customHeight="1" x14ac:dyDescent="0.35">
      <c r="B17" s="281"/>
      <c r="C17" s="397">
        <v>25000</v>
      </c>
      <c r="D17" s="20" t="s">
        <v>25</v>
      </c>
      <c r="E17" s="81">
        <f>Rates!F24+(5000*Rates!F25)</f>
        <v>155.63999999999999</v>
      </c>
      <c r="F17" s="81">
        <f>Rates!H24+(5000*Rates!H25)</f>
        <v>180.154</v>
      </c>
      <c r="G17" s="84">
        <f t="shared" si="2"/>
        <v>24.51400000000001</v>
      </c>
      <c r="H17" s="52">
        <f t="shared" si="3"/>
        <v>0.15750449755846835</v>
      </c>
      <c r="I17" s="287"/>
      <c r="M17" s="514" t="s">
        <v>261</v>
      </c>
      <c r="N17" s="514"/>
      <c r="O17" s="385">
        <v>256000</v>
      </c>
      <c r="P17" s="4">
        <f>Rates!F54+(51000*Rates!F55)+(156000*Rates!F56)</f>
        <v>1719.62</v>
      </c>
      <c r="Q17" s="4">
        <f>Rates!H54+(51000*Rates!H55)+(156000*Rates!H56)</f>
        <v>1990.4591999999998</v>
      </c>
      <c r="R17" s="304">
        <f t="shared" si="0"/>
        <v>270.83919999999989</v>
      </c>
      <c r="S17" s="406">
        <f t="shared" si="1"/>
        <v>0.15749944755236617</v>
      </c>
      <c r="V17" s="408">
        <f>ExBA!F15/ExBA!E15</f>
        <v>256233.33333333334</v>
      </c>
    </row>
    <row r="18" spans="2:22" ht="14.5" customHeight="1" x14ac:dyDescent="0.35">
      <c r="B18" s="281"/>
      <c r="C18" s="397">
        <v>30000</v>
      </c>
      <c r="D18" s="20" t="s">
        <v>324</v>
      </c>
      <c r="E18" s="215">
        <f>Rates!F29</f>
        <v>184.94</v>
      </c>
      <c r="F18" s="215">
        <f>Rates!H29</f>
        <v>214.06800000000001</v>
      </c>
      <c r="G18" s="84">
        <f t="shared" ref="G18:G20" si="6">F18-E18</f>
        <v>29.128000000000014</v>
      </c>
      <c r="H18" s="52">
        <f t="shared" ref="H18:H20" si="7">G18/E18</f>
        <v>0.15749972964204614</v>
      </c>
      <c r="I18" s="287"/>
      <c r="M18" s="514" t="s">
        <v>262</v>
      </c>
      <c r="N18" s="514"/>
      <c r="O18" s="385">
        <v>106000</v>
      </c>
      <c r="P18" s="4">
        <f>Rates!F59+(74000*Rates!F60)+(6000*Rates!F61)</f>
        <v>787.25</v>
      </c>
      <c r="Q18" s="4">
        <f>Rates!H59+(74000*Rates!H60)+(6000*Rates!H61)</f>
        <v>911.24519999999995</v>
      </c>
      <c r="R18" s="304">
        <f t="shared" si="0"/>
        <v>123.99519999999995</v>
      </c>
      <c r="S18" s="406">
        <f t="shared" si="1"/>
        <v>0.15750422356303584</v>
      </c>
      <c r="V18" s="408">
        <f>ExBA!F16/ExBA!E16</f>
        <v>105858.33333333333</v>
      </c>
    </row>
    <row r="19" spans="2:22" x14ac:dyDescent="0.35">
      <c r="B19" s="281"/>
      <c r="C19" s="397">
        <v>40000</v>
      </c>
      <c r="D19" s="20" t="s">
        <v>324</v>
      </c>
      <c r="E19" s="215">
        <f>Rates!F29+(10000*Rates!F30)</f>
        <v>243.54</v>
      </c>
      <c r="F19" s="215">
        <f>Rates!H19+(30000*Rates!H20)</f>
        <v>281.899</v>
      </c>
      <c r="G19" s="84">
        <f t="shared" si="6"/>
        <v>38.359000000000009</v>
      </c>
      <c r="H19" s="52">
        <f t="shared" si="7"/>
        <v>0.15750595384741731</v>
      </c>
      <c r="I19" s="287"/>
      <c r="M19" s="514" t="s">
        <v>263</v>
      </c>
      <c r="N19" s="514"/>
      <c r="O19" s="385">
        <v>545000</v>
      </c>
      <c r="P19" s="4">
        <f>Rates!F64+(354000*Rates!F65)</f>
        <v>2969.86</v>
      </c>
      <c r="Q19" s="4">
        <f>Rates!H64+(354000*Rates!H65)</f>
        <v>3437.6038000000003</v>
      </c>
      <c r="R19" s="304">
        <f t="shared" si="0"/>
        <v>467.74380000000019</v>
      </c>
      <c r="S19" s="406">
        <f t="shared" si="1"/>
        <v>0.15749691904668914</v>
      </c>
      <c r="V19" s="408">
        <f>ExBA!F17/ExBA!E17</f>
        <v>546716.66666666663</v>
      </c>
    </row>
    <row r="20" spans="2:22" x14ac:dyDescent="0.35">
      <c r="B20" s="281"/>
      <c r="C20" s="397">
        <v>50000</v>
      </c>
      <c r="D20" s="20" t="s">
        <v>325</v>
      </c>
      <c r="E20" s="215">
        <f>Rates!F34</f>
        <v>302.14</v>
      </c>
      <c r="F20" s="215">
        <f>Rates!H34</f>
        <v>349.72699999999998</v>
      </c>
      <c r="G20" s="84">
        <f t="shared" si="6"/>
        <v>47.586999999999989</v>
      </c>
      <c r="H20" s="52">
        <f t="shared" si="7"/>
        <v>0.15749983451380151</v>
      </c>
      <c r="I20" s="287"/>
      <c r="O20" s="385"/>
    </row>
    <row r="21" spans="2:22" x14ac:dyDescent="0.35">
      <c r="B21" s="281"/>
      <c r="C21" s="397">
        <v>60000</v>
      </c>
      <c r="D21" s="20" t="s">
        <v>325</v>
      </c>
      <c r="E21" s="215">
        <f>Rates!F34+(10000*Rates!F35)</f>
        <v>360.74</v>
      </c>
      <c r="F21" s="215">
        <f>Rates!H34+(10000*Rates!H35)</f>
        <v>417.55699999999996</v>
      </c>
      <c r="G21" s="84">
        <f t="shared" ref="G21:G23" si="8">F21-E21</f>
        <v>56.81699999999995</v>
      </c>
      <c r="H21" s="52">
        <f t="shared" ref="H21:H22" si="9">G21/E21</f>
        <v>0.15750124743582622</v>
      </c>
      <c r="I21" s="287"/>
      <c r="O21" s="3"/>
    </row>
    <row r="22" spans="2:22" x14ac:dyDescent="0.35">
      <c r="B22" s="281"/>
      <c r="C22" s="397">
        <v>100000</v>
      </c>
      <c r="D22" s="20" t="s">
        <v>325</v>
      </c>
      <c r="E22" s="215">
        <f>Rates!F34+(50000*Rates!F35)</f>
        <v>595.14</v>
      </c>
      <c r="F22" s="215">
        <f>Rates!H34+(50000*Rates!H35)</f>
        <v>688.87699999999995</v>
      </c>
      <c r="G22" s="84">
        <f t="shared" si="8"/>
        <v>93.736999999999966</v>
      </c>
      <c r="H22" s="52">
        <f t="shared" si="9"/>
        <v>0.15750411667842856</v>
      </c>
      <c r="I22" s="287"/>
    </row>
    <row r="23" spans="2:22" x14ac:dyDescent="0.35">
      <c r="B23" s="281"/>
      <c r="C23" s="397">
        <v>500000</v>
      </c>
      <c r="D23" s="20" t="s">
        <v>325</v>
      </c>
      <c r="E23" s="215">
        <f>Rates!F34+(50000*Rates!F35)+(400000*Rates!F36)</f>
        <v>2687.14</v>
      </c>
      <c r="F23" s="215">
        <f>Rates!H34+(50000*Rates!H35)+(400000*Rates!H36)</f>
        <v>3110.357</v>
      </c>
      <c r="G23" s="84">
        <f t="shared" si="8"/>
        <v>423.2170000000001</v>
      </c>
      <c r="H23" s="52">
        <f>G23/E23</f>
        <v>0.15749719032130821</v>
      </c>
      <c r="I23" s="287"/>
    </row>
    <row r="24" spans="2:22" x14ac:dyDescent="0.35">
      <c r="B24" s="281"/>
      <c r="C24" s="3"/>
      <c r="D24" s="21"/>
      <c r="E24" s="81"/>
      <c r="F24" s="81"/>
      <c r="G24" s="84"/>
      <c r="H24" s="52"/>
      <c r="I24" s="287"/>
    </row>
    <row r="25" spans="2:22" x14ac:dyDescent="0.35">
      <c r="B25" s="281"/>
      <c r="C25" s="3"/>
      <c r="D25" s="21"/>
      <c r="E25" s="81"/>
      <c r="F25" s="81"/>
      <c r="G25" s="84"/>
      <c r="H25" s="52"/>
      <c r="I25" s="287"/>
    </row>
    <row r="26" spans="2:22" x14ac:dyDescent="0.35">
      <c r="B26" s="281"/>
      <c r="C26" s="3"/>
      <c r="D26" s="21"/>
      <c r="E26" s="81"/>
      <c r="F26" s="81"/>
      <c r="G26" s="84"/>
      <c r="H26" s="52"/>
      <c r="I26" s="287"/>
    </row>
    <row r="27" spans="2:22" x14ac:dyDescent="0.35">
      <c r="B27" s="281"/>
      <c r="C27" s="3"/>
      <c r="D27" s="21"/>
      <c r="E27" s="81"/>
      <c r="F27" s="81"/>
      <c r="G27" s="84"/>
      <c r="H27" s="52"/>
      <c r="I27" s="287"/>
    </row>
    <row r="28" spans="2:22" ht="6" customHeight="1" thickBot="1" x14ac:dyDescent="0.4">
      <c r="B28" s="289"/>
      <c r="C28" s="190"/>
      <c r="D28" s="290"/>
      <c r="E28" s="291"/>
      <c r="F28" s="292"/>
      <c r="G28" s="292"/>
      <c r="H28" s="190"/>
      <c r="I28" s="293"/>
    </row>
    <row r="30" spans="2:22" x14ac:dyDescent="0.35">
      <c r="D30" s="30" t="s">
        <v>78</v>
      </c>
    </row>
  </sheetData>
  <mergeCells count="10">
    <mergeCell ref="C3:I3"/>
    <mergeCell ref="C4:I4"/>
    <mergeCell ref="C2:I2"/>
    <mergeCell ref="L4:W4"/>
    <mergeCell ref="N6:O6"/>
    <mergeCell ref="M16:N16"/>
    <mergeCell ref="M17:N17"/>
    <mergeCell ref="M18:N18"/>
    <mergeCell ref="M19:N19"/>
    <mergeCell ref="N7:O7"/>
  </mergeCells>
  <printOptions horizontalCentered="1"/>
  <pageMargins left="0.7" right="0.7" top="1.1000000000000001"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89B43C-08DA-4F35-AF2D-4D6BA18A1447}">
  <sheetPr>
    <tabColor rgb="FF92D050"/>
    <pageSetUpPr fitToPage="1"/>
  </sheetPr>
  <dimension ref="A1:S350"/>
  <sheetViews>
    <sheetView showGridLines="0" topLeftCell="A112" zoomScaleNormal="100" workbookViewId="0">
      <selection activeCell="B129" sqref="B129:J200"/>
    </sheetView>
  </sheetViews>
  <sheetFormatPr defaultColWidth="8.84375" defaultRowHeight="15.5" x14ac:dyDescent="0.35"/>
  <cols>
    <col min="1" max="1" width="7.765625" customWidth="1"/>
    <col min="2" max="2" width="8" style="74" customWidth="1"/>
    <col min="3" max="3" width="10.53515625" customWidth="1"/>
    <col min="4" max="4" width="17.15234375" customWidth="1"/>
    <col min="5" max="5" width="12" style="364" bestFit="1" customWidth="1"/>
    <col min="6" max="8" width="12.61328125" style="364" customWidth="1"/>
    <col min="9" max="9" width="12.3046875" bestFit="1" customWidth="1"/>
    <col min="10" max="10" width="6.07421875" customWidth="1"/>
    <col min="11" max="11" width="8.765625" customWidth="1"/>
    <col min="12" max="12" width="16.3046875" customWidth="1"/>
    <col min="13" max="13" width="10.765625" bestFit="1" customWidth="1"/>
    <col min="14" max="14" width="12.3046875" bestFit="1" customWidth="1"/>
    <col min="15" max="16" width="11.4609375" bestFit="1" customWidth="1"/>
    <col min="18" max="18" width="11.4609375" bestFit="1" customWidth="1"/>
  </cols>
  <sheetData>
    <row r="1" spans="1:13" ht="21" x14ac:dyDescent="0.5">
      <c r="B1" s="531" t="s">
        <v>269</v>
      </c>
      <c r="C1" s="531"/>
      <c r="D1" s="531"/>
      <c r="E1" s="531"/>
      <c r="F1" s="531"/>
      <c r="G1" s="531"/>
      <c r="H1" s="531"/>
      <c r="I1" s="531"/>
      <c r="J1" s="531"/>
      <c r="K1" s="1"/>
      <c r="L1" s="1"/>
      <c r="M1" s="1"/>
    </row>
    <row r="2" spans="1:13" ht="21" x14ac:dyDescent="0.35">
      <c r="B2" s="532" t="str">
        <f>SAO!A2</f>
        <v>Laurel County Water District #2</v>
      </c>
      <c r="C2" s="532"/>
      <c r="D2" s="532"/>
      <c r="E2" s="532"/>
      <c r="F2" s="532"/>
      <c r="G2" s="532"/>
      <c r="H2" s="532"/>
      <c r="I2" s="532"/>
      <c r="J2" s="532"/>
      <c r="K2" s="1"/>
      <c r="L2" s="1"/>
      <c r="M2" s="1"/>
    </row>
    <row r="3" spans="1:13" ht="18.5" x14ac:dyDescent="0.35">
      <c r="A3" s="297"/>
      <c r="B3" s="73"/>
      <c r="C3" s="19"/>
      <c r="D3" s="19"/>
      <c r="E3" s="366"/>
      <c r="F3" s="366"/>
      <c r="G3" s="366"/>
      <c r="H3" s="326"/>
      <c r="I3" s="1"/>
      <c r="J3" s="1"/>
      <c r="K3" s="1"/>
      <c r="L3" s="1"/>
      <c r="M3" s="1"/>
    </row>
    <row r="4" spans="1:13" x14ac:dyDescent="0.35">
      <c r="A4" s="308"/>
      <c r="B4" s="1"/>
      <c r="C4" s="309"/>
      <c r="D4" s="529" t="s">
        <v>46</v>
      </c>
      <c r="E4" s="529"/>
      <c r="F4" s="529"/>
      <c r="G4" s="529"/>
      <c r="H4" s="371"/>
      <c r="I4" s="1"/>
      <c r="J4" s="309"/>
      <c r="K4" s="1"/>
      <c r="L4" s="1"/>
      <c r="M4" s="1"/>
    </row>
    <row r="5" spans="1:13" x14ac:dyDescent="0.35">
      <c r="A5" s="1"/>
      <c r="B5" s="1"/>
      <c r="C5" s="310" t="s">
        <v>105</v>
      </c>
      <c r="E5" s="367" t="s">
        <v>48</v>
      </c>
      <c r="F5" s="367" t="s">
        <v>49</v>
      </c>
      <c r="G5" s="367" t="s">
        <v>52</v>
      </c>
      <c r="H5" s="367"/>
      <c r="I5" s="9"/>
      <c r="J5" s="311"/>
      <c r="K5" s="1" t="s">
        <v>321</v>
      </c>
      <c r="L5" s="1"/>
      <c r="M5" s="1"/>
    </row>
    <row r="6" spans="1:13" s="1" customFormat="1" x14ac:dyDescent="0.35">
      <c r="C6" s="310" t="s">
        <v>246</v>
      </c>
      <c r="D6"/>
      <c r="E6" s="367">
        <f>D29</f>
        <v>75135</v>
      </c>
      <c r="F6" s="367">
        <f>E29</f>
        <v>280728652</v>
      </c>
      <c r="G6" s="389">
        <f>H37</f>
        <v>2372128</v>
      </c>
      <c r="H6" s="367"/>
      <c r="I6" s="9"/>
    </row>
    <row r="7" spans="1:13" s="1" customFormat="1" x14ac:dyDescent="0.35">
      <c r="C7" s="310" t="s">
        <v>247</v>
      </c>
      <c r="D7"/>
      <c r="E7" s="367">
        <f>D45</f>
        <v>541</v>
      </c>
      <c r="F7" s="367">
        <f>E45</f>
        <v>12765680</v>
      </c>
      <c r="G7" s="390">
        <f>H52</f>
        <v>82726</v>
      </c>
      <c r="H7" s="367"/>
      <c r="I7" s="9"/>
    </row>
    <row r="8" spans="1:13" s="1" customFormat="1" x14ac:dyDescent="0.35">
      <c r="C8" s="310" t="s">
        <v>248</v>
      </c>
      <c r="D8"/>
      <c r="E8" s="367">
        <f>D60</f>
        <v>96</v>
      </c>
      <c r="F8" s="367">
        <f>E60</f>
        <v>1852100</v>
      </c>
      <c r="G8" s="390">
        <f>H67</f>
        <v>12814</v>
      </c>
      <c r="H8" s="367"/>
      <c r="I8" s="9"/>
    </row>
    <row r="9" spans="1:13" s="1" customFormat="1" x14ac:dyDescent="0.35">
      <c r="C9" s="86" t="s">
        <v>249</v>
      </c>
      <c r="D9"/>
      <c r="E9" s="367">
        <f>D75</f>
        <v>287</v>
      </c>
      <c r="F9" s="367">
        <f>E75</f>
        <v>17251310</v>
      </c>
      <c r="G9" s="390">
        <f>H82</f>
        <v>112462</v>
      </c>
      <c r="H9" s="367"/>
      <c r="I9" s="9"/>
    </row>
    <row r="10" spans="1:13" s="1" customFormat="1" x14ac:dyDescent="0.35">
      <c r="C10" s="86" t="s">
        <v>264</v>
      </c>
      <c r="D10"/>
      <c r="E10" s="362">
        <f>D90</f>
        <v>36</v>
      </c>
      <c r="F10" s="372">
        <f>E90</f>
        <v>5223800</v>
      </c>
      <c r="G10" s="391">
        <f>H97</f>
        <v>31066</v>
      </c>
      <c r="H10" s="363"/>
      <c r="I10" s="12"/>
    </row>
    <row r="11" spans="1:13" s="1" customFormat="1" ht="14.5" x14ac:dyDescent="0.35">
      <c r="C11" s="86" t="s">
        <v>265</v>
      </c>
      <c r="D11" s="26"/>
      <c r="E11" s="362">
        <f>D105</f>
        <v>48</v>
      </c>
      <c r="F11" s="372">
        <f>E105</f>
        <v>80626400</v>
      </c>
      <c r="G11" s="391">
        <f>H112</f>
        <v>427798</v>
      </c>
      <c r="H11" s="363"/>
      <c r="I11" s="12"/>
    </row>
    <row r="12" spans="1:13" s="1" customFormat="1" ht="14.5" x14ac:dyDescent="0.35">
      <c r="C12" s="86" t="s">
        <v>266</v>
      </c>
      <c r="D12" s="26"/>
      <c r="E12" s="362">
        <f>D120</f>
        <v>96</v>
      </c>
      <c r="F12" s="372">
        <f>E120</f>
        <v>592350</v>
      </c>
      <c r="G12" s="391">
        <f>H127</f>
        <v>6305</v>
      </c>
      <c r="H12" s="363"/>
      <c r="I12" s="12"/>
    </row>
    <row r="13" spans="1:13" s="1" customFormat="1" ht="14.5" x14ac:dyDescent="0.35">
      <c r="C13" s="86" t="s">
        <v>267</v>
      </c>
      <c r="D13" s="26"/>
      <c r="E13" s="362">
        <f>D135</f>
        <v>12</v>
      </c>
      <c r="F13" s="372">
        <f>E135</f>
        <v>19740</v>
      </c>
      <c r="G13" s="391">
        <f>H142</f>
        <v>462</v>
      </c>
      <c r="H13" s="363"/>
      <c r="I13" s="12"/>
    </row>
    <row r="14" spans="1:13" s="1" customFormat="1" ht="14.5" x14ac:dyDescent="0.35">
      <c r="C14" s="514" t="s">
        <v>260</v>
      </c>
      <c r="D14" s="514"/>
      <c r="E14" s="362">
        <f>D150</f>
        <v>12</v>
      </c>
      <c r="F14" s="372">
        <f>E150</f>
        <v>740000</v>
      </c>
      <c r="G14" s="391">
        <f>H157</f>
        <v>6066</v>
      </c>
      <c r="H14" s="363"/>
      <c r="I14" s="12"/>
    </row>
    <row r="15" spans="1:13" s="1" customFormat="1" ht="14.5" x14ac:dyDescent="0.35">
      <c r="C15" s="514" t="s">
        <v>261</v>
      </c>
      <c r="D15" s="514"/>
      <c r="E15" s="362">
        <f>D165</f>
        <v>12</v>
      </c>
      <c r="F15" s="372">
        <f>E165</f>
        <v>3074800</v>
      </c>
      <c r="G15" s="391">
        <f>H172</f>
        <v>20650</v>
      </c>
      <c r="H15" s="363"/>
      <c r="I15" s="12"/>
    </row>
    <row r="16" spans="1:13" s="1" customFormat="1" ht="14.5" x14ac:dyDescent="0.35">
      <c r="C16" s="514" t="s">
        <v>262</v>
      </c>
      <c r="D16" s="514"/>
      <c r="E16" s="362">
        <f>D180</f>
        <v>12</v>
      </c>
      <c r="F16" s="372">
        <f>E180</f>
        <v>1270300</v>
      </c>
      <c r="G16" s="391">
        <f>H187</f>
        <v>9196</v>
      </c>
      <c r="H16" s="363"/>
      <c r="I16" s="12"/>
    </row>
    <row r="17" spans="1:19" s="1" customFormat="1" ht="14.5" x14ac:dyDescent="0.35">
      <c r="C17" s="514" t="s">
        <v>263</v>
      </c>
      <c r="D17" s="514"/>
      <c r="E17" s="362">
        <f>D194</f>
        <v>12</v>
      </c>
      <c r="F17" s="401">
        <f>E194</f>
        <v>6560600</v>
      </c>
      <c r="G17" s="402">
        <f>H200</f>
        <v>35181</v>
      </c>
      <c r="H17" s="363"/>
      <c r="I17" s="12"/>
      <c r="K17" s="223"/>
    </row>
    <row r="18" spans="1:19" s="1" customFormat="1" ht="17" x14ac:dyDescent="0.5">
      <c r="C18" s="1" t="s">
        <v>250</v>
      </c>
      <c r="D18"/>
      <c r="E18" s="368"/>
      <c r="F18" s="368"/>
      <c r="G18" s="400">
        <f>-(2887.7+20399.75+2379.06)</f>
        <v>-25666.510000000002</v>
      </c>
      <c r="H18" s="373"/>
      <c r="J18" s="309"/>
      <c r="K18" s="1" t="s">
        <v>320</v>
      </c>
      <c r="M18" s="10"/>
    </row>
    <row r="19" spans="1:19" s="1" customFormat="1" x14ac:dyDescent="0.35">
      <c r="C19" s="313" t="s">
        <v>251</v>
      </c>
      <c r="D19"/>
      <c r="E19" s="368"/>
      <c r="F19" s="368"/>
      <c r="G19" s="374">
        <f>SUM(G6:G17)+G18</f>
        <v>3091187.49</v>
      </c>
      <c r="H19" s="375"/>
      <c r="J19" s="309"/>
      <c r="K19" s="223"/>
    </row>
    <row r="20" spans="1:19" s="1" customFormat="1" ht="17" x14ac:dyDescent="0.5">
      <c r="C20" s="313" t="s">
        <v>268</v>
      </c>
      <c r="D20"/>
      <c r="E20" s="368"/>
      <c r="F20" s="368"/>
      <c r="G20" s="373">
        <f>SAO!D6+SAO!D7+SAO!D8</f>
        <v>3050989</v>
      </c>
      <c r="H20" s="376"/>
      <c r="J20" s="309"/>
    </row>
    <row r="21" spans="1:19" s="1" customFormat="1" x14ac:dyDescent="0.35">
      <c r="A21" s="86"/>
      <c r="C21" s="313" t="s">
        <v>252</v>
      </c>
      <c r="D21"/>
      <c r="E21" s="476"/>
      <c r="F21" s="476"/>
      <c r="G21" s="374">
        <f>G19-G20</f>
        <v>40198.490000000224</v>
      </c>
      <c r="H21" s="475" t="s">
        <v>175</v>
      </c>
      <c r="J21" s="309"/>
      <c r="K21" s="1" t="s">
        <v>222</v>
      </c>
    </row>
    <row r="22" spans="1:19" s="1" customFormat="1" x14ac:dyDescent="0.35">
      <c r="A22" s="86"/>
      <c r="D22" s="69" t="s">
        <v>392</v>
      </c>
      <c r="E22" s="321">
        <f>SUM(E6:E21)</f>
        <v>76299</v>
      </c>
      <c r="F22" s="326">
        <f>SUM(F6:F17)</f>
        <v>410705732</v>
      </c>
      <c r="G22" s="326"/>
      <c r="H22" s="326"/>
      <c r="J22" s="309"/>
    </row>
    <row r="23" spans="1:19" s="1" customFormat="1" ht="14.5" x14ac:dyDescent="0.35">
      <c r="B23" s="206" t="s">
        <v>173</v>
      </c>
      <c r="C23" s="121"/>
      <c r="D23" s="207"/>
      <c r="E23" s="526" t="s">
        <v>169</v>
      </c>
      <c r="F23" s="526"/>
      <c r="G23" s="318"/>
      <c r="H23" s="318"/>
      <c r="I23" s="208"/>
      <c r="J23" s="209"/>
      <c r="M23" s="1" t="s">
        <v>310</v>
      </c>
      <c r="N23" s="1" t="s">
        <v>12</v>
      </c>
      <c r="O23" s="1" t="s">
        <v>311</v>
      </c>
      <c r="R23" s="180">
        <f>SUM(R24:R41)</f>
        <v>3116853.1000000015</v>
      </c>
      <c r="S23" s="1" t="s">
        <v>312</v>
      </c>
    </row>
    <row r="24" spans="1:19" s="1" customFormat="1" ht="14.4" customHeight="1" x14ac:dyDescent="0.35">
      <c r="A24" s="71"/>
      <c r="B24" s="210"/>
      <c r="C24" s="11"/>
      <c r="D24" s="69"/>
      <c r="E24" s="369"/>
      <c r="F24" s="360" t="s">
        <v>166</v>
      </c>
      <c r="G24" s="360" t="s">
        <v>253</v>
      </c>
      <c r="H24" s="319" t="s">
        <v>167</v>
      </c>
      <c r="I24" s="9"/>
      <c r="J24" s="379"/>
      <c r="M24" s="384">
        <v>70918</v>
      </c>
      <c r="N24" s="384">
        <v>265976741</v>
      </c>
      <c r="O24" s="386">
        <v>2240352.25</v>
      </c>
      <c r="R24" s="85">
        <v>2240352.25</v>
      </c>
    </row>
    <row r="25" spans="1:19" s="1" customFormat="1" ht="14.4" customHeight="1" x14ac:dyDescent="0.35">
      <c r="A25" s="177"/>
      <c r="B25" s="32"/>
      <c r="C25" s="50" t="s">
        <v>47</v>
      </c>
      <c r="D25" s="67" t="s">
        <v>48</v>
      </c>
      <c r="E25" s="360" t="s">
        <v>49</v>
      </c>
      <c r="F25" s="380">
        <f>C26</f>
        <v>1000</v>
      </c>
      <c r="G25" s="381">
        <f>C27</f>
        <v>99000</v>
      </c>
      <c r="H25" s="319">
        <f>C28</f>
        <v>100000</v>
      </c>
      <c r="I25" s="9" t="s">
        <v>11</v>
      </c>
      <c r="J25" s="379"/>
      <c r="M25" s="384">
        <v>4162</v>
      </c>
      <c r="N25" s="384">
        <v>14198011</v>
      </c>
      <c r="O25" s="386">
        <v>127936.19</v>
      </c>
      <c r="P25" s="29"/>
      <c r="R25" s="1">
        <v>127936.19</v>
      </c>
    </row>
    <row r="26" spans="1:19" s="1" customFormat="1" ht="14.4" customHeight="1" x14ac:dyDescent="0.35">
      <c r="A26" s="71"/>
      <c r="B26" s="212" t="s">
        <v>166</v>
      </c>
      <c r="C26" s="319">
        <v>1000</v>
      </c>
      <c r="D26" s="321">
        <f>9686+1788+17</f>
        <v>11491</v>
      </c>
      <c r="E26" s="321">
        <f>3838127+633727+1400</f>
        <v>4473254</v>
      </c>
      <c r="F26" s="322">
        <f>E26</f>
        <v>4473254</v>
      </c>
      <c r="G26" s="322"/>
      <c r="H26" s="322"/>
      <c r="I26" s="316">
        <f>SUM(F26:H26)</f>
        <v>4473254</v>
      </c>
      <c r="J26" s="314"/>
      <c r="M26" s="388">
        <v>55</v>
      </c>
      <c r="N26" s="388">
        <v>553900</v>
      </c>
      <c r="O26" s="393">
        <v>3839.97</v>
      </c>
      <c r="R26" s="1">
        <v>66182.33</v>
      </c>
    </row>
    <row r="27" spans="1:19" s="1" customFormat="1" ht="14.4" customHeight="1" x14ac:dyDescent="0.35">
      <c r="B27" s="212" t="s">
        <v>253</v>
      </c>
      <c r="C27" s="319">
        <v>99000</v>
      </c>
      <c r="D27" s="321">
        <f>61222+2372+38</f>
        <v>63632</v>
      </c>
      <c r="E27" s="321">
        <f>259979068+13254964+552500</f>
        <v>273786532</v>
      </c>
      <c r="F27" s="322">
        <f>D27*F25</f>
        <v>63632000</v>
      </c>
      <c r="G27" s="322">
        <f>E27-F27</f>
        <v>210154532</v>
      </c>
      <c r="H27" s="322"/>
      <c r="I27" s="316">
        <f>SUM(F27:H27)</f>
        <v>273786532</v>
      </c>
      <c r="J27" s="314"/>
      <c r="M27" s="384">
        <f>SUM(M24:M26)</f>
        <v>75135</v>
      </c>
      <c r="N27" s="384">
        <f t="shared" ref="N27:O27" si="0">SUM(N24:N26)</f>
        <v>280728652</v>
      </c>
      <c r="O27" s="394">
        <f t="shared" si="0"/>
        <v>2372128.41</v>
      </c>
      <c r="R27" s="1">
        <v>12813.87</v>
      </c>
    </row>
    <row r="28" spans="1:19" s="1" customFormat="1" ht="14.4" customHeight="1" x14ac:dyDescent="0.5">
      <c r="A28" s="86"/>
      <c r="B28" s="315" t="s">
        <v>167</v>
      </c>
      <c r="C28" s="319">
        <v>100000</v>
      </c>
      <c r="D28" s="323">
        <f>10+2</f>
        <v>12</v>
      </c>
      <c r="E28" s="323">
        <f>2159546+309320</f>
        <v>2468866</v>
      </c>
      <c r="F28" s="325">
        <f>D28*F25</f>
        <v>12000</v>
      </c>
      <c r="G28" s="325">
        <f>D28*G25</f>
        <v>1188000</v>
      </c>
      <c r="H28" s="325">
        <f>E28-F28-G28</f>
        <v>1268866</v>
      </c>
      <c r="I28" s="325">
        <f>SUM(F28:H28)</f>
        <v>2468866</v>
      </c>
      <c r="J28" s="314"/>
      <c r="M28" s="385"/>
      <c r="N28" s="385"/>
      <c r="O28" s="387"/>
      <c r="R28" s="1">
        <v>110944.81</v>
      </c>
    </row>
    <row r="29" spans="1:19" s="1" customFormat="1" ht="14.4" customHeight="1" x14ac:dyDescent="0.35">
      <c r="A29" s="86"/>
      <c r="B29" s="212"/>
      <c r="C29" s="319"/>
      <c r="D29" s="316">
        <f t="shared" ref="D29:I29" si="1">SUM(D26:D28)</f>
        <v>75135</v>
      </c>
      <c r="E29" s="316">
        <f t="shared" si="1"/>
        <v>280728652</v>
      </c>
      <c r="F29" s="316">
        <f t="shared" si="1"/>
        <v>68117254</v>
      </c>
      <c r="G29" s="316">
        <f t="shared" si="1"/>
        <v>211342532</v>
      </c>
      <c r="H29" s="316">
        <f t="shared" si="1"/>
        <v>1268866</v>
      </c>
      <c r="I29" s="316">
        <f t="shared" si="1"/>
        <v>280728652</v>
      </c>
      <c r="J29" s="314"/>
      <c r="M29" s="385"/>
      <c r="N29" s="385"/>
      <c r="O29" s="387"/>
      <c r="R29" s="1">
        <v>31064.959999999999</v>
      </c>
    </row>
    <row r="30" spans="1:19" s="1" customFormat="1" ht="14.4" customHeight="1" x14ac:dyDescent="0.35">
      <c r="B30" s="32"/>
      <c r="C30" s="319"/>
      <c r="D30" s="320"/>
      <c r="E30" s="363"/>
      <c r="F30" s="326"/>
      <c r="G30" s="326"/>
      <c r="H30" s="326"/>
      <c r="J30" s="211"/>
      <c r="M30" s="385"/>
      <c r="N30" s="385"/>
      <c r="O30" s="387"/>
      <c r="R30" s="1">
        <v>156576.49</v>
      </c>
    </row>
    <row r="31" spans="1:19" s="1" customFormat="1" ht="14.4" customHeight="1" x14ac:dyDescent="0.35">
      <c r="A31" s="71"/>
      <c r="B31" s="210" t="s">
        <v>172</v>
      </c>
      <c r="C31" s="360"/>
      <c r="D31" s="326"/>
      <c r="E31" s="527" t="s">
        <v>169</v>
      </c>
      <c r="F31" s="527"/>
      <c r="G31" s="362"/>
      <c r="H31" s="362"/>
      <c r="I31" s="11"/>
      <c r="J31" s="299"/>
      <c r="M31" s="385"/>
      <c r="N31" s="385"/>
      <c r="R31" s="1">
        <v>6304.8</v>
      </c>
    </row>
    <row r="32" spans="1:19" s="1" customFormat="1" ht="14.4" customHeight="1" x14ac:dyDescent="0.35">
      <c r="A32" s="177"/>
      <c r="B32" s="210"/>
      <c r="C32" s="360"/>
      <c r="D32" s="326"/>
      <c r="E32" s="369"/>
      <c r="F32" s="528" t="s">
        <v>254</v>
      </c>
      <c r="G32" s="528"/>
      <c r="H32" s="362"/>
      <c r="I32" s="11"/>
      <c r="J32" s="299"/>
      <c r="M32" s="385"/>
      <c r="N32" s="385"/>
      <c r="R32" s="1">
        <v>462.45</v>
      </c>
    </row>
    <row r="33" spans="1:18" s="1" customFormat="1" ht="14.4" customHeight="1" x14ac:dyDescent="0.35">
      <c r="A33" s="71"/>
      <c r="B33" s="32"/>
      <c r="C33" s="319" t="s">
        <v>47</v>
      </c>
      <c r="D33" s="360" t="s">
        <v>48</v>
      </c>
      <c r="E33" s="360" t="s">
        <v>49</v>
      </c>
      <c r="F33" s="525" t="s">
        <v>51</v>
      </c>
      <c r="G33" s="525"/>
      <c r="H33" s="360" t="s">
        <v>52</v>
      </c>
      <c r="J33" s="211"/>
      <c r="R33" s="1">
        <v>20650.080000000002</v>
      </c>
    </row>
    <row r="34" spans="1:18" s="1" customFormat="1" ht="14.5" x14ac:dyDescent="0.35">
      <c r="A34" s="71"/>
      <c r="B34" s="212" t="s">
        <v>166</v>
      </c>
      <c r="C34" s="319">
        <f>C26</f>
        <v>1000</v>
      </c>
      <c r="D34" s="316">
        <f>D29</f>
        <v>75135</v>
      </c>
      <c r="E34" s="316">
        <f>F29</f>
        <v>68117254</v>
      </c>
      <c r="F34" s="382">
        <v>15</v>
      </c>
      <c r="G34" s="368" t="s">
        <v>102</v>
      </c>
      <c r="H34" s="316">
        <f>ROUND(D34*F34,0)</f>
        <v>1127025</v>
      </c>
      <c r="J34" s="211"/>
      <c r="R34" s="1">
        <v>3625.68</v>
      </c>
    </row>
    <row r="35" spans="1:18" s="1" customFormat="1" ht="14.4" customHeight="1" x14ac:dyDescent="0.35">
      <c r="A35" s="71"/>
      <c r="B35" s="212" t="s">
        <v>253</v>
      </c>
      <c r="C35" s="319">
        <f>C27</f>
        <v>99000</v>
      </c>
      <c r="D35" s="316"/>
      <c r="E35" s="316">
        <f>G29</f>
        <v>211342532</v>
      </c>
      <c r="F35" s="383">
        <v>5.8599999999999998E-3</v>
      </c>
      <c r="G35" s="368" t="s">
        <v>165</v>
      </c>
      <c r="H35" s="316">
        <f>ROUND(E35*F35,0)</f>
        <v>1238467</v>
      </c>
      <c r="J35" s="211"/>
      <c r="R35" s="1">
        <v>35181.22</v>
      </c>
    </row>
    <row r="36" spans="1:18" s="1" customFormat="1" ht="14.4" customHeight="1" x14ac:dyDescent="0.5">
      <c r="A36" s="86"/>
      <c r="B36" s="315" t="s">
        <v>167</v>
      </c>
      <c r="C36" s="319">
        <f>C28</f>
        <v>100000</v>
      </c>
      <c r="D36" s="325"/>
      <c r="E36" s="325">
        <f>H29</f>
        <v>1268866</v>
      </c>
      <c r="F36" s="383">
        <v>5.2300000000000003E-3</v>
      </c>
      <c r="G36" s="368" t="s">
        <v>165</v>
      </c>
      <c r="H36" s="325">
        <f t="shared" ref="H36" si="2">ROUND(E36*F36,0)</f>
        <v>6636</v>
      </c>
      <c r="J36" s="211"/>
      <c r="R36" s="1">
        <v>9195.75</v>
      </c>
    </row>
    <row r="37" spans="1:18" s="1" customFormat="1" ht="14.4" customHeight="1" x14ac:dyDescent="0.35">
      <c r="A37" s="86"/>
      <c r="B37" s="306"/>
      <c r="C37" s="237"/>
      <c r="D37" s="328"/>
      <c r="E37" s="328">
        <f>SUM(E34:E36)</f>
        <v>280728652</v>
      </c>
      <c r="F37" s="328"/>
      <c r="G37" s="328"/>
      <c r="H37" s="378">
        <f>SUM(H34:H36)</f>
        <v>2372128</v>
      </c>
      <c r="I37" s="198"/>
      <c r="J37" s="213"/>
      <c r="R37" s="1">
        <v>6066.2</v>
      </c>
    </row>
    <row r="38" spans="1:18" s="1" customFormat="1" ht="14.4" customHeight="1" x14ac:dyDescent="0.35">
      <c r="B38" s="71"/>
      <c r="C38" s="11"/>
      <c r="D38" s="316"/>
      <c r="E38" s="316"/>
      <c r="F38" s="316"/>
      <c r="G38" s="316"/>
      <c r="H38" s="316"/>
      <c r="J38" s="189"/>
      <c r="R38" s="1">
        <v>3839.97</v>
      </c>
    </row>
    <row r="39" spans="1:18" s="1" customFormat="1" ht="14.4" customHeight="1" x14ac:dyDescent="0.35">
      <c r="A39" s="71"/>
      <c r="B39" s="206" t="s">
        <v>173</v>
      </c>
      <c r="C39" s="121"/>
      <c r="D39" s="361"/>
      <c r="E39" s="526" t="s">
        <v>106</v>
      </c>
      <c r="F39" s="526"/>
      <c r="G39" s="318"/>
      <c r="H39" s="318"/>
      <c r="I39" s="208"/>
      <c r="J39" s="209"/>
      <c r="M39" s="9" t="s">
        <v>310</v>
      </c>
      <c r="N39" s="9" t="s">
        <v>12</v>
      </c>
      <c r="O39" s="9" t="s">
        <v>311</v>
      </c>
      <c r="R39" s="1">
        <v>16544.29</v>
      </c>
    </row>
    <row r="40" spans="1:18" s="1" customFormat="1" ht="14.4" customHeight="1" x14ac:dyDescent="0.35">
      <c r="A40" s="71"/>
      <c r="B40" s="210"/>
      <c r="C40" s="11"/>
      <c r="D40" s="320"/>
      <c r="E40" s="369"/>
      <c r="F40" s="320" t="s">
        <v>166</v>
      </c>
      <c r="G40" s="320" t="s">
        <v>253</v>
      </c>
      <c r="H40" s="320" t="s">
        <v>167</v>
      </c>
      <c r="J40" s="211"/>
      <c r="M40" s="1">
        <v>517</v>
      </c>
      <c r="N40" s="1">
        <v>988940</v>
      </c>
      <c r="O40" s="387">
        <v>66182</v>
      </c>
      <c r="R40" s="1">
        <v>1516.08</v>
      </c>
    </row>
    <row r="41" spans="1:18" s="1" customFormat="1" ht="14.4" customHeight="1" x14ac:dyDescent="0.35">
      <c r="A41" s="71"/>
      <c r="B41" s="32"/>
      <c r="C41" s="50" t="s">
        <v>47</v>
      </c>
      <c r="D41" s="360" t="s">
        <v>48</v>
      </c>
      <c r="E41" s="360" t="s">
        <v>49</v>
      </c>
      <c r="F41" s="329">
        <f>C42</f>
        <v>5000</v>
      </c>
      <c r="G41" s="329">
        <f>C43</f>
        <v>95000</v>
      </c>
      <c r="H41" s="329">
        <f>C44</f>
        <v>100000</v>
      </c>
      <c r="I41" s="71" t="s">
        <v>11</v>
      </c>
      <c r="J41" s="211"/>
      <c r="M41" s="1">
        <v>24</v>
      </c>
      <c r="N41" s="1">
        <v>2876740</v>
      </c>
      <c r="O41" s="387">
        <v>16544.29</v>
      </c>
      <c r="R41" s="1">
        <v>267595.68</v>
      </c>
    </row>
    <row r="42" spans="1:18" s="1" customFormat="1" ht="14.4" customHeight="1" x14ac:dyDescent="0.35">
      <c r="A42" s="71"/>
      <c r="B42" s="212" t="s">
        <v>166</v>
      </c>
      <c r="C42" s="316">
        <v>5000</v>
      </c>
      <c r="D42" s="321">
        <f>299+4</f>
        <v>303</v>
      </c>
      <c r="E42" s="321">
        <f>524220+3440</f>
        <v>527660</v>
      </c>
      <c r="F42" s="322">
        <f>E42</f>
        <v>527660</v>
      </c>
      <c r="G42" s="322"/>
      <c r="H42" s="322"/>
      <c r="I42" s="316">
        <f>SUM(F42:H42)</f>
        <v>527660</v>
      </c>
      <c r="J42" s="211"/>
      <c r="M42" s="1">
        <f>SUM(M40:M41)</f>
        <v>541</v>
      </c>
      <c r="N42" s="1">
        <f t="shared" ref="N42:O42" si="3">SUM(N40:N41)</f>
        <v>3865680</v>
      </c>
      <c r="O42" s="387">
        <f t="shared" si="3"/>
        <v>82726.290000000008</v>
      </c>
    </row>
    <row r="43" spans="1:18" s="1" customFormat="1" ht="14.4" customHeight="1" x14ac:dyDescent="0.35">
      <c r="A43" s="86"/>
      <c r="B43" s="212" t="s">
        <v>253</v>
      </c>
      <c r="C43" s="316">
        <v>95000</v>
      </c>
      <c r="D43" s="321">
        <f>193+3</f>
        <v>196</v>
      </c>
      <c r="E43" s="321">
        <f>3402800+173600</f>
        <v>3576400</v>
      </c>
      <c r="F43" s="322">
        <f>D43*F41</f>
        <v>980000</v>
      </c>
      <c r="G43" s="322">
        <f>E43-F43</f>
        <v>2596400</v>
      </c>
      <c r="H43" s="322"/>
      <c r="I43" s="316">
        <f t="shared" ref="I43:I44" si="4">SUM(F43:H43)</f>
        <v>3576400</v>
      </c>
      <c r="J43" s="211"/>
    </row>
    <row r="44" spans="1:18" s="1" customFormat="1" ht="14.4" customHeight="1" x14ac:dyDescent="0.5">
      <c r="B44" s="212" t="s">
        <v>167</v>
      </c>
      <c r="C44" s="316">
        <v>100000</v>
      </c>
      <c r="D44" s="323">
        <f>25+17</f>
        <v>42</v>
      </c>
      <c r="E44" s="323">
        <f>5961920+2699700</f>
        <v>8661620</v>
      </c>
      <c r="F44" s="324">
        <f>D44*F41</f>
        <v>210000</v>
      </c>
      <c r="G44" s="324">
        <f>D44*G41</f>
        <v>3990000</v>
      </c>
      <c r="H44" s="324">
        <f>E44-F44-G44</f>
        <v>4461620</v>
      </c>
      <c r="I44" s="316">
        <f t="shared" si="4"/>
        <v>8661620</v>
      </c>
      <c r="J44" s="211"/>
    </row>
    <row r="45" spans="1:18" s="1" customFormat="1" ht="14.4" customHeight="1" x14ac:dyDescent="0.35">
      <c r="A45" s="71"/>
      <c r="B45" s="212"/>
      <c r="C45" s="316"/>
      <c r="D45" s="316">
        <f>SUM(D42:D44)</f>
        <v>541</v>
      </c>
      <c r="E45" s="316">
        <f>SUM(E42:E44)</f>
        <v>12765680</v>
      </c>
      <c r="F45" s="316">
        <f>SUM(F42:F44)</f>
        <v>1717660</v>
      </c>
      <c r="G45" s="316">
        <f>SUM(G42:G44)</f>
        <v>6586400</v>
      </c>
      <c r="H45" s="316">
        <f>SUM(H42:H44)</f>
        <v>4461620</v>
      </c>
      <c r="I45" s="316">
        <f>SUM(F45:H45)</f>
        <v>12765680</v>
      </c>
      <c r="J45" s="211"/>
    </row>
    <row r="46" spans="1:18" s="1" customFormat="1" ht="14.4" customHeight="1" x14ac:dyDescent="0.35">
      <c r="A46" s="177"/>
      <c r="B46" s="212"/>
      <c r="C46" s="11"/>
      <c r="D46" s="316"/>
      <c r="E46" s="316"/>
      <c r="F46" s="316"/>
      <c r="G46" s="316"/>
      <c r="H46" s="316"/>
      <c r="I46" s="11"/>
      <c r="J46" s="211"/>
    </row>
    <row r="47" spans="1:18" s="1" customFormat="1" ht="14.4" customHeight="1" x14ac:dyDescent="0.35">
      <c r="B47" s="210" t="s">
        <v>172</v>
      </c>
      <c r="D47" s="362"/>
      <c r="E47" s="527" t="s">
        <v>106</v>
      </c>
      <c r="F47" s="527"/>
      <c r="G47" s="362"/>
      <c r="H47" s="362"/>
      <c r="J47" s="211"/>
    </row>
    <row r="48" spans="1:18" s="1" customFormat="1" ht="14.4" customHeight="1" x14ac:dyDescent="0.35">
      <c r="B48" s="32"/>
      <c r="C48" s="50" t="s">
        <v>47</v>
      </c>
      <c r="D48" s="360" t="s">
        <v>48</v>
      </c>
      <c r="E48" s="360" t="s">
        <v>49</v>
      </c>
      <c r="F48" s="525" t="s">
        <v>51</v>
      </c>
      <c r="G48" s="525"/>
      <c r="H48" s="360" t="s">
        <v>52</v>
      </c>
      <c r="J48" s="211"/>
    </row>
    <row r="49" spans="1:10" s="1" customFormat="1" ht="14.4" customHeight="1" x14ac:dyDescent="0.35">
      <c r="A49" s="86"/>
      <c r="B49" s="212" t="s">
        <v>166</v>
      </c>
      <c r="C49" s="316">
        <f>C42</f>
        <v>5000</v>
      </c>
      <c r="D49" s="326">
        <f>D45</f>
        <v>541</v>
      </c>
      <c r="E49" s="326">
        <f>F45</f>
        <v>1717660</v>
      </c>
      <c r="F49" s="382">
        <v>38.44</v>
      </c>
      <c r="G49" s="368" t="s">
        <v>102</v>
      </c>
      <c r="H49" s="11">
        <f>ROUND(D49*F49,0)</f>
        <v>20796</v>
      </c>
      <c r="J49" s="211"/>
    </row>
    <row r="50" spans="1:10" s="1" customFormat="1" ht="14.4" customHeight="1" x14ac:dyDescent="0.35">
      <c r="A50" s="86"/>
      <c r="B50" s="212" t="s">
        <v>253</v>
      </c>
      <c r="C50" s="316">
        <f>C43</f>
        <v>95000</v>
      </c>
      <c r="D50" s="326"/>
      <c r="E50" s="326">
        <f>G45</f>
        <v>6586400</v>
      </c>
      <c r="F50" s="383">
        <v>5.8599999999999998E-3</v>
      </c>
      <c r="G50" s="368" t="s">
        <v>165</v>
      </c>
      <c r="H50" s="11">
        <f t="shared" ref="H50:H51" si="5">ROUND(E50*F50,0)</f>
        <v>38596</v>
      </c>
      <c r="J50" s="211"/>
    </row>
    <row r="51" spans="1:10" s="1" customFormat="1" ht="14.4" customHeight="1" x14ac:dyDescent="0.5">
      <c r="B51" s="315" t="s">
        <v>167</v>
      </c>
      <c r="C51" s="316">
        <f>C44</f>
        <v>100000</v>
      </c>
      <c r="D51" s="327"/>
      <c r="E51" s="327">
        <f>H45</f>
        <v>4461620</v>
      </c>
      <c r="F51" s="383">
        <v>5.2300000000000003E-3</v>
      </c>
      <c r="G51" s="368" t="s">
        <v>165</v>
      </c>
      <c r="H51" s="68">
        <f t="shared" si="5"/>
        <v>23334</v>
      </c>
      <c r="J51" s="211"/>
    </row>
    <row r="52" spans="1:10" s="1" customFormat="1" ht="14.4" customHeight="1" x14ac:dyDescent="0.35">
      <c r="A52" s="71"/>
      <c r="B52" s="63"/>
      <c r="C52" s="328"/>
      <c r="D52" s="328"/>
      <c r="E52" s="328">
        <f>SUM(E49:E51)</f>
        <v>12765680</v>
      </c>
      <c r="F52" s="377"/>
      <c r="G52" s="377"/>
      <c r="H52" s="378">
        <f>SUM(H49:H51)</f>
        <v>82726</v>
      </c>
      <c r="I52" s="198"/>
      <c r="J52" s="213"/>
    </row>
    <row r="53" spans="1:10" s="1" customFormat="1" ht="14.4" customHeight="1" x14ac:dyDescent="0.35">
      <c r="A53" s="71"/>
      <c r="C53" s="11"/>
      <c r="D53" s="316"/>
      <c r="E53" s="316"/>
      <c r="F53" s="326"/>
      <c r="G53" s="326"/>
      <c r="H53" s="316"/>
    </row>
    <row r="54" spans="1:10" s="1" customFormat="1" ht="14.4" customHeight="1" x14ac:dyDescent="0.35">
      <c r="A54" s="71"/>
      <c r="B54" s="206" t="s">
        <v>173</v>
      </c>
      <c r="C54" s="121"/>
      <c r="D54" s="361"/>
      <c r="E54" s="526" t="s">
        <v>255</v>
      </c>
      <c r="F54" s="526"/>
      <c r="G54" s="318"/>
      <c r="H54" s="318"/>
      <c r="I54" s="208"/>
      <c r="J54" s="209"/>
    </row>
    <row r="55" spans="1:10" s="1" customFormat="1" ht="14.4" customHeight="1" x14ac:dyDescent="0.35">
      <c r="B55" s="210"/>
      <c r="C55" s="11"/>
      <c r="D55" s="320"/>
      <c r="E55" s="369"/>
      <c r="F55" s="320" t="s">
        <v>166</v>
      </c>
      <c r="G55" s="320" t="s">
        <v>253</v>
      </c>
      <c r="H55" s="320" t="s">
        <v>167</v>
      </c>
      <c r="J55" s="211"/>
    </row>
    <row r="56" spans="1:10" s="1" customFormat="1" ht="14.4" customHeight="1" x14ac:dyDescent="0.35">
      <c r="A56" s="86"/>
      <c r="B56" s="32"/>
      <c r="C56" s="50" t="s">
        <v>47</v>
      </c>
      <c r="D56" s="360" t="s">
        <v>48</v>
      </c>
      <c r="E56" s="360" t="s">
        <v>49</v>
      </c>
      <c r="F56" s="329">
        <f>C57</f>
        <v>10000</v>
      </c>
      <c r="G56" s="329">
        <f>C58</f>
        <v>90000</v>
      </c>
      <c r="H56" s="329">
        <f>C59</f>
        <v>100000</v>
      </c>
      <c r="I56" s="71" t="s">
        <v>11</v>
      </c>
      <c r="J56" s="211"/>
    </row>
    <row r="57" spans="1:10" s="1" customFormat="1" ht="14.4" customHeight="1" x14ac:dyDescent="0.35">
      <c r="B57" s="212" t="s">
        <v>166</v>
      </c>
      <c r="C57" s="11">
        <v>10000</v>
      </c>
      <c r="D57" s="321">
        <v>45</v>
      </c>
      <c r="E57" s="321">
        <v>261200</v>
      </c>
      <c r="F57" s="322">
        <f>E57</f>
        <v>261200</v>
      </c>
      <c r="G57" s="322"/>
      <c r="H57" s="322"/>
      <c r="I57" s="316">
        <f t="shared" ref="I57:I58" si="6">SUM(F57:H57)</f>
        <v>261200</v>
      </c>
      <c r="J57" s="211"/>
    </row>
    <row r="58" spans="1:10" s="1" customFormat="1" ht="14.4" customHeight="1" x14ac:dyDescent="0.35">
      <c r="B58" s="212" t="s">
        <v>253</v>
      </c>
      <c r="C58" s="11">
        <v>90000</v>
      </c>
      <c r="D58" s="321">
        <v>50</v>
      </c>
      <c r="E58" s="321">
        <v>1454000</v>
      </c>
      <c r="F58" s="322">
        <f>D58*F56</f>
        <v>500000</v>
      </c>
      <c r="G58" s="322">
        <f>E58-F58</f>
        <v>954000</v>
      </c>
      <c r="H58" s="322"/>
      <c r="I58" s="316">
        <f t="shared" si="6"/>
        <v>1454000</v>
      </c>
      <c r="J58" s="211"/>
    </row>
    <row r="59" spans="1:10" s="1" customFormat="1" ht="14.4" customHeight="1" x14ac:dyDescent="0.5">
      <c r="A59" s="71"/>
      <c r="B59" s="212" t="s">
        <v>167</v>
      </c>
      <c r="C59" s="11">
        <v>100000</v>
      </c>
      <c r="D59" s="323">
        <v>1</v>
      </c>
      <c r="E59" s="323">
        <v>136900</v>
      </c>
      <c r="F59" s="324">
        <f>D59*F56</f>
        <v>10000</v>
      </c>
      <c r="G59" s="324">
        <f>D59*G56</f>
        <v>90000</v>
      </c>
      <c r="H59" s="324">
        <f>E59-F59-G59</f>
        <v>36900</v>
      </c>
      <c r="I59" s="325">
        <f>SUM(F59:H59)</f>
        <v>136900</v>
      </c>
      <c r="J59" s="211"/>
    </row>
    <row r="60" spans="1:10" s="1" customFormat="1" ht="14.4" customHeight="1" x14ac:dyDescent="0.35">
      <c r="A60" s="177"/>
      <c r="B60" s="212"/>
      <c r="C60" s="11"/>
      <c r="D60" s="316">
        <f>SUM(D57:D59)</f>
        <v>96</v>
      </c>
      <c r="E60" s="316">
        <f>SUM(E57:E59)</f>
        <v>1852100</v>
      </c>
      <c r="F60" s="316">
        <f>SUM(F57:F59)</f>
        <v>771200</v>
      </c>
      <c r="G60" s="316">
        <f>SUM(G57:G59)</f>
        <v>1044000</v>
      </c>
      <c r="H60" s="316">
        <f>SUM(H57:H59)</f>
        <v>36900</v>
      </c>
      <c r="I60" s="316">
        <f>SUM(F60:H60)</f>
        <v>1852100</v>
      </c>
      <c r="J60" s="211"/>
    </row>
    <row r="61" spans="1:10" s="1" customFormat="1" ht="14.4" customHeight="1" x14ac:dyDescent="0.35">
      <c r="B61" s="212"/>
      <c r="C61" s="11"/>
      <c r="D61" s="316"/>
      <c r="E61" s="316"/>
      <c r="F61" s="316"/>
      <c r="G61" s="316"/>
      <c r="H61" s="316"/>
      <c r="I61" s="11"/>
      <c r="J61" s="211"/>
    </row>
    <row r="62" spans="1:10" s="1" customFormat="1" ht="14.4" customHeight="1" x14ac:dyDescent="0.35">
      <c r="B62" s="210" t="s">
        <v>172</v>
      </c>
      <c r="D62" s="362"/>
      <c r="E62" s="527" t="s">
        <v>255</v>
      </c>
      <c r="F62" s="527"/>
      <c r="G62" s="362"/>
      <c r="H62" s="362"/>
      <c r="J62" s="211"/>
    </row>
    <row r="63" spans="1:10" s="1" customFormat="1" ht="14.4" customHeight="1" x14ac:dyDescent="0.35">
      <c r="A63" s="86"/>
      <c r="B63" s="32"/>
      <c r="C63" s="50" t="s">
        <v>47</v>
      </c>
      <c r="D63" s="360" t="s">
        <v>48</v>
      </c>
      <c r="E63" s="360" t="s">
        <v>49</v>
      </c>
      <c r="F63" s="525" t="s">
        <v>51</v>
      </c>
      <c r="G63" s="525"/>
      <c r="H63" s="360" t="s">
        <v>52</v>
      </c>
      <c r="J63" s="211"/>
    </row>
    <row r="64" spans="1:10" s="1" customFormat="1" ht="14.4" customHeight="1" x14ac:dyDescent="0.35">
      <c r="B64" s="212" t="s">
        <v>166</v>
      </c>
      <c r="C64" s="11">
        <f>C57</f>
        <v>10000</v>
      </c>
      <c r="D64" s="326">
        <f>D60</f>
        <v>96</v>
      </c>
      <c r="E64" s="326">
        <f>F60</f>
        <v>771200</v>
      </c>
      <c r="F64" s="382">
        <v>67.739999999999995</v>
      </c>
      <c r="G64" s="368" t="s">
        <v>102</v>
      </c>
      <c r="H64" s="316">
        <f>ROUND(D64*F64,0)</f>
        <v>6503</v>
      </c>
      <c r="J64" s="211"/>
    </row>
    <row r="65" spans="1:15" s="1" customFormat="1" ht="14.4" customHeight="1" x14ac:dyDescent="0.35">
      <c r="B65" s="212" t="s">
        <v>253</v>
      </c>
      <c r="C65" s="11">
        <f>C58</f>
        <v>90000</v>
      </c>
      <c r="D65" s="326"/>
      <c r="E65" s="326">
        <f>G60</f>
        <v>1044000</v>
      </c>
      <c r="F65" s="383">
        <v>5.8599999999999998E-3</v>
      </c>
      <c r="G65" s="368" t="s">
        <v>165</v>
      </c>
      <c r="H65" s="316">
        <f t="shared" ref="H65:H66" si="7">ROUND(E65*F65,0)</f>
        <v>6118</v>
      </c>
      <c r="J65" s="211"/>
    </row>
    <row r="66" spans="1:15" s="1" customFormat="1" ht="14.4" customHeight="1" x14ac:dyDescent="0.5">
      <c r="A66" s="86"/>
      <c r="B66" s="315" t="s">
        <v>167</v>
      </c>
      <c r="C66" s="11">
        <f>C59</f>
        <v>100000</v>
      </c>
      <c r="D66" s="327"/>
      <c r="E66" s="327">
        <f>H60</f>
        <v>36900</v>
      </c>
      <c r="F66" s="383">
        <v>5.2300000000000003E-3</v>
      </c>
      <c r="G66" s="368" t="s">
        <v>165</v>
      </c>
      <c r="H66" s="325">
        <f t="shared" si="7"/>
        <v>193</v>
      </c>
      <c r="J66" s="211"/>
    </row>
    <row r="67" spans="1:15" s="1" customFormat="1" ht="14.4" customHeight="1" x14ac:dyDescent="0.35">
      <c r="B67" s="63"/>
      <c r="C67" s="237"/>
      <c r="D67" s="328"/>
      <c r="E67" s="328">
        <f>SUM(E64:E66)</f>
        <v>1852100</v>
      </c>
      <c r="F67" s="377"/>
      <c r="G67" s="377"/>
      <c r="H67" s="328">
        <f>SUM(H64:H66)</f>
        <v>12814</v>
      </c>
      <c r="I67" s="198"/>
      <c r="J67" s="213"/>
    </row>
    <row r="68" spans="1:15" s="1" customFormat="1" ht="14.4" customHeight="1" x14ac:dyDescent="0.35">
      <c r="A68" s="71"/>
      <c r="C68" s="11"/>
      <c r="D68" s="363"/>
      <c r="E68" s="316"/>
      <c r="F68" s="326"/>
      <c r="G68" s="326"/>
      <c r="H68" s="363"/>
    </row>
    <row r="69" spans="1:15" s="1" customFormat="1" ht="14.4" customHeight="1" x14ac:dyDescent="0.35">
      <c r="B69" s="206" t="s">
        <v>173</v>
      </c>
      <c r="C69" s="121"/>
      <c r="D69" s="361"/>
      <c r="E69" s="526" t="s">
        <v>107</v>
      </c>
      <c r="F69" s="526"/>
      <c r="G69" s="318"/>
      <c r="H69" s="318"/>
      <c r="I69" s="208"/>
      <c r="J69" s="209"/>
      <c r="M69" s="1" t="s">
        <v>310</v>
      </c>
      <c r="N69" s="1" t="s">
        <v>12</v>
      </c>
      <c r="O69" s="1" t="s">
        <v>311</v>
      </c>
    </row>
    <row r="70" spans="1:15" s="1" customFormat="1" ht="14.4" customHeight="1" x14ac:dyDescent="0.35">
      <c r="B70" s="210"/>
      <c r="C70" s="11"/>
      <c r="D70" s="320"/>
      <c r="E70" s="369"/>
      <c r="F70" s="320" t="s">
        <v>166</v>
      </c>
      <c r="G70" s="320" t="s">
        <v>253</v>
      </c>
      <c r="H70" s="320" t="s">
        <v>167</v>
      </c>
      <c r="J70" s="211"/>
      <c r="M70" s="1">
        <v>275</v>
      </c>
      <c r="N70" s="1">
        <v>17179110</v>
      </c>
      <c r="O70" s="387">
        <v>110946</v>
      </c>
    </row>
    <row r="71" spans="1:15" s="1" customFormat="1" ht="14.4" customHeight="1" x14ac:dyDescent="0.35">
      <c r="B71" s="32"/>
      <c r="C71" s="50" t="s">
        <v>47</v>
      </c>
      <c r="D71" s="360" t="s">
        <v>48</v>
      </c>
      <c r="E71" s="360" t="s">
        <v>49</v>
      </c>
      <c r="F71" s="329">
        <f>C72</f>
        <v>20000</v>
      </c>
      <c r="G71" s="329">
        <f>C73</f>
        <v>80000</v>
      </c>
      <c r="H71" s="329">
        <f>C74</f>
        <v>100000</v>
      </c>
      <c r="I71" s="71" t="s">
        <v>11</v>
      </c>
      <c r="J71" s="211"/>
      <c r="M71" s="1">
        <v>12</v>
      </c>
      <c r="N71" s="1">
        <v>72200</v>
      </c>
      <c r="O71" s="387">
        <v>1516.08</v>
      </c>
    </row>
    <row r="72" spans="1:15" s="1" customFormat="1" ht="14.4" customHeight="1" x14ac:dyDescent="0.35">
      <c r="B72" s="212" t="s">
        <v>166</v>
      </c>
      <c r="C72" s="11">
        <v>20000</v>
      </c>
      <c r="D72" s="321">
        <f>164+12</f>
        <v>176</v>
      </c>
      <c r="E72" s="321">
        <f>848350+72200</f>
        <v>920550</v>
      </c>
      <c r="F72" s="322">
        <f>E72</f>
        <v>920550</v>
      </c>
      <c r="G72" s="322"/>
      <c r="H72" s="322"/>
      <c r="I72" s="316">
        <f t="shared" ref="I72:I73" si="8">SUM(F72:H72)</f>
        <v>920550</v>
      </c>
      <c r="J72" s="211"/>
      <c r="M72" s="1">
        <f>SUM(M70:M71)</f>
        <v>287</v>
      </c>
      <c r="N72" s="1">
        <f t="shared" ref="N72:O72" si="9">SUM(N70:N71)</f>
        <v>17251310</v>
      </c>
      <c r="O72" s="387">
        <f t="shared" si="9"/>
        <v>112462.08</v>
      </c>
    </row>
    <row r="73" spans="1:15" s="1" customFormat="1" ht="14.4" customHeight="1" x14ac:dyDescent="0.35">
      <c r="B73" s="212" t="s">
        <v>253</v>
      </c>
      <c r="C73" s="11">
        <v>80000</v>
      </c>
      <c r="D73" s="321">
        <v>77</v>
      </c>
      <c r="E73" s="321">
        <v>2632760</v>
      </c>
      <c r="F73" s="322">
        <f>D73*F71</f>
        <v>1540000</v>
      </c>
      <c r="G73" s="322">
        <f>E73-F73</f>
        <v>1092760</v>
      </c>
      <c r="H73" s="322"/>
      <c r="I73" s="316">
        <f t="shared" si="8"/>
        <v>2632760</v>
      </c>
      <c r="J73" s="211"/>
    </row>
    <row r="74" spans="1:15" s="1" customFormat="1" ht="14.4" customHeight="1" x14ac:dyDescent="0.5">
      <c r="B74" s="212" t="s">
        <v>167</v>
      </c>
      <c r="C74" s="11">
        <v>100000</v>
      </c>
      <c r="D74" s="323">
        <v>34</v>
      </c>
      <c r="E74" s="323">
        <v>13698000</v>
      </c>
      <c r="F74" s="324">
        <f>D74*F71</f>
        <v>680000</v>
      </c>
      <c r="G74" s="324">
        <f>D74*G71</f>
        <v>2720000</v>
      </c>
      <c r="H74" s="324">
        <f>E74-F74-G74</f>
        <v>10298000</v>
      </c>
      <c r="I74" s="325">
        <f>SUM(F74:H74)</f>
        <v>13698000</v>
      </c>
      <c r="J74" s="211"/>
    </row>
    <row r="75" spans="1:15" s="1" customFormat="1" ht="14.4" customHeight="1" x14ac:dyDescent="0.35">
      <c r="B75" s="212"/>
      <c r="C75" s="11"/>
      <c r="D75" s="316">
        <f>SUM(D72:D74)</f>
        <v>287</v>
      </c>
      <c r="E75" s="316">
        <f>SUM(E72:E74)</f>
        <v>17251310</v>
      </c>
      <c r="F75" s="316">
        <f>SUM(F72:F74)</f>
        <v>3140550</v>
      </c>
      <c r="G75" s="316">
        <f>SUM(G72:G74)</f>
        <v>3812760</v>
      </c>
      <c r="H75" s="316">
        <f>SUM(H72:H74)</f>
        <v>10298000</v>
      </c>
      <c r="I75" s="316">
        <f>SUM(F75:H75)</f>
        <v>17251310</v>
      </c>
      <c r="J75" s="211"/>
    </row>
    <row r="76" spans="1:15" s="1" customFormat="1" ht="14.4" customHeight="1" x14ac:dyDescent="0.35">
      <c r="B76" s="212"/>
      <c r="C76" s="11"/>
      <c r="D76" s="316"/>
      <c r="E76" s="316"/>
      <c r="F76" s="316"/>
      <c r="G76" s="316"/>
      <c r="H76" s="316"/>
      <c r="I76" s="11"/>
      <c r="J76" s="211"/>
    </row>
    <row r="77" spans="1:15" s="1" customFormat="1" ht="14.4" customHeight="1" x14ac:dyDescent="0.35">
      <c r="B77" s="210" t="s">
        <v>172</v>
      </c>
      <c r="D77" s="362"/>
      <c r="E77" s="527" t="s">
        <v>107</v>
      </c>
      <c r="F77" s="527"/>
      <c r="G77" s="362"/>
      <c r="H77" s="362"/>
      <c r="J77" s="211"/>
    </row>
    <row r="78" spans="1:15" s="1" customFormat="1" ht="14.4" customHeight="1" x14ac:dyDescent="0.35">
      <c r="A78" s="86"/>
      <c r="B78" s="32"/>
      <c r="C78" s="50" t="s">
        <v>47</v>
      </c>
      <c r="D78" s="360" t="s">
        <v>48</v>
      </c>
      <c r="E78" s="360" t="s">
        <v>49</v>
      </c>
      <c r="F78" s="525" t="s">
        <v>51</v>
      </c>
      <c r="G78" s="525"/>
      <c r="H78" s="360" t="s">
        <v>52</v>
      </c>
      <c r="J78" s="211"/>
    </row>
    <row r="79" spans="1:15" s="1" customFormat="1" ht="14.4" customHeight="1" x14ac:dyDescent="0.35">
      <c r="B79" s="212" t="s">
        <v>166</v>
      </c>
      <c r="C79" s="11">
        <f>C72</f>
        <v>20000</v>
      </c>
      <c r="D79" s="326">
        <f>D75</f>
        <v>287</v>
      </c>
      <c r="E79" s="326">
        <f>F75</f>
        <v>3140550</v>
      </c>
      <c r="F79" s="382">
        <v>126.34</v>
      </c>
      <c r="G79" s="368" t="s">
        <v>102</v>
      </c>
      <c r="H79" s="316">
        <f>ROUND(D79*F79,0)</f>
        <v>36260</v>
      </c>
      <c r="J79" s="211"/>
    </row>
    <row r="80" spans="1:15" s="1" customFormat="1" ht="14.4" customHeight="1" x14ac:dyDescent="0.35">
      <c r="B80" s="212" t="s">
        <v>253</v>
      </c>
      <c r="C80" s="11">
        <f>C73</f>
        <v>80000</v>
      </c>
      <c r="D80" s="326"/>
      <c r="E80" s="326">
        <f>G75</f>
        <v>3812760</v>
      </c>
      <c r="F80" s="383">
        <v>5.8599999999999998E-3</v>
      </c>
      <c r="G80" s="368" t="s">
        <v>165</v>
      </c>
      <c r="H80" s="316">
        <f t="shared" ref="H80:H81" si="10">ROUND(E80*F80,0)</f>
        <v>22343</v>
      </c>
      <c r="J80" s="211"/>
    </row>
    <row r="81" spans="1:10" s="1" customFormat="1" ht="14.4" customHeight="1" x14ac:dyDescent="0.5">
      <c r="A81" s="71"/>
      <c r="B81" s="315" t="s">
        <v>167</v>
      </c>
      <c r="C81" s="11">
        <f>C74</f>
        <v>100000</v>
      </c>
      <c r="D81" s="327"/>
      <c r="E81" s="327">
        <f>H75</f>
        <v>10298000</v>
      </c>
      <c r="F81" s="383">
        <v>5.2300000000000003E-3</v>
      </c>
      <c r="G81" s="368" t="s">
        <v>165</v>
      </c>
      <c r="H81" s="325">
        <f t="shared" si="10"/>
        <v>53859</v>
      </c>
      <c r="J81" s="211"/>
    </row>
    <row r="82" spans="1:10" s="1" customFormat="1" ht="14.4" customHeight="1" x14ac:dyDescent="0.35">
      <c r="A82" s="177"/>
      <c r="B82" s="63"/>
      <c r="C82" s="237"/>
      <c r="D82" s="328"/>
      <c r="E82" s="328">
        <f>SUM(E79:E81)</f>
        <v>17251310</v>
      </c>
      <c r="F82" s="377"/>
      <c r="G82" s="377"/>
      <c r="H82" s="328">
        <f>SUM(H79:H81)</f>
        <v>112462</v>
      </c>
      <c r="I82" s="198"/>
      <c r="J82" s="213"/>
    </row>
    <row r="83" spans="1:10" s="1" customFormat="1" ht="14.4" customHeight="1" x14ac:dyDescent="0.35">
      <c r="A83" s="71"/>
      <c r="B83"/>
      <c r="C83"/>
      <c r="D83" s="364"/>
      <c r="E83" s="364"/>
      <c r="F83" s="364"/>
      <c r="G83" s="364"/>
      <c r="H83" s="364"/>
      <c r="I83"/>
      <c r="J83"/>
    </row>
    <row r="84" spans="1:10" s="1" customFormat="1" ht="14.4" customHeight="1" x14ac:dyDescent="0.35">
      <c r="B84" s="206" t="s">
        <v>173</v>
      </c>
      <c r="C84" s="121"/>
      <c r="D84" s="361"/>
      <c r="E84" s="526" t="s">
        <v>256</v>
      </c>
      <c r="F84" s="526"/>
      <c r="G84" s="318"/>
      <c r="H84" s="318"/>
      <c r="I84" s="208"/>
      <c r="J84" s="209"/>
    </row>
    <row r="85" spans="1:10" s="1" customFormat="1" ht="14.4" customHeight="1" x14ac:dyDescent="0.35">
      <c r="B85" s="210"/>
      <c r="C85" s="11"/>
      <c r="D85" s="320"/>
      <c r="E85" s="369"/>
      <c r="F85" s="320" t="s">
        <v>166</v>
      </c>
      <c r="G85" s="320" t="s">
        <v>253</v>
      </c>
      <c r="H85" s="320" t="s">
        <v>167</v>
      </c>
      <c r="J85" s="211"/>
    </row>
    <row r="86" spans="1:10" s="1" customFormat="1" ht="14.4" customHeight="1" x14ac:dyDescent="0.35">
      <c r="B86" s="32"/>
      <c r="C86" s="50" t="s">
        <v>47</v>
      </c>
      <c r="D86" s="360" t="s">
        <v>48</v>
      </c>
      <c r="E86" s="360" t="s">
        <v>49</v>
      </c>
      <c r="F86" s="329">
        <f>C87</f>
        <v>30000</v>
      </c>
      <c r="G86" s="329">
        <f>C88</f>
        <v>70000</v>
      </c>
      <c r="H86" s="329">
        <f>C89</f>
        <v>100000</v>
      </c>
      <c r="I86" s="71" t="s">
        <v>11</v>
      </c>
      <c r="J86" s="211"/>
    </row>
    <row r="87" spans="1:10" s="1" customFormat="1" ht="14.4" customHeight="1" x14ac:dyDescent="0.35">
      <c r="B87" s="212" t="s">
        <v>166</v>
      </c>
      <c r="C87" s="11">
        <v>30000</v>
      </c>
      <c r="D87" s="321">
        <v>12</v>
      </c>
      <c r="E87" s="321">
        <v>28600</v>
      </c>
      <c r="F87" s="322">
        <f>E87</f>
        <v>28600</v>
      </c>
      <c r="G87" s="322"/>
      <c r="H87" s="322"/>
      <c r="I87" s="316">
        <f>SUM(F87:H87)</f>
        <v>28600</v>
      </c>
      <c r="J87" s="211"/>
    </row>
    <row r="88" spans="1:10" s="1" customFormat="1" ht="14.4" customHeight="1" x14ac:dyDescent="0.35">
      <c r="B88" s="212" t="s">
        <v>253</v>
      </c>
      <c r="C88" s="11">
        <v>70000</v>
      </c>
      <c r="D88" s="321">
        <v>3</v>
      </c>
      <c r="E88" s="321">
        <v>210200</v>
      </c>
      <c r="F88" s="322">
        <f>D88*F86</f>
        <v>90000</v>
      </c>
      <c r="G88" s="322">
        <f>E88-F88</f>
        <v>120200</v>
      </c>
      <c r="H88" s="322"/>
      <c r="I88" s="316">
        <f t="shared" ref="I88:I89" si="11">SUM(F88:H88)</f>
        <v>210200</v>
      </c>
      <c r="J88" s="211"/>
    </row>
    <row r="89" spans="1:10" s="1" customFormat="1" ht="14.4" customHeight="1" x14ac:dyDescent="0.5">
      <c r="B89" s="212" t="s">
        <v>167</v>
      </c>
      <c r="C89" s="11">
        <v>100000</v>
      </c>
      <c r="D89" s="323">
        <v>21</v>
      </c>
      <c r="E89" s="323">
        <v>4985000</v>
      </c>
      <c r="F89" s="324">
        <f>D89*F86</f>
        <v>630000</v>
      </c>
      <c r="G89" s="324">
        <f>D89*G86</f>
        <v>1470000</v>
      </c>
      <c r="H89" s="324">
        <f>E89-F89-G89</f>
        <v>2885000</v>
      </c>
      <c r="I89" s="316">
        <f t="shared" si="11"/>
        <v>4985000</v>
      </c>
      <c r="J89" s="211"/>
    </row>
    <row r="90" spans="1:10" s="1" customFormat="1" ht="14.4" customHeight="1" x14ac:dyDescent="0.35">
      <c r="B90" s="212"/>
      <c r="C90" s="11"/>
      <c r="D90" s="316">
        <f>SUM(D87:D89)</f>
        <v>36</v>
      </c>
      <c r="E90" s="316">
        <f>SUM(E87:E89)</f>
        <v>5223800</v>
      </c>
      <c r="F90" s="316">
        <f>SUM(F87:F89)</f>
        <v>748600</v>
      </c>
      <c r="G90" s="316">
        <f>SUM(G87:G89)</f>
        <v>1590200</v>
      </c>
      <c r="H90" s="316">
        <f>SUM(H87:H89)</f>
        <v>2885000</v>
      </c>
      <c r="I90" s="316">
        <f>SUM(F90:H90)</f>
        <v>5223800</v>
      </c>
      <c r="J90" s="211"/>
    </row>
    <row r="91" spans="1:10" s="1" customFormat="1" ht="14.4" customHeight="1" x14ac:dyDescent="0.35">
      <c r="B91" s="212"/>
      <c r="C91" s="11"/>
      <c r="D91" s="316"/>
      <c r="E91" s="316"/>
      <c r="F91" s="316"/>
      <c r="G91" s="316"/>
      <c r="H91" s="316"/>
      <c r="I91" s="11"/>
      <c r="J91" s="211"/>
    </row>
    <row r="92" spans="1:10" s="1" customFormat="1" ht="14.4" customHeight="1" x14ac:dyDescent="0.35">
      <c r="B92" s="210" t="s">
        <v>172</v>
      </c>
      <c r="D92" s="362"/>
      <c r="E92" s="527" t="s">
        <v>256</v>
      </c>
      <c r="F92" s="527"/>
      <c r="G92" s="362"/>
      <c r="H92" s="362"/>
      <c r="J92" s="211"/>
    </row>
    <row r="93" spans="1:10" s="1" customFormat="1" ht="14.4" customHeight="1" x14ac:dyDescent="0.35">
      <c r="B93" s="32"/>
      <c r="C93" s="50" t="s">
        <v>47</v>
      </c>
      <c r="D93" s="360" t="s">
        <v>48</v>
      </c>
      <c r="E93" s="360" t="s">
        <v>49</v>
      </c>
      <c r="F93" s="525" t="s">
        <v>51</v>
      </c>
      <c r="G93" s="525"/>
      <c r="H93" s="360" t="s">
        <v>52</v>
      </c>
      <c r="J93" s="211"/>
    </row>
    <row r="94" spans="1:10" s="1" customFormat="1" ht="14.4" customHeight="1" x14ac:dyDescent="0.35">
      <c r="B94" s="212" t="s">
        <v>166</v>
      </c>
      <c r="C94" s="11">
        <f>C87</f>
        <v>30000</v>
      </c>
      <c r="D94" s="326">
        <f>D90</f>
        <v>36</v>
      </c>
      <c r="E94" s="326">
        <f>F90</f>
        <v>748600</v>
      </c>
      <c r="F94" s="382">
        <v>184.94</v>
      </c>
      <c r="G94" s="368" t="s">
        <v>102</v>
      </c>
      <c r="H94" s="316">
        <f>ROUND(D94*F94,0)</f>
        <v>6658</v>
      </c>
      <c r="J94" s="211"/>
    </row>
    <row r="95" spans="1:10" s="1" customFormat="1" ht="14.4" customHeight="1" x14ac:dyDescent="0.35">
      <c r="B95" s="212" t="s">
        <v>253</v>
      </c>
      <c r="C95" s="11">
        <f>C88</f>
        <v>70000</v>
      </c>
      <c r="D95" s="326"/>
      <c r="E95" s="326">
        <f>G90</f>
        <v>1590200</v>
      </c>
      <c r="F95" s="383">
        <v>5.8599999999999998E-3</v>
      </c>
      <c r="G95" s="368" t="s">
        <v>165</v>
      </c>
      <c r="H95" s="316">
        <f t="shared" ref="H95:H96" si="12">ROUND(E95*F95,0)</f>
        <v>9319</v>
      </c>
      <c r="J95" s="211"/>
    </row>
    <row r="96" spans="1:10" s="1" customFormat="1" ht="14.4" customHeight="1" x14ac:dyDescent="0.5">
      <c r="B96" s="315" t="s">
        <v>167</v>
      </c>
      <c r="C96" s="11">
        <f>C89</f>
        <v>100000</v>
      </c>
      <c r="D96" s="327"/>
      <c r="E96" s="327">
        <f>H90</f>
        <v>2885000</v>
      </c>
      <c r="F96" s="383">
        <v>5.2300000000000003E-3</v>
      </c>
      <c r="G96" s="368" t="s">
        <v>165</v>
      </c>
      <c r="H96" s="325">
        <f t="shared" si="12"/>
        <v>15089</v>
      </c>
      <c r="J96" s="211"/>
    </row>
    <row r="97" spans="2:15" s="1" customFormat="1" ht="14.4" customHeight="1" x14ac:dyDescent="0.35">
      <c r="B97" s="63"/>
      <c r="C97" s="237"/>
      <c r="D97" s="328"/>
      <c r="E97" s="328">
        <f>SUM(E94:E96)</f>
        <v>5223800</v>
      </c>
      <c r="F97" s="377"/>
      <c r="G97" s="377"/>
      <c r="H97" s="328">
        <f>SUM(H94:H96)</f>
        <v>31066</v>
      </c>
      <c r="I97" s="198"/>
      <c r="J97" s="213"/>
    </row>
    <row r="98" spans="2:15" s="1" customFormat="1" ht="14.4" customHeight="1" x14ac:dyDescent="0.35">
      <c r="C98" s="235"/>
      <c r="D98" s="320"/>
      <c r="E98" s="370"/>
      <c r="F98" s="326"/>
      <c r="G98" s="326"/>
      <c r="H98" s="326"/>
    </row>
    <row r="99" spans="2:15" s="1" customFormat="1" ht="14.4" customHeight="1" x14ac:dyDescent="0.35">
      <c r="B99" s="206" t="s">
        <v>173</v>
      </c>
      <c r="C99" s="121"/>
      <c r="D99" s="361"/>
      <c r="E99" s="526" t="s">
        <v>257</v>
      </c>
      <c r="F99" s="526"/>
      <c r="G99" s="318"/>
      <c r="H99" s="318"/>
      <c r="I99" s="208"/>
      <c r="J99" s="209"/>
      <c r="M99" s="229" t="s">
        <v>310</v>
      </c>
      <c r="N99" s="229" t="s">
        <v>12</v>
      </c>
      <c r="O99" s="229" t="s">
        <v>311</v>
      </c>
    </row>
    <row r="100" spans="2:15" s="1" customFormat="1" ht="14.4" customHeight="1" x14ac:dyDescent="0.35">
      <c r="B100" s="210"/>
      <c r="C100" s="11"/>
      <c r="D100" s="320"/>
      <c r="E100" s="369"/>
      <c r="F100" s="320" t="s">
        <v>166</v>
      </c>
      <c r="G100" s="320" t="s">
        <v>253</v>
      </c>
      <c r="H100" s="320" t="s">
        <v>167</v>
      </c>
      <c r="J100" s="211"/>
      <c r="M100" s="1">
        <v>24</v>
      </c>
      <c r="N100" s="1">
        <v>29607100</v>
      </c>
      <c r="O100" s="387">
        <v>156576.49</v>
      </c>
    </row>
    <row r="101" spans="2:15" s="1" customFormat="1" ht="14.4" customHeight="1" x14ac:dyDescent="0.35">
      <c r="B101" s="32"/>
      <c r="C101" s="50" t="s">
        <v>47</v>
      </c>
      <c r="D101" s="360" t="s">
        <v>48</v>
      </c>
      <c r="E101" s="360" t="s">
        <v>49</v>
      </c>
      <c r="F101" s="329">
        <f>C102</f>
        <v>50000</v>
      </c>
      <c r="G101" s="329">
        <f>C103</f>
        <v>50000</v>
      </c>
      <c r="H101" s="329">
        <f>C104</f>
        <v>100000</v>
      </c>
      <c r="I101" s="71" t="s">
        <v>11</v>
      </c>
      <c r="J101" s="211"/>
      <c r="M101" s="1">
        <v>12</v>
      </c>
      <c r="N101" s="1">
        <v>19300</v>
      </c>
      <c r="O101" s="387">
        <v>3625.68</v>
      </c>
    </row>
    <row r="102" spans="2:15" s="1" customFormat="1" ht="14.4" customHeight="1" x14ac:dyDescent="0.35">
      <c r="B102" s="212" t="s">
        <v>166</v>
      </c>
      <c r="C102" s="316">
        <v>50000</v>
      </c>
      <c r="D102" s="321">
        <v>12</v>
      </c>
      <c r="E102" s="321">
        <v>19300</v>
      </c>
      <c r="F102" s="322">
        <f>E102</f>
        <v>19300</v>
      </c>
      <c r="G102" s="322"/>
      <c r="H102" s="322"/>
      <c r="I102" s="316">
        <f>SUM(F102:H102)</f>
        <v>19300</v>
      </c>
      <c r="J102" s="211"/>
      <c r="M102" s="198">
        <v>12</v>
      </c>
      <c r="N102" s="198">
        <v>51000000</v>
      </c>
      <c r="O102" s="378">
        <v>267595.68</v>
      </c>
    </row>
    <row r="103" spans="2:15" s="1" customFormat="1" ht="14.4" customHeight="1" x14ac:dyDescent="0.35">
      <c r="B103" s="212" t="s">
        <v>253</v>
      </c>
      <c r="C103" s="316">
        <v>50000</v>
      </c>
      <c r="D103" s="321"/>
      <c r="E103" s="321"/>
      <c r="F103" s="322">
        <f>D103*F101</f>
        <v>0</v>
      </c>
      <c r="G103" s="322">
        <f>E103-F103</f>
        <v>0</v>
      </c>
      <c r="H103" s="322"/>
      <c r="I103" s="316">
        <f>SUM(F103:H103)</f>
        <v>0</v>
      </c>
      <c r="J103" s="211"/>
      <c r="M103" s="1">
        <f>SUM(M100:M102)</f>
        <v>48</v>
      </c>
      <c r="N103" s="1">
        <f>SUM(N100:N102)</f>
        <v>80626400</v>
      </c>
      <c r="O103" s="29">
        <f>SUM(O100:O102)</f>
        <v>427797.85</v>
      </c>
    </row>
    <row r="104" spans="2:15" s="1" customFormat="1" ht="14.4" customHeight="1" x14ac:dyDescent="0.5">
      <c r="B104" s="212" t="s">
        <v>167</v>
      </c>
      <c r="C104" s="316">
        <v>100000</v>
      </c>
      <c r="D104" s="323">
        <f>24+12</f>
        <v>36</v>
      </c>
      <c r="E104" s="323">
        <f>29607100+51000000</f>
        <v>80607100</v>
      </c>
      <c r="F104" s="324">
        <f>D104*F101</f>
        <v>1800000</v>
      </c>
      <c r="G104" s="324">
        <f>D104*G101</f>
        <v>1800000</v>
      </c>
      <c r="H104" s="324">
        <f>E104-F104-G104</f>
        <v>77007100</v>
      </c>
      <c r="I104" s="325">
        <f>SUM(F104:H104)</f>
        <v>80607100</v>
      </c>
      <c r="J104" s="211"/>
    </row>
    <row r="105" spans="2:15" s="1" customFormat="1" ht="14.4" customHeight="1" x14ac:dyDescent="0.35">
      <c r="B105" s="212"/>
      <c r="C105" s="316"/>
      <c r="D105" s="316">
        <f>SUM(D102:D104)</f>
        <v>48</v>
      </c>
      <c r="E105" s="316">
        <f>SUM(E102:E104)</f>
        <v>80626400</v>
      </c>
      <c r="F105" s="316">
        <f>SUM(F102:F104)</f>
        <v>1819300</v>
      </c>
      <c r="G105" s="316">
        <f>SUM(G102:G104)</f>
        <v>1800000</v>
      </c>
      <c r="H105" s="316">
        <f>SUM(H102:H104)</f>
        <v>77007100</v>
      </c>
      <c r="I105" s="316">
        <f>SUM(F105:H105)</f>
        <v>80626400</v>
      </c>
      <c r="J105" s="211"/>
    </row>
    <row r="106" spans="2:15" s="1" customFormat="1" ht="14.4" customHeight="1" x14ac:dyDescent="0.35">
      <c r="B106" s="212"/>
      <c r="C106" s="316"/>
      <c r="D106" s="316"/>
      <c r="E106" s="316"/>
      <c r="F106" s="316"/>
      <c r="G106" s="316"/>
      <c r="H106" s="316"/>
      <c r="I106" s="11"/>
      <c r="J106" s="211"/>
    </row>
    <row r="107" spans="2:15" s="1" customFormat="1" ht="14.4" customHeight="1" x14ac:dyDescent="0.35">
      <c r="B107" s="210" t="s">
        <v>172</v>
      </c>
      <c r="C107" s="326"/>
      <c r="D107" s="362"/>
      <c r="E107" s="527" t="s">
        <v>257</v>
      </c>
      <c r="F107" s="527"/>
      <c r="G107" s="362"/>
      <c r="H107" s="362"/>
      <c r="J107" s="211"/>
    </row>
    <row r="108" spans="2:15" s="1" customFormat="1" ht="14.4" customHeight="1" x14ac:dyDescent="0.35">
      <c r="B108" s="32"/>
      <c r="C108" s="319" t="s">
        <v>47</v>
      </c>
      <c r="D108" s="360" t="s">
        <v>48</v>
      </c>
      <c r="E108" s="360" t="s">
        <v>49</v>
      </c>
      <c r="F108" s="525" t="s">
        <v>51</v>
      </c>
      <c r="G108" s="525"/>
      <c r="H108" s="360" t="s">
        <v>52</v>
      </c>
      <c r="J108" s="211"/>
    </row>
    <row r="109" spans="2:15" s="1" customFormat="1" ht="14.4" customHeight="1" x14ac:dyDescent="0.35">
      <c r="B109" s="212" t="s">
        <v>166</v>
      </c>
      <c r="C109" s="316">
        <f>C102</f>
        <v>50000</v>
      </c>
      <c r="D109" s="326">
        <f>D105</f>
        <v>48</v>
      </c>
      <c r="E109" s="326">
        <f>F105</f>
        <v>1819300</v>
      </c>
      <c r="F109" s="382">
        <v>302.14</v>
      </c>
      <c r="G109" s="368" t="s">
        <v>102</v>
      </c>
      <c r="H109" s="316">
        <f>ROUND(D109*F109,0)</f>
        <v>14503</v>
      </c>
      <c r="J109" s="211"/>
    </row>
    <row r="110" spans="2:15" s="1" customFormat="1" ht="14.4" customHeight="1" x14ac:dyDescent="0.35">
      <c r="B110" s="212" t="s">
        <v>253</v>
      </c>
      <c r="C110" s="316">
        <f>C103</f>
        <v>50000</v>
      </c>
      <c r="D110" s="326"/>
      <c r="E110" s="326">
        <f>G105</f>
        <v>1800000</v>
      </c>
      <c r="F110" s="383">
        <v>5.8599999999999998E-3</v>
      </c>
      <c r="G110" s="368" t="s">
        <v>165</v>
      </c>
      <c r="H110" s="316">
        <f t="shared" ref="H110:H111" si="13">ROUND(E110*F110,0)</f>
        <v>10548</v>
      </c>
      <c r="J110" s="211"/>
    </row>
    <row r="111" spans="2:15" s="1" customFormat="1" ht="14.4" customHeight="1" x14ac:dyDescent="0.5">
      <c r="B111" s="315" t="s">
        <v>167</v>
      </c>
      <c r="C111" s="316">
        <f>C104</f>
        <v>100000</v>
      </c>
      <c r="D111" s="327"/>
      <c r="E111" s="327">
        <f>H105</f>
        <v>77007100</v>
      </c>
      <c r="F111" s="383">
        <v>5.2300000000000003E-3</v>
      </c>
      <c r="G111" s="368" t="s">
        <v>165</v>
      </c>
      <c r="H111" s="325">
        <f t="shared" si="13"/>
        <v>402747</v>
      </c>
      <c r="J111" s="211"/>
    </row>
    <row r="112" spans="2:15" s="1" customFormat="1" ht="14.4" customHeight="1" x14ac:dyDescent="0.35">
      <c r="B112" s="63"/>
      <c r="C112" s="237"/>
      <c r="D112" s="328"/>
      <c r="E112" s="328">
        <f>SUM(E109:E111)</f>
        <v>80626400</v>
      </c>
      <c r="F112" s="377"/>
      <c r="G112" s="377"/>
      <c r="H112" s="328">
        <f>SUM(H109:H111)</f>
        <v>427798</v>
      </c>
      <c r="I112" s="198"/>
      <c r="J112" s="213"/>
    </row>
    <row r="113" spans="2:10" s="1" customFormat="1" ht="14.4" customHeight="1" x14ac:dyDescent="0.35">
      <c r="B113" s="3"/>
      <c r="D113" s="326"/>
      <c r="E113" s="326"/>
      <c r="F113" s="326"/>
      <c r="G113" s="326"/>
      <c r="H113" s="326"/>
    </row>
    <row r="114" spans="2:10" s="1" customFormat="1" ht="14.4" customHeight="1" x14ac:dyDescent="0.35">
      <c r="B114" s="206" t="s">
        <v>173</v>
      </c>
      <c r="C114" s="121"/>
      <c r="D114" s="361"/>
      <c r="E114" s="526" t="s">
        <v>258</v>
      </c>
      <c r="F114" s="526"/>
      <c r="G114" s="318"/>
      <c r="H114" s="318"/>
      <c r="I114" s="208"/>
      <c r="J114" s="209"/>
    </row>
    <row r="115" spans="2:10" s="1" customFormat="1" ht="14.4" customHeight="1" x14ac:dyDescent="0.35">
      <c r="B115" s="210"/>
      <c r="C115" s="11"/>
      <c r="D115" s="320"/>
      <c r="E115" s="369"/>
      <c r="F115" s="320" t="s">
        <v>166</v>
      </c>
      <c r="G115" s="320" t="s">
        <v>253</v>
      </c>
      <c r="H115" s="320" t="s">
        <v>167</v>
      </c>
      <c r="J115" s="211"/>
    </row>
    <row r="116" spans="2:10" s="1" customFormat="1" ht="14.4" customHeight="1" x14ac:dyDescent="0.35">
      <c r="B116" s="32"/>
      <c r="C116" s="50" t="s">
        <v>47</v>
      </c>
      <c r="D116" s="360" t="s">
        <v>48</v>
      </c>
      <c r="E116" s="360" t="s">
        <v>49</v>
      </c>
      <c r="F116" s="329">
        <f>C117</f>
        <v>4000</v>
      </c>
      <c r="G116" s="329">
        <f>C118</f>
        <v>96000</v>
      </c>
      <c r="H116" s="329">
        <f>C119</f>
        <v>100000</v>
      </c>
      <c r="I116" s="71" t="s">
        <v>11</v>
      </c>
      <c r="J116" s="211"/>
    </row>
    <row r="117" spans="2:10" s="1" customFormat="1" ht="14.4" customHeight="1" x14ac:dyDescent="0.35">
      <c r="B117" s="212" t="s">
        <v>166</v>
      </c>
      <c r="C117" s="316">
        <v>4000</v>
      </c>
      <c r="D117" s="321">
        <v>21</v>
      </c>
      <c r="E117" s="321">
        <v>66030</v>
      </c>
      <c r="F117" s="322">
        <f>E117</f>
        <v>66030</v>
      </c>
      <c r="G117" s="322"/>
      <c r="H117" s="322"/>
      <c r="I117" s="316">
        <f t="shared" ref="I117:I119" si="14">SUM(F117:H117)</f>
        <v>66030</v>
      </c>
      <c r="J117" s="211"/>
    </row>
    <row r="118" spans="2:10" s="1" customFormat="1" ht="14.4" customHeight="1" x14ac:dyDescent="0.35">
      <c r="B118" s="212" t="s">
        <v>253</v>
      </c>
      <c r="C118" s="316">
        <v>96000</v>
      </c>
      <c r="D118" s="321">
        <v>75</v>
      </c>
      <c r="E118" s="321">
        <v>526320</v>
      </c>
      <c r="F118" s="322">
        <f>D118*F116</f>
        <v>300000</v>
      </c>
      <c r="G118" s="322">
        <f>E118-F118</f>
        <v>226320</v>
      </c>
      <c r="H118" s="322"/>
      <c r="I118" s="316">
        <f t="shared" si="14"/>
        <v>526320</v>
      </c>
      <c r="J118" s="211"/>
    </row>
    <row r="119" spans="2:10" s="1" customFormat="1" ht="14.4" customHeight="1" x14ac:dyDescent="0.5">
      <c r="B119" s="212" t="s">
        <v>167</v>
      </c>
      <c r="C119" s="316">
        <v>100000</v>
      </c>
      <c r="D119" s="323">
        <v>0</v>
      </c>
      <c r="E119" s="323"/>
      <c r="F119" s="324">
        <f>D119*F116</f>
        <v>0</v>
      </c>
      <c r="G119" s="324">
        <f>D119*G116</f>
        <v>0</v>
      </c>
      <c r="H119" s="324">
        <f>E119-F119-G119</f>
        <v>0</v>
      </c>
      <c r="I119" s="316">
        <f t="shared" si="14"/>
        <v>0</v>
      </c>
      <c r="J119" s="211"/>
    </row>
    <row r="120" spans="2:10" s="1" customFormat="1" ht="14.4" customHeight="1" x14ac:dyDescent="0.35">
      <c r="B120" s="212"/>
      <c r="C120" s="316"/>
      <c r="D120" s="316">
        <f>SUM(D117:D119)</f>
        <v>96</v>
      </c>
      <c r="E120" s="316">
        <f>SUM(E117:E119)</f>
        <v>592350</v>
      </c>
      <c r="F120" s="316">
        <f>SUM(F117:F119)</f>
        <v>366030</v>
      </c>
      <c r="G120" s="316">
        <f>SUM(G117:G119)</f>
        <v>226320</v>
      </c>
      <c r="H120" s="316">
        <f>SUM(H117:H119)</f>
        <v>0</v>
      </c>
      <c r="I120" s="316">
        <f>SUM(F120:H120)</f>
        <v>592350</v>
      </c>
      <c r="J120" s="211"/>
    </row>
    <row r="121" spans="2:10" s="1" customFormat="1" ht="14.4" customHeight="1" x14ac:dyDescent="0.35">
      <c r="B121" s="212"/>
      <c r="C121" s="316"/>
      <c r="D121" s="316"/>
      <c r="E121" s="316"/>
      <c r="F121" s="316"/>
      <c r="G121" s="316"/>
      <c r="H121" s="316"/>
      <c r="I121" s="11"/>
      <c r="J121" s="211"/>
    </row>
    <row r="122" spans="2:10" s="1" customFormat="1" ht="14.4" customHeight="1" x14ac:dyDescent="0.35">
      <c r="B122" s="210" t="s">
        <v>172</v>
      </c>
      <c r="C122" s="326"/>
      <c r="D122" s="362"/>
      <c r="E122" s="526" t="s">
        <v>258</v>
      </c>
      <c r="F122" s="526"/>
      <c r="G122" s="362"/>
      <c r="H122" s="362"/>
      <c r="J122" s="211"/>
    </row>
    <row r="123" spans="2:10" s="1" customFormat="1" ht="14.4" customHeight="1" x14ac:dyDescent="0.35">
      <c r="B123" s="32"/>
      <c r="C123" s="319" t="s">
        <v>47</v>
      </c>
      <c r="D123" s="360" t="s">
        <v>48</v>
      </c>
      <c r="E123" s="360" t="s">
        <v>49</v>
      </c>
      <c r="F123" s="525" t="s">
        <v>51</v>
      </c>
      <c r="G123" s="525"/>
      <c r="H123" s="360" t="s">
        <v>52</v>
      </c>
      <c r="J123" s="211"/>
    </row>
    <row r="124" spans="2:10" s="1" customFormat="1" ht="14.4" customHeight="1" x14ac:dyDescent="0.35">
      <c r="B124" s="212" t="s">
        <v>166</v>
      </c>
      <c r="C124" s="316">
        <f>C117</f>
        <v>4000</v>
      </c>
      <c r="D124" s="326">
        <f>D120</f>
        <v>96</v>
      </c>
      <c r="E124" s="326">
        <f>F120</f>
        <v>366030</v>
      </c>
      <c r="F124" s="382">
        <v>51.86</v>
      </c>
      <c r="G124" s="368" t="s">
        <v>102</v>
      </c>
      <c r="H124" s="316">
        <f>ROUND(D124*F124,0)</f>
        <v>4979</v>
      </c>
      <c r="J124" s="211"/>
    </row>
    <row r="125" spans="2:10" s="1" customFormat="1" ht="14.4" customHeight="1" x14ac:dyDescent="0.35">
      <c r="B125" s="212" t="s">
        <v>253</v>
      </c>
      <c r="C125" s="316">
        <f>C118</f>
        <v>96000</v>
      </c>
      <c r="D125" s="326"/>
      <c r="E125" s="326">
        <f>G120</f>
        <v>226320</v>
      </c>
      <c r="F125" s="383">
        <v>5.8599999999999998E-3</v>
      </c>
      <c r="G125" s="368" t="s">
        <v>165</v>
      </c>
      <c r="H125" s="316">
        <f t="shared" ref="H125:H126" si="15">ROUND(E125*F125,0)</f>
        <v>1326</v>
      </c>
      <c r="J125" s="211"/>
    </row>
    <row r="126" spans="2:10" s="1" customFormat="1" ht="14.4" customHeight="1" x14ac:dyDescent="0.5">
      <c r="B126" s="315" t="s">
        <v>167</v>
      </c>
      <c r="C126" s="316">
        <f>C119</f>
        <v>100000</v>
      </c>
      <c r="D126" s="327"/>
      <c r="E126" s="327">
        <f>H120</f>
        <v>0</v>
      </c>
      <c r="F126" s="383">
        <v>5.2300000000000003E-3</v>
      </c>
      <c r="G126" s="368" t="s">
        <v>165</v>
      </c>
      <c r="H126" s="325">
        <f t="shared" si="15"/>
        <v>0</v>
      </c>
      <c r="J126" s="211"/>
    </row>
    <row r="127" spans="2:10" s="1" customFormat="1" ht="14.4" customHeight="1" x14ac:dyDescent="0.35">
      <c r="B127" s="63"/>
      <c r="C127" s="237"/>
      <c r="D127" s="328"/>
      <c r="E127" s="328">
        <f>SUM(E124:E126)</f>
        <v>592350</v>
      </c>
      <c r="F127" s="377"/>
      <c r="G127" s="377"/>
      <c r="H127" s="328">
        <f>SUM(H124:H126)</f>
        <v>6305</v>
      </c>
      <c r="I127" s="198"/>
      <c r="J127" s="213"/>
    </row>
    <row r="128" spans="2:10" s="1" customFormat="1" ht="14.4" customHeight="1" x14ac:dyDescent="0.35">
      <c r="B128" s="3"/>
      <c r="D128" s="326"/>
      <c r="E128" s="326"/>
      <c r="F128" s="326"/>
      <c r="G128" s="326"/>
      <c r="H128" s="326"/>
    </row>
    <row r="129" spans="2:10" s="1" customFormat="1" ht="14.4" customHeight="1" x14ac:dyDescent="0.35">
      <c r="B129" s="206" t="s">
        <v>173</v>
      </c>
      <c r="C129" s="121"/>
      <c r="D129" s="361"/>
      <c r="E129" s="526" t="s">
        <v>259</v>
      </c>
      <c r="F129" s="526"/>
      <c r="G129" s="318"/>
      <c r="H129" s="318"/>
      <c r="I129" s="208"/>
      <c r="J129" s="209"/>
    </row>
    <row r="130" spans="2:10" s="1" customFormat="1" ht="14.4" customHeight="1" x14ac:dyDescent="0.35">
      <c r="B130" s="210"/>
      <c r="C130" s="11"/>
      <c r="D130" s="320"/>
      <c r="E130" s="369"/>
      <c r="F130" s="320" t="s">
        <v>166</v>
      </c>
      <c r="G130" s="320" t="s">
        <v>253</v>
      </c>
      <c r="H130" s="320" t="s">
        <v>167</v>
      </c>
      <c r="J130" s="211"/>
    </row>
    <row r="131" spans="2:10" s="1" customFormat="1" ht="14.4" customHeight="1" x14ac:dyDescent="0.35">
      <c r="B131" s="32"/>
      <c r="C131" s="50" t="s">
        <v>47</v>
      </c>
      <c r="D131" s="360" t="s">
        <v>48</v>
      </c>
      <c r="E131" s="360" t="s">
        <v>49</v>
      </c>
      <c r="F131" s="329">
        <f>C132</f>
        <v>5000</v>
      </c>
      <c r="G131" s="329">
        <f>C133</f>
        <v>95000</v>
      </c>
      <c r="H131" s="329">
        <f>C134</f>
        <v>100000</v>
      </c>
      <c r="I131" s="71" t="s">
        <v>11</v>
      </c>
      <c r="J131" s="211"/>
    </row>
    <row r="132" spans="2:10" s="1" customFormat="1" ht="14.4" customHeight="1" x14ac:dyDescent="0.35">
      <c r="B132" s="212" t="s">
        <v>166</v>
      </c>
      <c r="C132" s="316">
        <v>5000</v>
      </c>
      <c r="D132" s="321">
        <v>11</v>
      </c>
      <c r="E132" s="321">
        <v>14500</v>
      </c>
      <c r="F132" s="322">
        <f>E132</f>
        <v>14500</v>
      </c>
      <c r="G132" s="322"/>
      <c r="H132" s="322"/>
      <c r="I132" s="316">
        <f t="shared" ref="I132:I134" si="16">SUM(F132:H132)</f>
        <v>14500</v>
      </c>
      <c r="J132" s="211"/>
    </row>
    <row r="133" spans="2:10" s="1" customFormat="1" ht="14.4" customHeight="1" x14ac:dyDescent="0.35">
      <c r="B133" s="212" t="s">
        <v>253</v>
      </c>
      <c r="C133" s="316">
        <v>95000</v>
      </c>
      <c r="D133" s="321">
        <v>1</v>
      </c>
      <c r="E133" s="321">
        <v>5240</v>
      </c>
      <c r="F133" s="322">
        <f>D133*F131</f>
        <v>5000</v>
      </c>
      <c r="G133" s="322">
        <f>E133-F133</f>
        <v>240</v>
      </c>
      <c r="H133" s="322"/>
      <c r="I133" s="316">
        <f t="shared" si="16"/>
        <v>5240</v>
      </c>
      <c r="J133" s="211"/>
    </row>
    <row r="134" spans="2:10" s="1" customFormat="1" ht="14.4" customHeight="1" x14ac:dyDescent="0.5">
      <c r="B134" s="212" t="s">
        <v>167</v>
      </c>
      <c r="C134" s="316">
        <v>100000</v>
      </c>
      <c r="D134" s="323"/>
      <c r="E134" s="323"/>
      <c r="F134" s="324">
        <f>D134*F131</f>
        <v>0</v>
      </c>
      <c r="G134" s="324">
        <f>D134*G131</f>
        <v>0</v>
      </c>
      <c r="H134" s="324">
        <f>E134-F134-G134</f>
        <v>0</v>
      </c>
      <c r="I134" s="316">
        <f t="shared" si="16"/>
        <v>0</v>
      </c>
      <c r="J134" s="211"/>
    </row>
    <row r="135" spans="2:10" s="1" customFormat="1" ht="14.4" customHeight="1" x14ac:dyDescent="0.35">
      <c r="B135" s="212"/>
      <c r="C135" s="316"/>
      <c r="D135" s="316">
        <f>SUM(D132:D134)</f>
        <v>12</v>
      </c>
      <c r="E135" s="316">
        <f>SUM(E132:E134)</f>
        <v>19740</v>
      </c>
      <c r="F135" s="316">
        <f>SUM(F132:F134)</f>
        <v>19500</v>
      </c>
      <c r="G135" s="316">
        <f>SUM(G132:G134)</f>
        <v>240</v>
      </c>
      <c r="H135" s="316">
        <f>SUM(H132:H134)</f>
        <v>0</v>
      </c>
      <c r="I135" s="316">
        <f>SUM(F135:H135)</f>
        <v>19740</v>
      </c>
      <c r="J135" s="211"/>
    </row>
    <row r="136" spans="2:10" s="1" customFormat="1" ht="14.4" customHeight="1" x14ac:dyDescent="0.35">
      <c r="B136" s="212"/>
      <c r="C136" s="316"/>
      <c r="D136" s="316"/>
      <c r="E136" s="316"/>
      <c r="F136" s="316"/>
      <c r="G136" s="316"/>
      <c r="H136" s="316"/>
      <c r="I136" s="11"/>
      <c r="J136" s="211"/>
    </row>
    <row r="137" spans="2:10" s="1" customFormat="1" ht="14.4" customHeight="1" x14ac:dyDescent="0.35">
      <c r="B137" s="210" t="s">
        <v>172</v>
      </c>
      <c r="C137" s="326"/>
      <c r="D137" s="362"/>
      <c r="E137" s="526" t="s">
        <v>259</v>
      </c>
      <c r="F137" s="526"/>
      <c r="G137" s="362"/>
      <c r="H137" s="362"/>
      <c r="J137" s="211"/>
    </row>
    <row r="138" spans="2:10" s="1" customFormat="1" ht="14.4" customHeight="1" x14ac:dyDescent="0.35">
      <c r="B138" s="32"/>
      <c r="C138" s="319" t="s">
        <v>47</v>
      </c>
      <c r="D138" s="360" t="s">
        <v>48</v>
      </c>
      <c r="E138" s="360" t="s">
        <v>49</v>
      </c>
      <c r="F138" s="525" t="s">
        <v>51</v>
      </c>
      <c r="G138" s="525"/>
      <c r="H138" s="360" t="s">
        <v>52</v>
      </c>
      <c r="J138" s="211"/>
    </row>
    <row r="139" spans="2:10" s="1" customFormat="1" ht="14.4" customHeight="1" x14ac:dyDescent="0.35">
      <c r="B139" s="212" t="s">
        <v>166</v>
      </c>
      <c r="C139" s="316">
        <f>C132</f>
        <v>5000</v>
      </c>
      <c r="D139" s="326">
        <f>D135</f>
        <v>12</v>
      </c>
      <c r="E139" s="326">
        <f>F135</f>
        <v>19500</v>
      </c>
      <c r="F139" s="382">
        <v>38.42</v>
      </c>
      <c r="G139" s="368" t="s">
        <v>102</v>
      </c>
      <c r="H139" s="316">
        <f>ROUND(D139*F139,0)</f>
        <v>461</v>
      </c>
      <c r="J139" s="211"/>
    </row>
    <row r="140" spans="2:10" s="1" customFormat="1" ht="14.4" customHeight="1" x14ac:dyDescent="0.35">
      <c r="B140" s="212" t="s">
        <v>253</v>
      </c>
      <c r="C140" s="316">
        <f>C133</f>
        <v>95000</v>
      </c>
      <c r="D140" s="326"/>
      <c r="E140" s="326">
        <f>G135</f>
        <v>240</v>
      </c>
      <c r="F140" s="383">
        <v>5.8599999999999998E-3</v>
      </c>
      <c r="G140" s="368" t="s">
        <v>165</v>
      </c>
      <c r="H140" s="316">
        <f t="shared" ref="H140:H141" si="17">ROUND(E140*F140,0)</f>
        <v>1</v>
      </c>
      <c r="J140" s="211"/>
    </row>
    <row r="141" spans="2:10" s="1" customFormat="1" ht="14.4" customHeight="1" x14ac:dyDescent="0.5">
      <c r="B141" s="315" t="s">
        <v>167</v>
      </c>
      <c r="C141" s="316">
        <f>C134</f>
        <v>100000</v>
      </c>
      <c r="D141" s="327"/>
      <c r="E141" s="327">
        <f>H135</f>
        <v>0</v>
      </c>
      <c r="F141" s="383">
        <v>5.2300000000000003E-3</v>
      </c>
      <c r="G141" s="368" t="s">
        <v>165</v>
      </c>
      <c r="H141" s="325">
        <f t="shared" si="17"/>
        <v>0</v>
      </c>
      <c r="J141" s="211"/>
    </row>
    <row r="142" spans="2:10" s="1" customFormat="1" ht="14.4" customHeight="1" x14ac:dyDescent="0.35">
      <c r="B142" s="63"/>
      <c r="C142" s="328"/>
      <c r="D142" s="328"/>
      <c r="E142" s="328">
        <f>SUM(E139:E141)</f>
        <v>19740</v>
      </c>
      <c r="F142" s="377"/>
      <c r="G142" s="377"/>
      <c r="H142" s="328">
        <f>SUM(H139:H141)</f>
        <v>462</v>
      </c>
      <c r="I142" s="198"/>
      <c r="J142" s="213"/>
    </row>
    <row r="143" spans="2:10" s="1" customFormat="1" ht="14.4" customHeight="1" x14ac:dyDescent="0.35">
      <c r="B143" s="3"/>
      <c r="C143" s="326"/>
      <c r="D143" s="326"/>
      <c r="E143" s="326"/>
      <c r="F143" s="326"/>
      <c r="G143" s="326"/>
      <c r="H143" s="326"/>
    </row>
    <row r="144" spans="2:10" s="1" customFormat="1" ht="14.4" customHeight="1" x14ac:dyDescent="0.35">
      <c r="B144" s="206" t="s">
        <v>173</v>
      </c>
      <c r="C144" s="317"/>
      <c r="D144" s="361"/>
      <c r="E144" s="524" t="s">
        <v>260</v>
      </c>
      <c r="F144" s="524"/>
      <c r="G144" s="318"/>
      <c r="H144" s="318"/>
      <c r="I144" s="208"/>
      <c r="J144" s="209"/>
    </row>
    <row r="145" spans="2:10" s="1" customFormat="1" ht="14.4" customHeight="1" x14ac:dyDescent="0.35">
      <c r="B145" s="210"/>
      <c r="C145" s="316"/>
      <c r="D145" s="320"/>
      <c r="E145" s="369"/>
      <c r="F145" s="320" t="s">
        <v>166</v>
      </c>
      <c r="G145" s="320" t="s">
        <v>253</v>
      </c>
      <c r="H145" s="320" t="s">
        <v>167</v>
      </c>
      <c r="J145" s="211"/>
    </row>
    <row r="146" spans="2:10" s="1" customFormat="1" ht="14.4" customHeight="1" x14ac:dyDescent="0.35">
      <c r="B146" s="32"/>
      <c r="C146" s="319" t="s">
        <v>47</v>
      </c>
      <c r="D146" s="360" t="s">
        <v>48</v>
      </c>
      <c r="E146" s="360" t="s">
        <v>49</v>
      </c>
      <c r="F146" s="329">
        <f>C147</f>
        <v>22000</v>
      </c>
      <c r="G146" s="329">
        <f>C148</f>
        <v>78000</v>
      </c>
      <c r="H146" s="329">
        <f>C149</f>
        <v>100000</v>
      </c>
      <c r="I146" s="71" t="s">
        <v>11</v>
      </c>
      <c r="J146" s="211"/>
    </row>
    <row r="147" spans="2:10" s="1" customFormat="1" ht="14.4" customHeight="1" x14ac:dyDescent="0.35">
      <c r="B147" s="212" t="s">
        <v>166</v>
      </c>
      <c r="C147" s="316">
        <v>22000</v>
      </c>
      <c r="D147" s="321">
        <v>0</v>
      </c>
      <c r="E147" s="321"/>
      <c r="F147" s="322">
        <f>E147</f>
        <v>0</v>
      </c>
      <c r="G147" s="322"/>
      <c r="H147" s="322"/>
      <c r="I147" s="316">
        <f t="shared" ref="I147:I149" si="18">SUM(F147:H147)</f>
        <v>0</v>
      </c>
      <c r="J147" s="211"/>
    </row>
    <row r="148" spans="2:10" s="1" customFormat="1" ht="14.4" customHeight="1" x14ac:dyDescent="0.35">
      <c r="B148" s="212" t="s">
        <v>253</v>
      </c>
      <c r="C148" s="316">
        <v>78000</v>
      </c>
      <c r="D148" s="321">
        <v>12</v>
      </c>
      <c r="E148" s="321">
        <v>740000</v>
      </c>
      <c r="F148" s="322">
        <f>D148*F146</f>
        <v>264000</v>
      </c>
      <c r="G148" s="322">
        <f>E148-F148</f>
        <v>476000</v>
      </c>
      <c r="H148" s="322"/>
      <c r="I148" s="316">
        <f t="shared" si="18"/>
        <v>740000</v>
      </c>
      <c r="J148" s="211"/>
    </row>
    <row r="149" spans="2:10" s="1" customFormat="1" ht="14.4" customHeight="1" x14ac:dyDescent="0.5">
      <c r="B149" s="212" t="s">
        <v>167</v>
      </c>
      <c r="C149" s="316">
        <v>100000</v>
      </c>
      <c r="D149" s="323"/>
      <c r="E149" s="323"/>
      <c r="F149" s="324">
        <f>D149*F146</f>
        <v>0</v>
      </c>
      <c r="G149" s="324">
        <f>D149*G146</f>
        <v>0</v>
      </c>
      <c r="H149" s="324">
        <f>E149-F149-G149</f>
        <v>0</v>
      </c>
      <c r="I149" s="316">
        <f t="shared" si="18"/>
        <v>0</v>
      </c>
      <c r="J149" s="211"/>
    </row>
    <row r="150" spans="2:10" s="1" customFormat="1" ht="14.4" customHeight="1" x14ac:dyDescent="0.35">
      <c r="B150" s="212"/>
      <c r="C150" s="11"/>
      <c r="D150" s="316">
        <f>SUM(D147:D149)</f>
        <v>12</v>
      </c>
      <c r="E150" s="316">
        <f>SUM(E147:E149)</f>
        <v>740000</v>
      </c>
      <c r="F150" s="316">
        <f>SUM(F147:F149)</f>
        <v>264000</v>
      </c>
      <c r="G150" s="316">
        <f>SUM(G147:G149)</f>
        <v>476000</v>
      </c>
      <c r="H150" s="316">
        <f>SUM(H147:H149)</f>
        <v>0</v>
      </c>
      <c r="I150" s="316">
        <f>SUM(F150:H150)</f>
        <v>740000</v>
      </c>
      <c r="J150" s="211"/>
    </row>
    <row r="151" spans="2:10" s="1" customFormat="1" ht="14.4" customHeight="1" x14ac:dyDescent="0.35">
      <c r="B151" s="212"/>
      <c r="C151" s="11"/>
      <c r="D151" s="316"/>
      <c r="E151" s="316"/>
      <c r="F151" s="316"/>
      <c r="G151" s="316"/>
      <c r="H151" s="316"/>
      <c r="I151" s="11"/>
      <c r="J151" s="211"/>
    </row>
    <row r="152" spans="2:10" s="1" customFormat="1" ht="14.4" customHeight="1" x14ac:dyDescent="0.35">
      <c r="B152" s="210" t="s">
        <v>172</v>
      </c>
      <c r="D152" s="362"/>
      <c r="E152" s="524" t="s">
        <v>260</v>
      </c>
      <c r="F152" s="524"/>
      <c r="G152" s="362"/>
      <c r="H152" s="362"/>
      <c r="J152" s="211"/>
    </row>
    <row r="153" spans="2:10" s="1" customFormat="1" ht="14.4" customHeight="1" x14ac:dyDescent="0.35">
      <c r="B153" s="32"/>
      <c r="C153" s="50" t="s">
        <v>47</v>
      </c>
      <c r="D153" s="360" t="s">
        <v>48</v>
      </c>
      <c r="E153" s="360" t="s">
        <v>49</v>
      </c>
      <c r="F153" s="525" t="s">
        <v>51</v>
      </c>
      <c r="G153" s="525"/>
      <c r="H153" s="360" t="s">
        <v>52</v>
      </c>
      <c r="J153" s="211"/>
    </row>
    <row r="154" spans="2:10" s="1" customFormat="1" ht="14.4" customHeight="1" x14ac:dyDescent="0.35">
      <c r="B154" s="212" t="s">
        <v>166</v>
      </c>
      <c r="C154" s="316">
        <f>C147</f>
        <v>22000</v>
      </c>
      <c r="D154" s="326">
        <f>D150</f>
        <v>12</v>
      </c>
      <c r="E154" s="326">
        <f>F150</f>
        <v>264000</v>
      </c>
      <c r="F154" s="382">
        <v>273.07</v>
      </c>
      <c r="G154" s="368" t="s">
        <v>102</v>
      </c>
      <c r="H154" s="316">
        <f>ROUND(D154*F154,0)</f>
        <v>3277</v>
      </c>
      <c r="J154" s="211"/>
    </row>
    <row r="155" spans="2:10" s="1" customFormat="1" ht="14.4" customHeight="1" x14ac:dyDescent="0.35">
      <c r="B155" s="212" t="s">
        <v>253</v>
      </c>
      <c r="C155" s="316">
        <f>C148</f>
        <v>78000</v>
      </c>
      <c r="D155" s="326"/>
      <c r="E155" s="326">
        <f>G150</f>
        <v>476000</v>
      </c>
      <c r="F155" s="383">
        <v>5.8599999999999998E-3</v>
      </c>
      <c r="G155" s="368" t="s">
        <v>165</v>
      </c>
      <c r="H155" s="316">
        <f t="shared" ref="H155:H156" si="19">ROUND(E155*F155,0)</f>
        <v>2789</v>
      </c>
      <c r="J155" s="211"/>
    </row>
    <row r="156" spans="2:10" s="1" customFormat="1" ht="14.4" customHeight="1" x14ac:dyDescent="0.5">
      <c r="B156" s="315" t="s">
        <v>167</v>
      </c>
      <c r="C156" s="316">
        <f>C149</f>
        <v>100000</v>
      </c>
      <c r="D156" s="327"/>
      <c r="E156" s="327">
        <f>H150</f>
        <v>0</v>
      </c>
      <c r="F156" s="383">
        <v>5.2300000000000003E-3</v>
      </c>
      <c r="G156" s="368" t="s">
        <v>165</v>
      </c>
      <c r="H156" s="325">
        <f t="shared" si="19"/>
        <v>0</v>
      </c>
      <c r="J156" s="211"/>
    </row>
    <row r="157" spans="2:10" s="1" customFormat="1" ht="14.4" customHeight="1" x14ac:dyDescent="0.35">
      <c r="B157" s="63"/>
      <c r="C157" s="237"/>
      <c r="D157" s="328"/>
      <c r="E157" s="328">
        <f>SUM(E154:E156)</f>
        <v>740000</v>
      </c>
      <c r="F157" s="377"/>
      <c r="G157" s="377"/>
      <c r="H157" s="328">
        <f>SUM(H154:H156)</f>
        <v>6066</v>
      </c>
      <c r="I157" s="198"/>
      <c r="J157" s="213"/>
    </row>
    <row r="158" spans="2:10" s="1" customFormat="1" ht="14.4" customHeight="1" x14ac:dyDescent="0.35">
      <c r="B158" s="3"/>
      <c r="D158" s="326"/>
      <c r="E158" s="326"/>
      <c r="F158" s="326"/>
      <c r="G158" s="326"/>
      <c r="H158" s="326"/>
    </row>
    <row r="159" spans="2:10" s="1" customFormat="1" ht="14.4" customHeight="1" x14ac:dyDescent="0.35">
      <c r="B159" s="206" t="s">
        <v>173</v>
      </c>
      <c r="C159" s="121"/>
      <c r="D159" s="361"/>
      <c r="E159" s="526" t="s">
        <v>261</v>
      </c>
      <c r="F159" s="526"/>
      <c r="G159" s="318"/>
      <c r="H159" s="318"/>
      <c r="I159" s="208"/>
      <c r="J159" s="209"/>
    </row>
    <row r="160" spans="2:10" s="1" customFormat="1" ht="14.4" customHeight="1" x14ac:dyDescent="0.35">
      <c r="B160" s="210"/>
      <c r="C160" s="11"/>
      <c r="D160" s="320"/>
      <c r="E160" s="369"/>
      <c r="F160" s="320" t="s">
        <v>166</v>
      </c>
      <c r="G160" s="320" t="s">
        <v>253</v>
      </c>
      <c r="H160" s="320" t="s">
        <v>167</v>
      </c>
      <c r="J160" s="211"/>
    </row>
    <row r="161" spans="2:10" s="1" customFormat="1" ht="14.4" customHeight="1" x14ac:dyDescent="0.35">
      <c r="B161" s="32"/>
      <c r="C161" s="50" t="s">
        <v>47</v>
      </c>
      <c r="D161" s="360" t="s">
        <v>48</v>
      </c>
      <c r="E161" s="360" t="s">
        <v>49</v>
      </c>
      <c r="F161" s="329">
        <f>C162</f>
        <v>49000</v>
      </c>
      <c r="G161" s="329">
        <f>C163</f>
        <v>51000</v>
      </c>
      <c r="H161" s="329">
        <f>C164</f>
        <v>100000</v>
      </c>
      <c r="I161" s="71" t="s">
        <v>11</v>
      </c>
      <c r="J161" s="211"/>
    </row>
    <row r="162" spans="2:10" s="1" customFormat="1" ht="14.5" x14ac:dyDescent="0.35">
      <c r="B162" s="212" t="s">
        <v>166</v>
      </c>
      <c r="C162" s="316">
        <v>49000</v>
      </c>
      <c r="D162" s="321"/>
      <c r="E162" s="321"/>
      <c r="F162" s="322">
        <f>E162</f>
        <v>0</v>
      </c>
      <c r="G162" s="322"/>
      <c r="H162" s="322"/>
      <c r="I162" s="316">
        <f>SUM(E162:H162)</f>
        <v>0</v>
      </c>
      <c r="J162" s="211"/>
    </row>
    <row r="163" spans="2:10" s="1" customFormat="1" ht="14.5" x14ac:dyDescent="0.35">
      <c r="B163" s="212" t="s">
        <v>253</v>
      </c>
      <c r="C163" s="316">
        <v>51000</v>
      </c>
      <c r="D163" s="321"/>
      <c r="E163" s="321"/>
      <c r="F163" s="322">
        <f>D163*F161</f>
        <v>0</v>
      </c>
      <c r="G163" s="322">
        <f>E163-F163</f>
        <v>0</v>
      </c>
      <c r="H163" s="322"/>
      <c r="I163" s="316">
        <f>SUM(E163:H163)</f>
        <v>0</v>
      </c>
      <c r="J163" s="211"/>
    </row>
    <row r="164" spans="2:10" s="1" customFormat="1" ht="16" x14ac:dyDescent="0.5">
      <c r="B164" s="212" t="s">
        <v>167</v>
      </c>
      <c r="C164" s="316">
        <v>100000</v>
      </c>
      <c r="D164" s="323">
        <v>12</v>
      </c>
      <c r="E164" s="323">
        <v>3074800</v>
      </c>
      <c r="F164" s="324">
        <f>D164*F161</f>
        <v>588000</v>
      </c>
      <c r="G164" s="324">
        <f>D164*G161</f>
        <v>612000</v>
      </c>
      <c r="H164" s="324">
        <f>E164-F164-G164</f>
        <v>1874800</v>
      </c>
      <c r="I164" s="325">
        <f>SUM(F164:H164)</f>
        <v>3074800</v>
      </c>
      <c r="J164" s="211"/>
    </row>
    <row r="165" spans="2:10" s="1" customFormat="1" ht="14.5" x14ac:dyDescent="0.35">
      <c r="B165" s="212"/>
      <c r="C165" s="11"/>
      <c r="D165" s="316">
        <f>SUM(D162:D164)</f>
        <v>12</v>
      </c>
      <c r="E165" s="316">
        <f>SUM(E162:E164)</f>
        <v>3074800</v>
      </c>
      <c r="F165" s="316">
        <f>SUM(F162:F164)</f>
        <v>588000</v>
      </c>
      <c r="G165" s="316">
        <f>SUM(G162:G164)</f>
        <v>612000</v>
      </c>
      <c r="H165" s="316">
        <f>SUM(H162:H164)</f>
        <v>1874800</v>
      </c>
      <c r="I165" s="316">
        <f>SUM(F165:H165)</f>
        <v>3074800</v>
      </c>
      <c r="J165" s="211"/>
    </row>
    <row r="166" spans="2:10" s="1" customFormat="1" ht="14.5" x14ac:dyDescent="0.35">
      <c r="B166" s="212"/>
      <c r="C166" s="11"/>
      <c r="D166" s="316"/>
      <c r="E166" s="316"/>
      <c r="F166" s="316"/>
      <c r="G166" s="316"/>
      <c r="H166" s="316"/>
      <c r="I166" s="11"/>
      <c r="J166" s="211"/>
    </row>
    <row r="167" spans="2:10" s="1" customFormat="1" ht="14.5" x14ac:dyDescent="0.35">
      <c r="B167" s="210" t="s">
        <v>172</v>
      </c>
      <c r="D167" s="362"/>
      <c r="E167" s="526" t="s">
        <v>261</v>
      </c>
      <c r="F167" s="526"/>
      <c r="G167" s="362"/>
      <c r="H167" s="362"/>
      <c r="J167" s="211"/>
    </row>
    <row r="168" spans="2:10" s="1" customFormat="1" ht="14.5" x14ac:dyDescent="0.35">
      <c r="B168" s="32"/>
      <c r="C168" s="50" t="s">
        <v>47</v>
      </c>
      <c r="D168" s="360" t="s">
        <v>48</v>
      </c>
      <c r="E168" s="360" t="s">
        <v>49</v>
      </c>
      <c r="F168" s="525" t="s">
        <v>51</v>
      </c>
      <c r="G168" s="525"/>
      <c r="H168" s="360" t="s">
        <v>52</v>
      </c>
      <c r="J168" s="211"/>
    </row>
    <row r="169" spans="2:10" s="1" customFormat="1" ht="14.5" x14ac:dyDescent="0.35">
      <c r="B169" s="212" t="s">
        <v>166</v>
      </c>
      <c r="C169" s="316">
        <f>C162</f>
        <v>49000</v>
      </c>
      <c r="D169" s="326">
        <f>D165</f>
        <v>12</v>
      </c>
      <c r="E169" s="326">
        <f>F165</f>
        <v>588000</v>
      </c>
      <c r="F169" s="382">
        <v>604.88</v>
      </c>
      <c r="G169" s="368" t="s">
        <v>102</v>
      </c>
      <c r="H169" s="316">
        <f>ROUND(D169*F169,0)</f>
        <v>7259</v>
      </c>
      <c r="J169" s="211"/>
    </row>
    <row r="170" spans="2:10" s="1" customFormat="1" ht="14.5" x14ac:dyDescent="0.35">
      <c r="B170" s="212" t="s">
        <v>253</v>
      </c>
      <c r="C170" s="316">
        <f>C163</f>
        <v>51000</v>
      </c>
      <c r="D170" s="326"/>
      <c r="E170" s="326">
        <f>G165</f>
        <v>612000</v>
      </c>
      <c r="F170" s="383">
        <v>5.8599999999999998E-3</v>
      </c>
      <c r="G170" s="368" t="s">
        <v>165</v>
      </c>
      <c r="H170" s="316">
        <f t="shared" ref="H170:H171" si="20">ROUND(E170*F170,0)</f>
        <v>3586</v>
      </c>
      <c r="J170" s="211"/>
    </row>
    <row r="171" spans="2:10" s="1" customFormat="1" ht="16" x14ac:dyDescent="0.5">
      <c r="B171" s="315" t="s">
        <v>167</v>
      </c>
      <c r="C171" s="316">
        <f>C164</f>
        <v>100000</v>
      </c>
      <c r="D171" s="327"/>
      <c r="E171" s="327">
        <f>H165</f>
        <v>1874800</v>
      </c>
      <c r="F171" s="383">
        <v>5.2300000000000003E-3</v>
      </c>
      <c r="G171" s="368" t="s">
        <v>165</v>
      </c>
      <c r="H171" s="325">
        <f t="shared" si="20"/>
        <v>9805</v>
      </c>
      <c r="J171" s="211"/>
    </row>
    <row r="172" spans="2:10" s="1" customFormat="1" ht="14.5" x14ac:dyDescent="0.35">
      <c r="B172" s="63"/>
      <c r="C172" s="237"/>
      <c r="D172" s="328"/>
      <c r="E172" s="328">
        <f>SUM(E169:E171)</f>
        <v>3074800</v>
      </c>
      <c r="F172" s="377"/>
      <c r="G172" s="377"/>
      <c r="H172" s="328">
        <f>SUM(H169:H171)</f>
        <v>20650</v>
      </c>
      <c r="I172" s="198"/>
      <c r="J172" s="213"/>
    </row>
    <row r="173" spans="2:10" s="1" customFormat="1" ht="14.5" x14ac:dyDescent="0.35">
      <c r="B173" s="3"/>
      <c r="D173" s="326"/>
      <c r="E173" s="326"/>
      <c r="F173" s="326"/>
      <c r="G173" s="326"/>
      <c r="H173" s="326"/>
    </row>
    <row r="174" spans="2:10" s="1" customFormat="1" ht="14.5" x14ac:dyDescent="0.35">
      <c r="B174" s="206" t="s">
        <v>173</v>
      </c>
      <c r="C174" s="121"/>
      <c r="D174" s="361"/>
      <c r="E174" s="524" t="s">
        <v>262</v>
      </c>
      <c r="F174" s="524"/>
      <c r="G174" s="318"/>
      <c r="H174" s="318"/>
      <c r="I174" s="208"/>
      <c r="J174" s="209"/>
    </row>
    <row r="175" spans="2:10" s="1" customFormat="1" ht="14.5" x14ac:dyDescent="0.35">
      <c r="B175" s="210"/>
      <c r="C175" s="11"/>
      <c r="D175" s="320"/>
      <c r="E175" s="369"/>
      <c r="F175" s="320" t="s">
        <v>166</v>
      </c>
      <c r="G175" s="320" t="s">
        <v>253</v>
      </c>
      <c r="H175" s="320" t="s">
        <v>167</v>
      </c>
      <c r="J175" s="211"/>
    </row>
    <row r="176" spans="2:10" s="1" customFormat="1" ht="14.5" x14ac:dyDescent="0.35">
      <c r="B176" s="32"/>
      <c r="C176" s="50" t="s">
        <v>47</v>
      </c>
      <c r="D176" s="360" t="s">
        <v>48</v>
      </c>
      <c r="E176" s="360" t="s">
        <v>49</v>
      </c>
      <c r="F176" s="329">
        <f>C177</f>
        <v>26000</v>
      </c>
      <c r="G176" s="329">
        <f>C178</f>
        <v>74000</v>
      </c>
      <c r="H176" s="329">
        <f>C179</f>
        <v>100000</v>
      </c>
      <c r="I176" s="71" t="s">
        <v>11</v>
      </c>
      <c r="J176" s="211"/>
    </row>
    <row r="177" spans="2:10" s="1" customFormat="1" ht="14.5" x14ac:dyDescent="0.35">
      <c r="B177" s="212" t="s">
        <v>166</v>
      </c>
      <c r="C177" s="316">
        <v>26000</v>
      </c>
      <c r="D177" s="321"/>
      <c r="E177" s="321"/>
      <c r="F177" s="322">
        <f>E177</f>
        <v>0</v>
      </c>
      <c r="G177" s="322"/>
      <c r="H177" s="322"/>
      <c r="I177" s="316">
        <f>SUM(E177:H177)</f>
        <v>0</v>
      </c>
      <c r="J177" s="211"/>
    </row>
    <row r="178" spans="2:10" s="1" customFormat="1" ht="14.5" x14ac:dyDescent="0.35">
      <c r="B178" s="212" t="s">
        <v>253</v>
      </c>
      <c r="C178" s="316">
        <v>74000</v>
      </c>
      <c r="D178" s="321">
        <v>10</v>
      </c>
      <c r="E178" s="321">
        <v>615300</v>
      </c>
      <c r="F178" s="322">
        <f>D178*F176</f>
        <v>260000</v>
      </c>
      <c r="G178" s="322">
        <f>E178-F178</f>
        <v>355300</v>
      </c>
      <c r="H178" s="322"/>
      <c r="I178" s="316">
        <f>SUM(F178:H178)</f>
        <v>615300</v>
      </c>
      <c r="J178" s="211"/>
    </row>
    <row r="179" spans="2:10" s="1" customFormat="1" ht="16" x14ac:dyDescent="0.5">
      <c r="B179" s="212" t="s">
        <v>167</v>
      </c>
      <c r="C179" s="316">
        <v>100000</v>
      </c>
      <c r="D179" s="323">
        <v>2</v>
      </c>
      <c r="E179" s="323">
        <v>655000</v>
      </c>
      <c r="F179" s="324">
        <f>D179*F176</f>
        <v>52000</v>
      </c>
      <c r="G179" s="324">
        <f>D179*G176</f>
        <v>148000</v>
      </c>
      <c r="H179" s="324">
        <f>E179-F179-G179</f>
        <v>455000</v>
      </c>
      <c r="I179" s="325">
        <f>SUM(F179:H179)</f>
        <v>655000</v>
      </c>
      <c r="J179" s="211"/>
    </row>
    <row r="180" spans="2:10" s="1" customFormat="1" ht="14.5" x14ac:dyDescent="0.35">
      <c r="B180" s="212"/>
      <c r="C180" s="316"/>
      <c r="D180" s="316">
        <f>SUM(D177:D179)</f>
        <v>12</v>
      </c>
      <c r="E180" s="316">
        <f>SUM(E177:E179)</f>
        <v>1270300</v>
      </c>
      <c r="F180" s="316">
        <f>SUM(F177:F179)</f>
        <v>312000</v>
      </c>
      <c r="G180" s="316">
        <f>SUM(G177:G179)</f>
        <v>503300</v>
      </c>
      <c r="H180" s="316">
        <f>SUM(H177:H179)</f>
        <v>455000</v>
      </c>
      <c r="I180" s="316">
        <f>SUM(F180:H180)</f>
        <v>1270300</v>
      </c>
      <c r="J180" s="211"/>
    </row>
    <row r="181" spans="2:10" s="1" customFormat="1" ht="14.5" x14ac:dyDescent="0.35">
      <c r="B181" s="212"/>
      <c r="C181" s="316"/>
      <c r="D181" s="316"/>
      <c r="E181" s="316"/>
      <c r="F181" s="316"/>
      <c r="G181" s="316"/>
      <c r="H181" s="316"/>
      <c r="I181" s="11"/>
      <c r="J181" s="211"/>
    </row>
    <row r="182" spans="2:10" s="1" customFormat="1" ht="14.5" x14ac:dyDescent="0.35">
      <c r="B182" s="210" t="s">
        <v>172</v>
      </c>
      <c r="C182" s="326"/>
      <c r="D182" s="362"/>
      <c r="E182" s="524" t="s">
        <v>262</v>
      </c>
      <c r="F182" s="524"/>
      <c r="G182" s="362"/>
      <c r="H182" s="362"/>
      <c r="J182" s="211"/>
    </row>
    <row r="183" spans="2:10" s="1" customFormat="1" ht="14.5" x14ac:dyDescent="0.35">
      <c r="B183" s="32"/>
      <c r="C183" s="319" t="s">
        <v>47</v>
      </c>
      <c r="D183" s="360" t="s">
        <v>48</v>
      </c>
      <c r="E183" s="360" t="s">
        <v>49</v>
      </c>
      <c r="F183" s="525" t="s">
        <v>51</v>
      </c>
      <c r="G183" s="525"/>
      <c r="H183" s="360" t="s">
        <v>52</v>
      </c>
      <c r="J183" s="211"/>
    </row>
    <row r="184" spans="2:10" s="1" customFormat="1" ht="14.5" x14ac:dyDescent="0.35">
      <c r="B184" s="212" t="s">
        <v>166</v>
      </c>
      <c r="C184" s="316">
        <f>C177</f>
        <v>26000</v>
      </c>
      <c r="D184" s="326">
        <f>D180</f>
        <v>12</v>
      </c>
      <c r="E184" s="326">
        <f>F180</f>
        <v>312000</v>
      </c>
      <c r="F184" s="382">
        <v>322.23</v>
      </c>
      <c r="G184" s="368" t="s">
        <v>102</v>
      </c>
      <c r="H184" s="316">
        <f>ROUND(D184*F184,0)</f>
        <v>3867</v>
      </c>
      <c r="J184" s="211"/>
    </row>
    <row r="185" spans="2:10" s="1" customFormat="1" ht="14.5" x14ac:dyDescent="0.35">
      <c r="B185" s="212" t="s">
        <v>253</v>
      </c>
      <c r="C185" s="316">
        <f>C178</f>
        <v>74000</v>
      </c>
      <c r="D185" s="326"/>
      <c r="E185" s="326">
        <f>G180</f>
        <v>503300</v>
      </c>
      <c r="F185" s="383">
        <v>5.8599999999999998E-3</v>
      </c>
      <c r="G185" s="368" t="s">
        <v>165</v>
      </c>
      <c r="H185" s="316">
        <f t="shared" ref="H185:H186" si="21">ROUND(E185*F185,0)</f>
        <v>2949</v>
      </c>
      <c r="J185" s="211"/>
    </row>
    <row r="186" spans="2:10" s="1" customFormat="1" ht="16" x14ac:dyDescent="0.5">
      <c r="B186" s="315" t="s">
        <v>167</v>
      </c>
      <c r="C186" s="316">
        <f>C179</f>
        <v>100000</v>
      </c>
      <c r="D186" s="327"/>
      <c r="E186" s="327">
        <f>H180</f>
        <v>455000</v>
      </c>
      <c r="F186" s="383">
        <v>5.2300000000000003E-3</v>
      </c>
      <c r="G186" s="368" t="s">
        <v>165</v>
      </c>
      <c r="H186" s="325">
        <f t="shared" si="21"/>
        <v>2380</v>
      </c>
      <c r="J186" s="211"/>
    </row>
    <row r="187" spans="2:10" s="1" customFormat="1" ht="14.5" x14ac:dyDescent="0.35">
      <c r="B187" s="63"/>
      <c r="C187" s="237"/>
      <c r="D187" s="328"/>
      <c r="E187" s="328">
        <f>SUM(E184:E186)</f>
        <v>1270300</v>
      </c>
      <c r="F187" s="377"/>
      <c r="G187" s="377"/>
      <c r="H187" s="328">
        <f>SUM(H184:H186)</f>
        <v>9196</v>
      </c>
      <c r="I187" s="198"/>
      <c r="J187" s="213"/>
    </row>
    <row r="188" spans="2:10" s="1" customFormat="1" ht="14.5" x14ac:dyDescent="0.35">
      <c r="B188" s="3"/>
      <c r="D188" s="326"/>
      <c r="E188" s="326"/>
      <c r="F188" s="326"/>
      <c r="G188" s="326"/>
      <c r="H188" s="326"/>
    </row>
    <row r="189" spans="2:10" s="1" customFormat="1" ht="14.5" x14ac:dyDescent="0.35">
      <c r="B189" s="206" t="s">
        <v>173</v>
      </c>
      <c r="C189" s="317"/>
      <c r="D189" s="361"/>
      <c r="E189" s="524" t="s">
        <v>263</v>
      </c>
      <c r="F189" s="524"/>
      <c r="G189" s="318"/>
      <c r="H189" s="318"/>
      <c r="I189" s="208"/>
      <c r="J189" s="209"/>
    </row>
    <row r="190" spans="2:10" s="1" customFormat="1" x14ac:dyDescent="0.35">
      <c r="B190" s="210"/>
      <c r="C190" s="316"/>
      <c r="D190" s="320"/>
      <c r="E190" s="369"/>
      <c r="F190" s="320" t="s">
        <v>166</v>
      </c>
      <c r="G190" s="320" t="s">
        <v>167</v>
      </c>
      <c r="H190" s="326"/>
      <c r="I190" s="309"/>
      <c r="J190" s="211"/>
    </row>
    <row r="191" spans="2:10" s="1" customFormat="1" x14ac:dyDescent="0.35">
      <c r="B191" s="32"/>
      <c r="C191" s="319" t="s">
        <v>47</v>
      </c>
      <c r="D191" s="360" t="s">
        <v>48</v>
      </c>
      <c r="E191" s="360" t="s">
        <v>49</v>
      </c>
      <c r="F191" s="320">
        <f>C192</f>
        <v>200000</v>
      </c>
      <c r="G191" s="320">
        <f>C193</f>
        <v>200000</v>
      </c>
      <c r="H191" s="320" t="s">
        <v>11</v>
      </c>
      <c r="I191" s="309"/>
      <c r="J191" s="211"/>
    </row>
    <row r="192" spans="2:10" s="1" customFormat="1" x14ac:dyDescent="0.35">
      <c r="B192" s="212" t="s">
        <v>166</v>
      </c>
      <c r="C192" s="316">
        <v>200000</v>
      </c>
      <c r="D192" s="321"/>
      <c r="E192" s="321"/>
      <c r="F192" s="322">
        <f>E192</f>
        <v>0</v>
      </c>
      <c r="G192" s="322"/>
      <c r="H192" s="316">
        <f>SUM(F192:G192)</f>
        <v>0</v>
      </c>
      <c r="I192" s="309"/>
      <c r="J192" s="211"/>
    </row>
    <row r="193" spans="2:10" s="1" customFormat="1" ht="16" x14ac:dyDescent="0.5">
      <c r="B193" s="212" t="s">
        <v>167</v>
      </c>
      <c r="C193" s="316">
        <v>200000</v>
      </c>
      <c r="D193" s="323">
        <v>12</v>
      </c>
      <c r="E193" s="323">
        <v>6560600</v>
      </c>
      <c r="F193" s="324">
        <f>D193*F191</f>
        <v>2400000</v>
      </c>
      <c r="G193" s="324">
        <f>E193-F193</f>
        <v>4160600</v>
      </c>
      <c r="H193" s="325">
        <f>SUM(F193:G193)</f>
        <v>6560600</v>
      </c>
      <c r="I193" s="309"/>
      <c r="J193" s="211"/>
    </row>
    <row r="194" spans="2:10" s="1" customFormat="1" x14ac:dyDescent="0.35">
      <c r="B194" s="212"/>
      <c r="C194" s="316"/>
      <c r="D194" s="316">
        <f>SUM(D192:D193)</f>
        <v>12</v>
      </c>
      <c r="E194" s="316">
        <f>SUM(E192:E193)</f>
        <v>6560600</v>
      </c>
      <c r="F194" s="316">
        <f>SUM(F192:F193)</f>
        <v>2400000</v>
      </c>
      <c r="G194" s="316">
        <f>SUM(G192:G193)</f>
        <v>4160600</v>
      </c>
      <c r="H194" s="316">
        <f>SUM(F194:G194)</f>
        <v>6560600</v>
      </c>
      <c r="I194" s="309"/>
      <c r="J194" s="211"/>
    </row>
    <row r="195" spans="2:10" s="1" customFormat="1" ht="14.5" x14ac:dyDescent="0.35">
      <c r="B195" s="32"/>
      <c r="C195" s="316"/>
      <c r="D195" s="326"/>
      <c r="E195" s="326"/>
      <c r="F195" s="326"/>
      <c r="G195" s="326"/>
      <c r="H195" s="316"/>
      <c r="I195" s="316"/>
      <c r="J195" s="211"/>
    </row>
    <row r="196" spans="2:10" s="1" customFormat="1" ht="14.5" x14ac:dyDescent="0.35">
      <c r="B196" s="210" t="s">
        <v>172</v>
      </c>
      <c r="C196" s="86"/>
      <c r="D196" s="362"/>
      <c r="E196" s="524" t="s">
        <v>263</v>
      </c>
      <c r="F196" s="524"/>
      <c r="G196" s="362"/>
      <c r="H196" s="362"/>
      <c r="J196" s="211"/>
    </row>
    <row r="197" spans="2:10" s="1" customFormat="1" ht="14.5" x14ac:dyDescent="0.35">
      <c r="B197" s="32"/>
      <c r="C197" s="319" t="s">
        <v>47</v>
      </c>
      <c r="D197" s="360" t="s">
        <v>48</v>
      </c>
      <c r="E197" s="360" t="s">
        <v>49</v>
      </c>
      <c r="F197" s="525" t="s">
        <v>51</v>
      </c>
      <c r="G197" s="525"/>
      <c r="H197" s="360" t="s">
        <v>52</v>
      </c>
      <c r="J197" s="211"/>
    </row>
    <row r="198" spans="2:10" s="1" customFormat="1" ht="14.5" x14ac:dyDescent="0.35">
      <c r="B198" s="212" t="s">
        <v>166</v>
      </c>
      <c r="C198" s="316">
        <f>C192</f>
        <v>200000</v>
      </c>
      <c r="D198" s="326">
        <f>D194</f>
        <v>12</v>
      </c>
      <c r="E198" s="326">
        <f>F194</f>
        <v>2400000</v>
      </c>
      <c r="F198" s="85">
        <v>1118.44</v>
      </c>
      <c r="G198" s="368" t="s">
        <v>102</v>
      </c>
      <c r="H198" s="316">
        <f>ROUND(D198*F198,0)</f>
        <v>13421</v>
      </c>
      <c r="J198" s="211"/>
    </row>
    <row r="199" spans="2:10" s="1" customFormat="1" ht="16" x14ac:dyDescent="0.5">
      <c r="B199" s="315" t="s">
        <v>167</v>
      </c>
      <c r="C199" s="316">
        <f>C193</f>
        <v>200000</v>
      </c>
      <c r="D199" s="327"/>
      <c r="E199" s="327">
        <f>G194</f>
        <v>4160600</v>
      </c>
      <c r="F199" s="392">
        <v>5.2300000000000003E-3</v>
      </c>
      <c r="G199" s="368" t="s">
        <v>165</v>
      </c>
      <c r="H199" s="325">
        <f t="shared" ref="H199" si="22">ROUND(E199*F199,0)</f>
        <v>21760</v>
      </c>
      <c r="J199" s="211"/>
    </row>
    <row r="200" spans="2:10" s="1" customFormat="1" ht="14.5" x14ac:dyDescent="0.35">
      <c r="B200" s="63"/>
      <c r="C200" s="328"/>
      <c r="D200" s="365"/>
      <c r="E200" s="328">
        <f>SUM(E198:E199)</f>
        <v>6560600</v>
      </c>
      <c r="F200" s="377"/>
      <c r="G200" s="377"/>
      <c r="H200" s="328">
        <f>SUM(H198:H199)</f>
        <v>35181</v>
      </c>
      <c r="I200" s="198"/>
      <c r="J200" s="213"/>
    </row>
    <row r="201" spans="2:10" s="1" customFormat="1" ht="14.5" x14ac:dyDescent="0.35">
      <c r="B201" s="3"/>
      <c r="D201" s="326"/>
      <c r="E201" s="326"/>
      <c r="F201" s="326"/>
      <c r="G201" s="326"/>
      <c r="H201" s="326"/>
    </row>
    <row r="202" spans="2:10" s="1" customFormat="1" ht="14.5" x14ac:dyDescent="0.35">
      <c r="B202" s="3"/>
      <c r="E202" s="326"/>
      <c r="F202" s="326"/>
      <c r="G202" s="326"/>
      <c r="H202" s="326"/>
    </row>
    <row r="203" spans="2:10" s="1" customFormat="1" ht="14.5" x14ac:dyDescent="0.35">
      <c r="B203" s="3"/>
      <c r="E203" s="326"/>
      <c r="F203" s="326"/>
      <c r="G203" s="326"/>
      <c r="H203" s="326"/>
    </row>
    <row r="204" spans="2:10" s="1" customFormat="1" ht="14.5" x14ac:dyDescent="0.35">
      <c r="B204" s="3"/>
      <c r="E204" s="326"/>
      <c r="F204" s="326"/>
      <c r="G204" s="326"/>
      <c r="H204" s="326"/>
    </row>
    <row r="205" spans="2:10" s="1" customFormat="1" ht="14.5" x14ac:dyDescent="0.35">
      <c r="B205" s="3"/>
      <c r="E205" s="326"/>
      <c r="F205" s="326"/>
      <c r="G205" s="326"/>
      <c r="H205" s="326"/>
    </row>
    <row r="206" spans="2:10" s="1" customFormat="1" ht="14.5" x14ac:dyDescent="0.35">
      <c r="B206" s="3"/>
      <c r="E206" s="326"/>
      <c r="F206" s="326"/>
      <c r="G206" s="326"/>
      <c r="H206" s="326"/>
    </row>
    <row r="207" spans="2:10" s="1" customFormat="1" ht="14.5" x14ac:dyDescent="0.35">
      <c r="B207" s="3"/>
      <c r="E207" s="326"/>
      <c r="F207" s="326"/>
      <c r="G207" s="326"/>
      <c r="H207" s="326"/>
    </row>
    <row r="208" spans="2:10" s="1" customFormat="1" ht="14.5" x14ac:dyDescent="0.35">
      <c r="B208" s="3"/>
      <c r="E208" s="326"/>
      <c r="F208" s="326"/>
      <c r="G208" s="326"/>
      <c r="H208" s="326"/>
    </row>
    <row r="209" spans="2:8" s="1" customFormat="1" ht="14.5" x14ac:dyDescent="0.35">
      <c r="B209" s="3"/>
      <c r="E209" s="326"/>
      <c r="F209" s="326"/>
      <c r="G209" s="326"/>
      <c r="H209" s="326"/>
    </row>
    <row r="210" spans="2:8" s="1" customFormat="1" ht="14.5" x14ac:dyDescent="0.35">
      <c r="B210" s="3"/>
      <c r="E210" s="326"/>
      <c r="F210" s="326"/>
      <c r="G210" s="326"/>
      <c r="H210" s="326"/>
    </row>
    <row r="211" spans="2:8" s="1" customFormat="1" ht="14.5" x14ac:dyDescent="0.35">
      <c r="B211" s="3"/>
      <c r="E211" s="326"/>
      <c r="F211" s="326"/>
      <c r="G211" s="326"/>
      <c r="H211" s="326"/>
    </row>
    <row r="212" spans="2:8" s="1" customFormat="1" ht="14.5" x14ac:dyDescent="0.35">
      <c r="B212" s="3"/>
      <c r="E212" s="326"/>
      <c r="F212" s="326"/>
      <c r="G212" s="326"/>
      <c r="H212" s="326"/>
    </row>
    <row r="213" spans="2:8" s="1" customFormat="1" ht="14.5" x14ac:dyDescent="0.35">
      <c r="B213" s="3"/>
      <c r="E213" s="326"/>
      <c r="F213" s="326"/>
      <c r="G213" s="326"/>
      <c r="H213" s="326"/>
    </row>
    <row r="214" spans="2:8" s="1" customFormat="1" ht="14.5" x14ac:dyDescent="0.35">
      <c r="B214" s="3"/>
      <c r="E214" s="326"/>
      <c r="F214" s="326"/>
      <c r="G214" s="326"/>
      <c r="H214" s="326"/>
    </row>
    <row r="215" spans="2:8" s="1" customFormat="1" ht="14.5" x14ac:dyDescent="0.35">
      <c r="B215" s="3"/>
      <c r="E215" s="326"/>
      <c r="F215" s="326"/>
      <c r="G215" s="326"/>
      <c r="H215" s="326"/>
    </row>
    <row r="216" spans="2:8" s="1" customFormat="1" ht="14.5" x14ac:dyDescent="0.35">
      <c r="B216" s="3"/>
      <c r="E216" s="326"/>
      <c r="F216" s="326"/>
      <c r="G216" s="326"/>
      <c r="H216" s="326"/>
    </row>
    <row r="217" spans="2:8" s="1" customFormat="1" ht="14.5" x14ac:dyDescent="0.35">
      <c r="B217" s="3"/>
      <c r="E217" s="326"/>
      <c r="F217" s="326"/>
      <c r="G217" s="326"/>
      <c r="H217" s="326"/>
    </row>
    <row r="218" spans="2:8" s="1" customFormat="1" ht="14.5" x14ac:dyDescent="0.35">
      <c r="B218" s="3"/>
      <c r="E218" s="326"/>
      <c r="F218" s="326"/>
      <c r="G218" s="326"/>
      <c r="H218" s="326"/>
    </row>
    <row r="219" spans="2:8" s="1" customFormat="1" ht="14.5" x14ac:dyDescent="0.35">
      <c r="B219" s="3"/>
      <c r="E219" s="326"/>
      <c r="F219" s="326"/>
      <c r="G219" s="326"/>
      <c r="H219" s="326"/>
    </row>
    <row r="220" spans="2:8" s="1" customFormat="1" ht="14.5" x14ac:dyDescent="0.35">
      <c r="B220" s="3"/>
      <c r="E220" s="326"/>
      <c r="F220" s="326"/>
      <c r="G220" s="326"/>
      <c r="H220" s="326"/>
    </row>
    <row r="221" spans="2:8" s="1" customFormat="1" ht="14.5" x14ac:dyDescent="0.35">
      <c r="B221" s="3"/>
      <c r="E221" s="326"/>
      <c r="F221" s="326"/>
      <c r="G221" s="326"/>
      <c r="H221" s="326"/>
    </row>
    <row r="222" spans="2:8" s="1" customFormat="1" ht="14.5" x14ac:dyDescent="0.35">
      <c r="B222" s="3"/>
      <c r="E222" s="326"/>
      <c r="F222" s="326"/>
      <c r="G222" s="326"/>
      <c r="H222" s="326"/>
    </row>
    <row r="223" spans="2:8" s="1" customFormat="1" ht="14.5" x14ac:dyDescent="0.35">
      <c r="B223" s="3"/>
      <c r="E223" s="326"/>
      <c r="F223" s="326"/>
      <c r="G223" s="326"/>
      <c r="H223" s="326"/>
    </row>
    <row r="224" spans="2:8" s="1" customFormat="1" ht="14.5" x14ac:dyDescent="0.35">
      <c r="B224" s="3"/>
      <c r="E224" s="326"/>
      <c r="F224" s="326"/>
      <c r="G224" s="326"/>
      <c r="H224" s="326"/>
    </row>
    <row r="225" spans="2:8" s="1" customFormat="1" ht="14.5" x14ac:dyDescent="0.35">
      <c r="B225" s="3"/>
      <c r="E225" s="326"/>
      <c r="F225" s="326"/>
      <c r="G225" s="326"/>
      <c r="H225" s="326"/>
    </row>
    <row r="226" spans="2:8" s="1" customFormat="1" ht="14.5" x14ac:dyDescent="0.35">
      <c r="B226" s="3"/>
      <c r="E226" s="326"/>
      <c r="F226" s="326"/>
      <c r="G226" s="326"/>
      <c r="H226" s="326"/>
    </row>
    <row r="227" spans="2:8" s="1" customFormat="1" ht="14.5" x14ac:dyDescent="0.35">
      <c r="B227" s="3"/>
      <c r="E227" s="326"/>
      <c r="F227" s="326"/>
      <c r="G227" s="326"/>
      <c r="H227" s="326"/>
    </row>
    <row r="228" spans="2:8" s="1" customFormat="1" ht="14.5" x14ac:dyDescent="0.35">
      <c r="B228" s="3"/>
      <c r="E228" s="326"/>
      <c r="F228" s="326"/>
      <c r="G228" s="326"/>
      <c r="H228" s="326"/>
    </row>
    <row r="229" spans="2:8" s="1" customFormat="1" ht="14.5" x14ac:dyDescent="0.35">
      <c r="B229" s="3"/>
      <c r="E229" s="326"/>
      <c r="F229" s="326"/>
      <c r="G229" s="326"/>
      <c r="H229" s="326"/>
    </row>
    <row r="230" spans="2:8" s="1" customFormat="1" ht="14.5" x14ac:dyDescent="0.35">
      <c r="B230" s="3"/>
      <c r="E230" s="326"/>
      <c r="F230" s="326"/>
      <c r="G230" s="326"/>
      <c r="H230" s="326"/>
    </row>
    <row r="231" spans="2:8" s="1" customFormat="1" ht="14.5" x14ac:dyDescent="0.35">
      <c r="B231" s="3"/>
      <c r="E231" s="326"/>
      <c r="F231" s="326"/>
      <c r="G231" s="326"/>
      <c r="H231" s="326"/>
    </row>
    <row r="232" spans="2:8" s="1" customFormat="1" ht="14.5" x14ac:dyDescent="0.35">
      <c r="B232" s="3"/>
      <c r="E232" s="326"/>
      <c r="F232" s="326"/>
      <c r="G232" s="326"/>
      <c r="H232" s="326"/>
    </row>
    <row r="233" spans="2:8" s="1" customFormat="1" ht="14.5" x14ac:dyDescent="0.35">
      <c r="B233" s="3"/>
      <c r="E233" s="326"/>
      <c r="F233" s="326"/>
      <c r="G233" s="326"/>
      <c r="H233" s="326"/>
    </row>
    <row r="234" spans="2:8" s="1" customFormat="1" ht="14.5" x14ac:dyDescent="0.35">
      <c r="B234" s="3"/>
      <c r="E234" s="326"/>
      <c r="F234" s="326"/>
      <c r="G234" s="326"/>
      <c r="H234" s="326"/>
    </row>
    <row r="235" spans="2:8" s="1" customFormat="1" ht="14.5" x14ac:dyDescent="0.35">
      <c r="B235" s="3"/>
      <c r="E235" s="326"/>
      <c r="F235" s="326"/>
      <c r="G235" s="326"/>
      <c r="H235" s="326"/>
    </row>
    <row r="236" spans="2:8" s="1" customFormat="1" ht="14.5" x14ac:dyDescent="0.35">
      <c r="B236" s="3"/>
      <c r="E236" s="326"/>
      <c r="F236" s="326"/>
      <c r="G236" s="326"/>
      <c r="H236" s="326"/>
    </row>
    <row r="237" spans="2:8" s="1" customFormat="1" ht="14.5" x14ac:dyDescent="0.35">
      <c r="B237" s="3"/>
      <c r="E237" s="326"/>
      <c r="F237" s="326"/>
      <c r="G237" s="326"/>
      <c r="H237" s="326"/>
    </row>
    <row r="238" spans="2:8" s="1" customFormat="1" ht="14.5" x14ac:dyDescent="0.35">
      <c r="B238" s="3"/>
      <c r="E238" s="326"/>
      <c r="F238" s="326"/>
      <c r="G238" s="326"/>
      <c r="H238" s="326"/>
    </row>
    <row r="239" spans="2:8" s="1" customFormat="1" ht="14.5" x14ac:dyDescent="0.35">
      <c r="B239" s="3"/>
      <c r="E239" s="326"/>
      <c r="F239" s="326"/>
      <c r="G239" s="326"/>
      <c r="H239" s="326"/>
    </row>
    <row r="240" spans="2:8" s="1" customFormat="1" ht="14.5" x14ac:dyDescent="0.35">
      <c r="B240" s="3"/>
      <c r="E240" s="326"/>
      <c r="F240" s="326"/>
      <c r="G240" s="326"/>
      <c r="H240" s="326"/>
    </row>
    <row r="241" spans="2:8" s="1" customFormat="1" ht="14.5" x14ac:dyDescent="0.35">
      <c r="B241" s="3"/>
      <c r="E241" s="326"/>
      <c r="F241" s="326"/>
      <c r="G241" s="326"/>
      <c r="H241" s="326"/>
    </row>
    <row r="242" spans="2:8" s="1" customFormat="1" ht="14.5" x14ac:dyDescent="0.35">
      <c r="B242" s="3"/>
      <c r="E242" s="326"/>
      <c r="F242" s="326"/>
      <c r="G242" s="326"/>
      <c r="H242" s="326"/>
    </row>
    <row r="243" spans="2:8" s="1" customFormat="1" ht="14.5" x14ac:dyDescent="0.35">
      <c r="B243" s="3"/>
      <c r="E243" s="326"/>
      <c r="F243" s="326"/>
      <c r="G243" s="326"/>
      <c r="H243" s="326"/>
    </row>
    <row r="244" spans="2:8" s="1" customFormat="1" ht="14.5" x14ac:dyDescent="0.35">
      <c r="B244" s="3"/>
      <c r="E244" s="326"/>
      <c r="F244" s="326"/>
      <c r="G244" s="326"/>
      <c r="H244" s="326"/>
    </row>
    <row r="245" spans="2:8" s="1" customFormat="1" ht="14.5" x14ac:dyDescent="0.35">
      <c r="B245" s="3"/>
      <c r="E245" s="326"/>
      <c r="F245" s="326"/>
      <c r="G245" s="326"/>
      <c r="H245" s="326"/>
    </row>
    <row r="246" spans="2:8" s="1" customFormat="1" ht="14.5" x14ac:dyDescent="0.35">
      <c r="B246" s="3"/>
      <c r="E246" s="326"/>
      <c r="F246" s="326"/>
      <c r="G246" s="326"/>
      <c r="H246" s="326"/>
    </row>
    <row r="247" spans="2:8" s="1" customFormat="1" ht="14.5" x14ac:dyDescent="0.35">
      <c r="B247" s="3"/>
      <c r="E247" s="326"/>
      <c r="F247" s="326"/>
      <c r="G247" s="326"/>
      <c r="H247" s="326"/>
    </row>
    <row r="248" spans="2:8" s="1" customFormat="1" ht="14.5" x14ac:dyDescent="0.35">
      <c r="B248" s="3"/>
      <c r="E248" s="326"/>
      <c r="F248" s="326"/>
      <c r="G248" s="326"/>
      <c r="H248" s="326"/>
    </row>
    <row r="249" spans="2:8" s="1" customFormat="1" ht="14.5" x14ac:dyDescent="0.35">
      <c r="B249" s="3"/>
      <c r="E249" s="326"/>
      <c r="F249" s="326"/>
      <c r="G249" s="326"/>
      <c r="H249" s="326"/>
    </row>
    <row r="250" spans="2:8" s="1" customFormat="1" ht="14.5" x14ac:dyDescent="0.35">
      <c r="B250" s="3"/>
      <c r="E250" s="326"/>
      <c r="F250" s="326"/>
      <c r="G250" s="326"/>
      <c r="H250" s="326"/>
    </row>
    <row r="251" spans="2:8" s="1" customFormat="1" ht="14.5" x14ac:dyDescent="0.35">
      <c r="B251" s="3"/>
      <c r="E251" s="326"/>
      <c r="F251" s="326"/>
      <c r="G251" s="326"/>
      <c r="H251" s="326"/>
    </row>
    <row r="252" spans="2:8" s="1" customFormat="1" ht="14.5" x14ac:dyDescent="0.35">
      <c r="B252" s="3"/>
      <c r="E252" s="326"/>
      <c r="F252" s="326"/>
      <c r="G252" s="326"/>
      <c r="H252" s="326"/>
    </row>
    <row r="253" spans="2:8" s="1" customFormat="1" ht="14.5" x14ac:dyDescent="0.35">
      <c r="B253" s="3"/>
      <c r="E253" s="326"/>
      <c r="F253" s="326"/>
      <c r="G253" s="326"/>
      <c r="H253" s="326"/>
    </row>
    <row r="254" spans="2:8" s="1" customFormat="1" ht="14.5" x14ac:dyDescent="0.35">
      <c r="B254" s="3"/>
      <c r="E254" s="326"/>
      <c r="F254" s="326"/>
      <c r="G254" s="326"/>
      <c r="H254" s="326"/>
    </row>
    <row r="255" spans="2:8" s="1" customFormat="1" ht="14.5" x14ac:dyDescent="0.35">
      <c r="B255" s="3"/>
      <c r="E255" s="326"/>
      <c r="F255" s="326"/>
      <c r="G255" s="326"/>
      <c r="H255" s="326"/>
    </row>
    <row r="256" spans="2:8" s="1" customFormat="1" ht="14.5" x14ac:dyDescent="0.35">
      <c r="B256" s="3"/>
      <c r="E256" s="326"/>
      <c r="F256" s="326"/>
      <c r="G256" s="326"/>
      <c r="H256" s="326"/>
    </row>
    <row r="257" spans="2:8" s="1" customFormat="1" ht="14.5" x14ac:dyDescent="0.35">
      <c r="B257" s="3"/>
      <c r="E257" s="326"/>
      <c r="F257" s="326"/>
      <c r="G257" s="326"/>
      <c r="H257" s="326"/>
    </row>
    <row r="258" spans="2:8" s="1" customFormat="1" ht="14.5" x14ac:dyDescent="0.35">
      <c r="B258" s="3"/>
      <c r="E258" s="326"/>
      <c r="F258" s="326"/>
      <c r="G258" s="326"/>
      <c r="H258" s="326"/>
    </row>
    <row r="259" spans="2:8" s="1" customFormat="1" ht="14.5" x14ac:dyDescent="0.35">
      <c r="B259" s="3"/>
      <c r="E259" s="326"/>
      <c r="F259" s="326"/>
      <c r="G259" s="326"/>
      <c r="H259" s="326"/>
    </row>
    <row r="260" spans="2:8" s="1" customFormat="1" ht="14.5" x14ac:dyDescent="0.35">
      <c r="B260" s="3"/>
      <c r="E260" s="326"/>
      <c r="F260" s="326"/>
      <c r="G260" s="326"/>
      <c r="H260" s="326"/>
    </row>
    <row r="261" spans="2:8" s="1" customFormat="1" ht="14.5" x14ac:dyDescent="0.35">
      <c r="B261" s="3"/>
      <c r="E261" s="326"/>
      <c r="F261" s="326"/>
      <c r="G261" s="326"/>
      <c r="H261" s="326"/>
    </row>
    <row r="262" spans="2:8" s="1" customFormat="1" ht="14.5" x14ac:dyDescent="0.35">
      <c r="B262" s="3"/>
      <c r="E262" s="326"/>
      <c r="F262" s="326"/>
      <c r="G262" s="326"/>
      <c r="H262" s="326"/>
    </row>
    <row r="263" spans="2:8" s="1" customFormat="1" ht="14.5" x14ac:dyDescent="0.35">
      <c r="B263" s="3"/>
      <c r="E263" s="326"/>
      <c r="F263" s="326"/>
      <c r="G263" s="326"/>
      <c r="H263" s="326"/>
    </row>
    <row r="264" spans="2:8" s="1" customFormat="1" ht="14.5" x14ac:dyDescent="0.35">
      <c r="B264" s="3"/>
      <c r="E264" s="326"/>
      <c r="F264" s="326"/>
      <c r="G264" s="326"/>
      <c r="H264" s="326"/>
    </row>
    <row r="265" spans="2:8" s="1" customFormat="1" ht="14.5" x14ac:dyDescent="0.35">
      <c r="B265" s="3"/>
      <c r="E265" s="326"/>
      <c r="F265" s="326"/>
      <c r="G265" s="326"/>
      <c r="H265" s="326"/>
    </row>
    <row r="266" spans="2:8" s="1" customFormat="1" ht="14.5" x14ac:dyDescent="0.35">
      <c r="B266" s="3"/>
      <c r="E266" s="326"/>
      <c r="F266" s="326"/>
      <c r="G266" s="326"/>
      <c r="H266" s="326"/>
    </row>
    <row r="267" spans="2:8" s="1" customFormat="1" ht="14.5" x14ac:dyDescent="0.35">
      <c r="B267" s="3"/>
      <c r="E267" s="326"/>
      <c r="F267" s="326"/>
      <c r="G267" s="326"/>
      <c r="H267" s="326"/>
    </row>
    <row r="268" spans="2:8" s="1" customFormat="1" ht="14.5" x14ac:dyDescent="0.35">
      <c r="B268" s="3"/>
      <c r="E268" s="326"/>
      <c r="F268" s="326"/>
      <c r="G268" s="326"/>
      <c r="H268" s="326"/>
    </row>
    <row r="269" spans="2:8" s="1" customFormat="1" ht="14.5" x14ac:dyDescent="0.35">
      <c r="B269" s="3"/>
      <c r="E269" s="326"/>
      <c r="F269" s="326"/>
      <c r="G269" s="326"/>
      <c r="H269" s="326"/>
    </row>
    <row r="270" spans="2:8" s="1" customFormat="1" ht="14.5" x14ac:dyDescent="0.35">
      <c r="B270" s="3"/>
      <c r="E270" s="326"/>
      <c r="F270" s="326"/>
      <c r="G270" s="326"/>
      <c r="H270" s="326"/>
    </row>
    <row r="271" spans="2:8" s="1" customFormat="1" ht="14.5" x14ac:dyDescent="0.35">
      <c r="B271" s="3"/>
      <c r="E271" s="326"/>
      <c r="F271" s="326"/>
      <c r="G271" s="326"/>
      <c r="H271" s="326"/>
    </row>
    <row r="272" spans="2:8" s="1" customFormat="1" ht="14.5" x14ac:dyDescent="0.35">
      <c r="B272" s="3"/>
      <c r="E272" s="326"/>
      <c r="F272" s="326"/>
      <c r="G272" s="326"/>
      <c r="H272" s="326"/>
    </row>
    <row r="273" spans="2:8" s="1" customFormat="1" ht="14.5" x14ac:dyDescent="0.35">
      <c r="B273" s="3"/>
      <c r="E273" s="326"/>
      <c r="F273" s="326"/>
      <c r="G273" s="326"/>
      <c r="H273" s="326"/>
    </row>
    <row r="274" spans="2:8" s="1" customFormat="1" ht="14.5" x14ac:dyDescent="0.35">
      <c r="B274" s="3"/>
      <c r="E274" s="326"/>
      <c r="F274" s="326"/>
      <c r="G274" s="326"/>
      <c r="H274" s="326"/>
    </row>
    <row r="275" spans="2:8" s="1" customFormat="1" ht="14.5" x14ac:dyDescent="0.35">
      <c r="B275" s="3"/>
      <c r="E275" s="326"/>
      <c r="F275" s="326"/>
      <c r="G275" s="326"/>
      <c r="H275" s="326"/>
    </row>
    <row r="276" spans="2:8" s="1" customFormat="1" ht="14.5" x14ac:dyDescent="0.35">
      <c r="B276" s="3"/>
      <c r="E276" s="326"/>
      <c r="F276" s="326"/>
      <c r="G276" s="326"/>
      <c r="H276" s="326"/>
    </row>
    <row r="277" spans="2:8" s="1" customFormat="1" ht="14.5" x14ac:dyDescent="0.35">
      <c r="B277" s="3"/>
      <c r="E277" s="326"/>
      <c r="F277" s="326"/>
      <c r="G277" s="326"/>
      <c r="H277" s="326"/>
    </row>
    <row r="278" spans="2:8" s="1" customFormat="1" ht="14.5" x14ac:dyDescent="0.35">
      <c r="B278" s="3"/>
      <c r="E278" s="326"/>
      <c r="F278" s="326"/>
      <c r="G278" s="326"/>
      <c r="H278" s="326"/>
    </row>
    <row r="279" spans="2:8" s="1" customFormat="1" ht="14.5" x14ac:dyDescent="0.35">
      <c r="B279" s="3"/>
      <c r="E279" s="326"/>
      <c r="F279" s="326"/>
      <c r="G279" s="326"/>
      <c r="H279" s="326"/>
    </row>
    <row r="280" spans="2:8" s="1" customFormat="1" ht="14.5" x14ac:dyDescent="0.35">
      <c r="B280" s="3"/>
      <c r="E280" s="326"/>
      <c r="F280" s="326"/>
      <c r="G280" s="326"/>
      <c r="H280" s="326"/>
    </row>
    <row r="281" spans="2:8" s="1" customFormat="1" ht="14.5" x14ac:dyDescent="0.35">
      <c r="B281" s="3"/>
      <c r="E281" s="326"/>
      <c r="F281" s="326"/>
      <c r="G281" s="326"/>
      <c r="H281" s="326"/>
    </row>
    <row r="282" spans="2:8" s="1" customFormat="1" ht="14.5" x14ac:dyDescent="0.35">
      <c r="B282" s="3"/>
      <c r="E282" s="326"/>
      <c r="F282" s="326"/>
      <c r="G282" s="326"/>
      <c r="H282" s="326"/>
    </row>
    <row r="283" spans="2:8" s="1" customFormat="1" ht="14.5" x14ac:dyDescent="0.35">
      <c r="B283" s="3"/>
      <c r="E283" s="326"/>
      <c r="F283" s="326"/>
      <c r="G283" s="326"/>
      <c r="H283" s="326"/>
    </row>
    <row r="284" spans="2:8" s="1" customFormat="1" ht="14.5" x14ac:dyDescent="0.35">
      <c r="B284" s="3"/>
      <c r="E284" s="326"/>
      <c r="F284" s="326"/>
      <c r="G284" s="326"/>
      <c r="H284" s="326"/>
    </row>
    <row r="285" spans="2:8" s="1" customFormat="1" ht="14.5" x14ac:dyDescent="0.35">
      <c r="B285" s="3"/>
      <c r="E285" s="326"/>
      <c r="F285" s="326"/>
      <c r="G285" s="326"/>
      <c r="H285" s="326"/>
    </row>
    <row r="286" spans="2:8" s="1" customFormat="1" ht="14.5" x14ac:dyDescent="0.35">
      <c r="B286" s="3"/>
      <c r="E286" s="326"/>
      <c r="F286" s="326"/>
      <c r="G286" s="326"/>
      <c r="H286" s="326"/>
    </row>
    <row r="287" spans="2:8" s="1" customFormat="1" ht="14.5" x14ac:dyDescent="0.35">
      <c r="B287" s="3"/>
      <c r="E287" s="326"/>
      <c r="F287" s="326"/>
      <c r="G287" s="326"/>
      <c r="H287" s="326"/>
    </row>
    <row r="288" spans="2:8" s="1" customFormat="1" ht="14.5" x14ac:dyDescent="0.35">
      <c r="B288" s="3"/>
      <c r="E288" s="326"/>
      <c r="F288" s="326"/>
      <c r="G288" s="326"/>
      <c r="H288" s="326"/>
    </row>
    <row r="289" spans="2:8" s="1" customFormat="1" ht="14.5" x14ac:dyDescent="0.35">
      <c r="B289" s="3"/>
      <c r="E289" s="326"/>
      <c r="F289" s="326"/>
      <c r="G289" s="326"/>
      <c r="H289" s="326"/>
    </row>
    <row r="290" spans="2:8" s="1" customFormat="1" ht="14.5" x14ac:dyDescent="0.35">
      <c r="B290" s="3"/>
      <c r="E290" s="326"/>
      <c r="F290" s="326"/>
      <c r="G290" s="326"/>
      <c r="H290" s="326"/>
    </row>
    <row r="291" spans="2:8" s="1" customFormat="1" ht="14.5" x14ac:dyDescent="0.35">
      <c r="B291" s="3"/>
      <c r="E291" s="326"/>
      <c r="F291" s="326"/>
      <c r="G291" s="326"/>
      <c r="H291" s="326"/>
    </row>
    <row r="292" spans="2:8" s="1" customFormat="1" ht="14.5" x14ac:dyDescent="0.35">
      <c r="B292" s="3"/>
      <c r="E292" s="326"/>
      <c r="F292" s="326"/>
      <c r="G292" s="326"/>
      <c r="H292" s="326"/>
    </row>
    <row r="293" spans="2:8" s="1" customFormat="1" ht="14.5" x14ac:dyDescent="0.35">
      <c r="B293" s="3"/>
      <c r="E293" s="326"/>
      <c r="F293" s="326"/>
      <c r="G293" s="326"/>
      <c r="H293" s="326"/>
    </row>
    <row r="294" spans="2:8" s="1" customFormat="1" ht="14.5" x14ac:dyDescent="0.35">
      <c r="B294" s="3"/>
      <c r="E294" s="326"/>
      <c r="F294" s="326"/>
      <c r="G294" s="326"/>
      <c r="H294" s="326"/>
    </row>
    <row r="295" spans="2:8" s="1" customFormat="1" ht="14.5" x14ac:dyDescent="0.35">
      <c r="B295" s="3"/>
      <c r="E295" s="326"/>
      <c r="F295" s="326"/>
      <c r="G295" s="326"/>
      <c r="H295" s="326"/>
    </row>
    <row r="296" spans="2:8" s="1" customFormat="1" ht="14.5" x14ac:dyDescent="0.35">
      <c r="B296" s="3"/>
      <c r="E296" s="326"/>
      <c r="F296" s="326"/>
      <c r="G296" s="326"/>
      <c r="H296" s="326"/>
    </row>
    <row r="297" spans="2:8" s="1" customFormat="1" ht="14.5" x14ac:dyDescent="0.35">
      <c r="B297" s="3"/>
      <c r="E297" s="326"/>
      <c r="F297" s="326"/>
      <c r="G297" s="326"/>
      <c r="H297" s="326"/>
    </row>
    <row r="298" spans="2:8" s="1" customFormat="1" ht="14.5" x14ac:dyDescent="0.35">
      <c r="B298" s="3"/>
      <c r="E298" s="326"/>
      <c r="F298" s="326"/>
      <c r="G298" s="326"/>
      <c r="H298" s="326"/>
    </row>
    <row r="299" spans="2:8" s="1" customFormat="1" ht="14.5" x14ac:dyDescent="0.35">
      <c r="B299" s="3"/>
      <c r="E299" s="326"/>
      <c r="F299" s="326"/>
      <c r="G299" s="326"/>
      <c r="H299" s="326"/>
    </row>
    <row r="300" spans="2:8" s="1" customFormat="1" ht="14.5" x14ac:dyDescent="0.35">
      <c r="B300" s="3"/>
      <c r="E300" s="326"/>
      <c r="F300" s="326"/>
      <c r="G300" s="326"/>
      <c r="H300" s="326"/>
    </row>
    <row r="301" spans="2:8" s="1" customFormat="1" ht="14.5" x14ac:dyDescent="0.35">
      <c r="B301" s="3"/>
      <c r="E301" s="326"/>
      <c r="F301" s="326"/>
      <c r="G301" s="326"/>
      <c r="H301" s="326"/>
    </row>
    <row r="302" spans="2:8" s="1" customFormat="1" ht="14.5" x14ac:dyDescent="0.35">
      <c r="B302" s="3"/>
      <c r="E302" s="326"/>
      <c r="F302" s="326"/>
      <c r="G302" s="326"/>
      <c r="H302" s="326"/>
    </row>
    <row r="303" spans="2:8" s="1" customFormat="1" ht="14.5" x14ac:dyDescent="0.35">
      <c r="B303" s="3"/>
      <c r="E303" s="326"/>
      <c r="F303" s="326"/>
      <c r="G303" s="326"/>
      <c r="H303" s="326"/>
    </row>
    <row r="304" spans="2:8" s="1" customFormat="1" ht="14.5" x14ac:dyDescent="0.35">
      <c r="B304" s="3"/>
      <c r="E304" s="326"/>
      <c r="F304" s="326"/>
      <c r="G304" s="326"/>
      <c r="H304" s="326"/>
    </row>
    <row r="305" spans="2:8" s="1" customFormat="1" ht="14.5" x14ac:dyDescent="0.35">
      <c r="B305" s="3"/>
      <c r="E305" s="326"/>
      <c r="F305" s="326"/>
      <c r="G305" s="326"/>
      <c r="H305" s="326"/>
    </row>
    <row r="306" spans="2:8" s="1" customFormat="1" ht="14.5" x14ac:dyDescent="0.35">
      <c r="B306" s="3"/>
      <c r="E306" s="326"/>
      <c r="F306" s="326"/>
      <c r="G306" s="326"/>
      <c r="H306" s="326"/>
    </row>
    <row r="307" spans="2:8" s="1" customFormat="1" ht="14.5" x14ac:dyDescent="0.35">
      <c r="B307" s="3"/>
      <c r="E307" s="326"/>
      <c r="F307" s="326"/>
      <c r="G307" s="326"/>
      <c r="H307" s="326"/>
    </row>
    <row r="308" spans="2:8" s="1" customFormat="1" ht="14.5" x14ac:dyDescent="0.35">
      <c r="B308" s="3"/>
      <c r="E308" s="326"/>
      <c r="F308" s="326"/>
      <c r="G308" s="326"/>
      <c r="H308" s="326"/>
    </row>
    <row r="309" spans="2:8" s="1" customFormat="1" ht="14.5" x14ac:dyDescent="0.35">
      <c r="B309" s="3"/>
      <c r="E309" s="326"/>
      <c r="F309" s="326"/>
      <c r="G309" s="326"/>
      <c r="H309" s="326"/>
    </row>
    <row r="310" spans="2:8" s="1" customFormat="1" ht="14.5" x14ac:dyDescent="0.35">
      <c r="B310" s="3"/>
      <c r="E310" s="326"/>
      <c r="F310" s="326"/>
      <c r="G310" s="326"/>
      <c r="H310" s="326"/>
    </row>
    <row r="311" spans="2:8" s="1" customFormat="1" ht="14.5" x14ac:dyDescent="0.35">
      <c r="B311" s="3"/>
      <c r="E311" s="326"/>
      <c r="F311" s="326"/>
      <c r="G311" s="326"/>
      <c r="H311" s="326"/>
    </row>
    <row r="312" spans="2:8" s="1" customFormat="1" ht="14.5" x14ac:dyDescent="0.35">
      <c r="B312" s="3"/>
      <c r="E312" s="326"/>
      <c r="F312" s="326"/>
      <c r="G312" s="326"/>
      <c r="H312" s="326"/>
    </row>
    <row r="313" spans="2:8" s="1" customFormat="1" ht="14.5" x14ac:dyDescent="0.35">
      <c r="B313" s="3"/>
      <c r="E313" s="326"/>
      <c r="F313" s="326"/>
      <c r="G313" s="326"/>
      <c r="H313" s="326"/>
    </row>
    <row r="314" spans="2:8" s="1" customFormat="1" ht="14.5" x14ac:dyDescent="0.35">
      <c r="B314" s="3"/>
      <c r="E314" s="326"/>
      <c r="F314" s="326"/>
      <c r="G314" s="326"/>
      <c r="H314" s="326"/>
    </row>
    <row r="315" spans="2:8" s="1" customFormat="1" ht="14.5" x14ac:dyDescent="0.35">
      <c r="B315" s="3"/>
      <c r="E315" s="326"/>
      <c r="F315" s="326"/>
      <c r="G315" s="326"/>
      <c r="H315" s="326"/>
    </row>
    <row r="316" spans="2:8" s="1" customFormat="1" ht="14.5" x14ac:dyDescent="0.35">
      <c r="B316" s="3"/>
      <c r="E316" s="326"/>
      <c r="F316" s="326"/>
      <c r="G316" s="326"/>
      <c r="H316" s="326"/>
    </row>
    <row r="317" spans="2:8" s="1" customFormat="1" ht="14.5" x14ac:dyDescent="0.35">
      <c r="B317" s="3"/>
      <c r="E317" s="326"/>
      <c r="F317" s="326"/>
      <c r="G317" s="326"/>
      <c r="H317" s="326"/>
    </row>
    <row r="318" spans="2:8" s="1" customFormat="1" ht="14.5" x14ac:dyDescent="0.35">
      <c r="B318" s="3"/>
      <c r="E318" s="326"/>
      <c r="F318" s="326"/>
      <c r="G318" s="326"/>
      <c r="H318" s="326"/>
    </row>
    <row r="319" spans="2:8" s="1" customFormat="1" ht="14.5" x14ac:dyDescent="0.35">
      <c r="B319" s="3"/>
      <c r="E319" s="326"/>
      <c r="F319" s="326"/>
      <c r="G319" s="326"/>
      <c r="H319" s="326"/>
    </row>
    <row r="320" spans="2:8" s="1" customFormat="1" ht="14.5" x14ac:dyDescent="0.35">
      <c r="B320" s="3"/>
      <c r="E320" s="326"/>
      <c r="F320" s="326"/>
      <c r="G320" s="326"/>
      <c r="H320" s="326"/>
    </row>
    <row r="321" spans="2:8" s="1" customFormat="1" ht="14.5" x14ac:dyDescent="0.35">
      <c r="B321" s="3"/>
      <c r="E321" s="326"/>
      <c r="F321" s="326"/>
      <c r="G321" s="326"/>
      <c r="H321" s="326"/>
    </row>
    <row r="322" spans="2:8" s="1" customFormat="1" ht="14.5" x14ac:dyDescent="0.35">
      <c r="B322" s="3"/>
      <c r="E322" s="326"/>
      <c r="F322" s="326"/>
      <c r="G322" s="326"/>
      <c r="H322" s="326"/>
    </row>
    <row r="323" spans="2:8" s="1" customFormat="1" ht="14.5" x14ac:dyDescent="0.35">
      <c r="B323" s="3"/>
      <c r="E323" s="326"/>
      <c r="F323" s="326"/>
      <c r="G323" s="326"/>
      <c r="H323" s="326"/>
    </row>
    <row r="324" spans="2:8" s="1" customFormat="1" ht="14.5" x14ac:dyDescent="0.35">
      <c r="B324" s="3"/>
      <c r="E324" s="326"/>
      <c r="F324" s="326"/>
      <c r="G324" s="326"/>
      <c r="H324" s="326"/>
    </row>
    <row r="325" spans="2:8" s="1" customFormat="1" ht="14.5" x14ac:dyDescent="0.35">
      <c r="B325" s="3"/>
      <c r="E325" s="326"/>
      <c r="F325" s="326"/>
      <c r="G325" s="326"/>
      <c r="H325" s="326"/>
    </row>
    <row r="326" spans="2:8" s="1" customFormat="1" ht="14.5" x14ac:dyDescent="0.35">
      <c r="B326" s="3"/>
      <c r="E326" s="326"/>
      <c r="F326" s="326"/>
      <c r="G326" s="326"/>
      <c r="H326" s="326"/>
    </row>
    <row r="327" spans="2:8" s="1" customFormat="1" ht="14.5" x14ac:dyDescent="0.35">
      <c r="B327" s="3"/>
      <c r="E327" s="326"/>
      <c r="F327" s="326"/>
      <c r="G327" s="326"/>
      <c r="H327" s="326"/>
    </row>
    <row r="328" spans="2:8" s="1" customFormat="1" ht="14.5" x14ac:dyDescent="0.35">
      <c r="B328" s="3"/>
      <c r="E328" s="326"/>
      <c r="F328" s="326"/>
      <c r="G328" s="326"/>
      <c r="H328" s="326"/>
    </row>
    <row r="329" spans="2:8" s="1" customFormat="1" ht="14.5" x14ac:dyDescent="0.35">
      <c r="B329" s="3"/>
      <c r="E329" s="326"/>
      <c r="F329" s="326"/>
      <c r="G329" s="326"/>
      <c r="H329" s="326"/>
    </row>
    <row r="330" spans="2:8" s="1" customFormat="1" ht="14.5" x14ac:dyDescent="0.35">
      <c r="B330" s="3"/>
      <c r="E330" s="326"/>
      <c r="F330" s="326"/>
      <c r="G330" s="326"/>
      <c r="H330" s="326"/>
    </row>
    <row r="331" spans="2:8" s="1" customFormat="1" ht="14.5" x14ac:dyDescent="0.35">
      <c r="B331" s="3"/>
      <c r="E331" s="326"/>
      <c r="F331" s="326"/>
      <c r="G331" s="326"/>
      <c r="H331" s="326"/>
    </row>
    <row r="332" spans="2:8" s="1" customFormat="1" ht="14.5" x14ac:dyDescent="0.35">
      <c r="B332" s="3"/>
      <c r="E332" s="326"/>
      <c r="F332" s="326"/>
      <c r="G332" s="326"/>
      <c r="H332" s="326"/>
    </row>
    <row r="333" spans="2:8" s="1" customFormat="1" ht="14.5" x14ac:dyDescent="0.35">
      <c r="B333" s="3"/>
      <c r="E333" s="326"/>
      <c r="F333" s="326"/>
      <c r="G333" s="326"/>
      <c r="H333" s="326"/>
    </row>
    <row r="334" spans="2:8" s="1" customFormat="1" ht="14.5" x14ac:dyDescent="0.35">
      <c r="B334" s="3"/>
      <c r="E334" s="326"/>
      <c r="F334" s="326"/>
      <c r="G334" s="326"/>
      <c r="H334" s="326"/>
    </row>
    <row r="335" spans="2:8" s="1" customFormat="1" ht="14.5" x14ac:dyDescent="0.35">
      <c r="B335" s="3"/>
      <c r="E335" s="326"/>
      <c r="F335" s="326"/>
      <c r="G335" s="326"/>
      <c r="H335" s="326"/>
    </row>
    <row r="336" spans="2:8" s="1" customFormat="1" ht="14.5" x14ac:dyDescent="0.35">
      <c r="B336" s="3"/>
      <c r="E336" s="326"/>
      <c r="F336" s="326"/>
      <c r="G336" s="326"/>
      <c r="H336" s="326"/>
    </row>
    <row r="337" spans="1:9" s="1" customFormat="1" ht="14.5" x14ac:dyDescent="0.35">
      <c r="B337" s="3"/>
      <c r="E337" s="326"/>
      <c r="F337" s="326"/>
      <c r="G337" s="326"/>
      <c r="H337" s="326"/>
    </row>
    <row r="338" spans="1:9" x14ac:dyDescent="0.35">
      <c r="A338" s="1"/>
      <c r="B338" s="3"/>
      <c r="C338" s="1"/>
      <c r="D338" s="1"/>
      <c r="E338" s="326"/>
      <c r="F338" s="326"/>
      <c r="G338" s="326"/>
      <c r="H338" s="326"/>
      <c r="I338" s="1"/>
    </row>
    <row r="339" spans="1:9" x14ac:dyDescent="0.35">
      <c r="A339" s="1"/>
      <c r="B339" s="3"/>
      <c r="C339" s="1"/>
      <c r="D339" s="1"/>
      <c r="E339" s="326"/>
      <c r="F339" s="326"/>
      <c r="G339" s="326"/>
      <c r="H339" s="326"/>
      <c r="I339" s="1"/>
    </row>
    <row r="340" spans="1:9" x14ac:dyDescent="0.35">
      <c r="A340" s="1"/>
      <c r="B340" s="3"/>
      <c r="C340" s="1"/>
      <c r="D340" s="1"/>
      <c r="E340" s="326"/>
      <c r="F340" s="326"/>
      <c r="G340" s="326"/>
      <c r="H340" s="326"/>
      <c r="I340" s="1"/>
    </row>
    <row r="341" spans="1:9" x14ac:dyDescent="0.35">
      <c r="A341" s="1"/>
      <c r="B341" s="3"/>
      <c r="C341" s="1"/>
      <c r="D341" s="1"/>
      <c r="E341" s="326"/>
      <c r="F341" s="326"/>
      <c r="G341" s="326"/>
      <c r="H341" s="326"/>
      <c r="I341" s="1"/>
    </row>
    <row r="342" spans="1:9" x14ac:dyDescent="0.35">
      <c r="A342" s="1"/>
      <c r="B342" s="3"/>
      <c r="C342" s="1"/>
      <c r="D342" s="1"/>
      <c r="E342" s="326"/>
      <c r="F342" s="326"/>
      <c r="G342" s="326"/>
      <c r="H342" s="326"/>
      <c r="I342" s="1"/>
    </row>
    <row r="343" spans="1:9" x14ac:dyDescent="0.35">
      <c r="A343" s="1"/>
      <c r="B343" s="3"/>
      <c r="C343" s="1"/>
      <c r="D343" s="1"/>
      <c r="E343" s="326"/>
      <c r="F343" s="326"/>
      <c r="G343" s="326"/>
      <c r="H343" s="326"/>
      <c r="I343" s="1"/>
    </row>
    <row r="344" spans="1:9" x14ac:dyDescent="0.35">
      <c r="A344" s="1"/>
      <c r="B344" s="3"/>
      <c r="C344" s="1"/>
      <c r="D344" s="1"/>
      <c r="E344" s="326"/>
      <c r="F344" s="326"/>
      <c r="G344" s="326"/>
      <c r="H344" s="326"/>
      <c r="I344" s="1"/>
    </row>
    <row r="345" spans="1:9" x14ac:dyDescent="0.35">
      <c r="A345" s="1"/>
      <c r="B345" s="3"/>
      <c r="C345" s="1"/>
      <c r="D345" s="1"/>
      <c r="E345" s="326"/>
      <c r="F345" s="326"/>
      <c r="G345" s="326"/>
      <c r="H345" s="326"/>
      <c r="I345" s="1"/>
    </row>
    <row r="346" spans="1:9" x14ac:dyDescent="0.35">
      <c r="A346" s="1"/>
      <c r="B346" s="3"/>
      <c r="C346" s="1"/>
      <c r="D346" s="1"/>
      <c r="E346" s="326"/>
      <c r="F346" s="326"/>
      <c r="G346" s="326"/>
      <c r="H346" s="326"/>
      <c r="I346" s="1"/>
    </row>
    <row r="347" spans="1:9" x14ac:dyDescent="0.35">
      <c r="A347" s="1"/>
      <c r="B347" s="3"/>
      <c r="C347" s="1"/>
      <c r="D347" s="1"/>
      <c r="E347" s="326"/>
      <c r="F347" s="326"/>
      <c r="G347" s="326"/>
      <c r="H347" s="326"/>
      <c r="I347" s="1"/>
    </row>
    <row r="348" spans="1:9" x14ac:dyDescent="0.35">
      <c r="A348" s="1"/>
      <c r="B348" s="3"/>
      <c r="C348" s="1"/>
      <c r="D348" s="1"/>
      <c r="E348" s="326"/>
      <c r="F348" s="326"/>
      <c r="G348" s="326"/>
      <c r="H348" s="326"/>
      <c r="I348" s="1"/>
    </row>
    <row r="349" spans="1:9" x14ac:dyDescent="0.35">
      <c r="A349" s="1"/>
      <c r="B349" s="3"/>
      <c r="C349" s="1"/>
      <c r="D349" s="1"/>
      <c r="E349" s="326"/>
      <c r="F349" s="326"/>
      <c r="G349" s="326"/>
      <c r="H349" s="326"/>
      <c r="I349" s="1"/>
    </row>
    <row r="350" spans="1:9" x14ac:dyDescent="0.35">
      <c r="A350" s="1"/>
      <c r="B350" s="3"/>
      <c r="C350" s="1"/>
      <c r="D350" s="1"/>
      <c r="E350" s="326"/>
      <c r="F350" s="326"/>
      <c r="G350" s="326"/>
      <c r="H350" s="326"/>
      <c r="I350" s="1"/>
    </row>
  </sheetData>
  <mergeCells count="44">
    <mergeCell ref="C14:D14"/>
    <mergeCell ref="C15:D15"/>
    <mergeCell ref="C16:D16"/>
    <mergeCell ref="D4:G4"/>
    <mergeCell ref="B1:J1"/>
    <mergeCell ref="B2:J2"/>
    <mergeCell ref="E23:F23"/>
    <mergeCell ref="E31:F31"/>
    <mergeCell ref="F32:G32"/>
    <mergeCell ref="F33:G33"/>
    <mergeCell ref="C17:D17"/>
    <mergeCell ref="E39:F39"/>
    <mergeCell ref="E47:F47"/>
    <mergeCell ref="F48:G48"/>
    <mergeCell ref="E54:F54"/>
    <mergeCell ref="E62:F62"/>
    <mergeCell ref="E99:F99"/>
    <mergeCell ref="E84:F84"/>
    <mergeCell ref="E92:F92"/>
    <mergeCell ref="F93:G93"/>
    <mergeCell ref="F63:G63"/>
    <mergeCell ref="E69:F69"/>
    <mergeCell ref="E77:F77"/>
    <mergeCell ref="F78:G78"/>
    <mergeCell ref="E107:F107"/>
    <mergeCell ref="F108:G108"/>
    <mergeCell ref="E114:F114"/>
    <mergeCell ref="E122:F122"/>
    <mergeCell ref="F123:G123"/>
    <mergeCell ref="E129:F129"/>
    <mergeCell ref="E137:F137"/>
    <mergeCell ref="F138:G138"/>
    <mergeCell ref="E144:F144"/>
    <mergeCell ref="E152:F152"/>
    <mergeCell ref="F153:G153"/>
    <mergeCell ref="E159:F159"/>
    <mergeCell ref="E167:F167"/>
    <mergeCell ref="F168:G168"/>
    <mergeCell ref="E174:F174"/>
    <mergeCell ref="E189:F189"/>
    <mergeCell ref="E182:F182"/>
    <mergeCell ref="F183:G183"/>
    <mergeCell ref="E196:F196"/>
    <mergeCell ref="F197:G197"/>
  </mergeCells>
  <phoneticPr fontId="35" type="noConversion"/>
  <pageMargins left="0.7" right="0.7" top="0.75" bottom="0.75" header="0.3" footer="0.3"/>
  <pageSetup scale="63" fitToHeight="8" orientation="landscape" horizontalDpi="4294967293" r:id="rId1"/>
  <rowBreaks count="3" manualBreakCount="3">
    <brk id="33" max="13" man="1"/>
    <brk id="47" max="13" man="1"/>
    <brk id="61" max="1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pageSetUpPr fitToPage="1"/>
  </sheetPr>
  <dimension ref="A1:R491"/>
  <sheetViews>
    <sheetView showGridLines="0" topLeftCell="A115" zoomScaleNormal="100" workbookViewId="0">
      <selection activeCell="N131" sqref="N131"/>
    </sheetView>
  </sheetViews>
  <sheetFormatPr defaultColWidth="8.84375" defaultRowHeight="15.5" x14ac:dyDescent="0.35"/>
  <cols>
    <col min="1" max="1" width="7.765625" customWidth="1"/>
    <col min="2" max="2" width="8" style="74" customWidth="1"/>
    <col min="3" max="4" width="10.53515625" customWidth="1"/>
    <col min="5" max="6" width="12.61328125" customWidth="1"/>
    <col min="7" max="7" width="12.61328125" style="77" customWidth="1"/>
    <col min="8" max="8" width="12.61328125" customWidth="1"/>
    <col min="9" max="9" width="12.61328125" style="74" customWidth="1"/>
    <col min="10" max="10" width="7.3828125" style="168" customWidth="1"/>
    <col min="11" max="14" width="12.61328125" customWidth="1"/>
    <col min="15" max="16" width="8.765625" customWidth="1"/>
  </cols>
  <sheetData>
    <row r="1" spans="1:18" ht="21" x14ac:dyDescent="0.5">
      <c r="B1" s="531" t="s">
        <v>319</v>
      </c>
      <c r="C1" s="531"/>
      <c r="D1" s="531"/>
      <c r="E1" s="531"/>
      <c r="F1" s="531"/>
      <c r="G1" s="531"/>
      <c r="H1" s="531"/>
      <c r="I1" s="531"/>
      <c r="J1" s="531"/>
      <c r="K1" s="1"/>
      <c r="L1" s="1"/>
      <c r="M1" s="1"/>
      <c r="N1" s="1"/>
      <c r="O1" s="1"/>
      <c r="P1" s="1"/>
      <c r="Q1" s="1"/>
      <c r="R1" s="1"/>
    </row>
    <row r="2" spans="1:18" ht="18.5" x14ac:dyDescent="0.35">
      <c r="B2" s="533" t="str">
        <f>SAO!A2</f>
        <v>Laurel County Water District #2</v>
      </c>
      <c r="C2" s="533"/>
      <c r="D2" s="533"/>
      <c r="E2" s="533"/>
      <c r="F2" s="533"/>
      <c r="G2" s="533"/>
      <c r="H2" s="533"/>
      <c r="I2" s="533"/>
      <c r="J2" s="533"/>
      <c r="K2" s="1"/>
      <c r="L2" s="1"/>
      <c r="M2" s="1"/>
      <c r="N2" s="1"/>
      <c r="O2" s="1"/>
      <c r="P2" s="1"/>
      <c r="Q2" s="1"/>
      <c r="R2" s="1"/>
    </row>
    <row r="3" spans="1:18" ht="18.5" x14ac:dyDescent="0.35">
      <c r="A3" s="297"/>
      <c r="B3" s="73"/>
      <c r="C3" s="19"/>
      <c r="D3" s="19"/>
      <c r="E3" s="19"/>
      <c r="F3" s="19"/>
      <c r="G3" s="298"/>
      <c r="H3" s="19"/>
      <c r="I3" s="3"/>
      <c r="J3" s="167"/>
      <c r="K3" s="1"/>
      <c r="L3" s="1"/>
      <c r="M3" s="1"/>
      <c r="N3" s="1"/>
      <c r="O3" s="1"/>
      <c r="P3" s="1"/>
      <c r="Q3" s="1"/>
      <c r="R3" s="1"/>
    </row>
    <row r="4" spans="1:18" x14ac:dyDescent="0.35">
      <c r="A4" s="308"/>
      <c r="B4" s="1"/>
      <c r="C4" s="309"/>
      <c r="D4" s="529" t="s">
        <v>46</v>
      </c>
      <c r="E4" s="529"/>
      <c r="F4" s="529"/>
      <c r="G4" s="529"/>
      <c r="H4" s="371"/>
      <c r="I4" s="1"/>
      <c r="J4" s="309"/>
      <c r="K4" s="1"/>
      <c r="L4" s="1"/>
      <c r="M4" s="1"/>
      <c r="N4" s="1"/>
      <c r="O4" s="1"/>
      <c r="P4" s="1"/>
      <c r="Q4" s="1"/>
      <c r="R4" s="1"/>
    </row>
    <row r="5" spans="1:18" x14ac:dyDescent="0.35">
      <c r="A5" s="1"/>
      <c r="B5" s="1"/>
      <c r="C5" s="310" t="s">
        <v>105</v>
      </c>
      <c r="E5" s="367" t="s">
        <v>48</v>
      </c>
      <c r="F5" s="367" t="s">
        <v>49</v>
      </c>
      <c r="G5" s="367" t="s">
        <v>52</v>
      </c>
      <c r="H5" s="367"/>
      <c r="I5" s="9"/>
      <c r="J5" s="311"/>
      <c r="K5" s="1"/>
      <c r="L5" s="1"/>
      <c r="M5" s="1"/>
      <c r="N5" s="1"/>
      <c r="O5" s="1"/>
      <c r="P5" s="1"/>
      <c r="Q5" s="1"/>
      <c r="R5" s="1"/>
    </row>
    <row r="6" spans="1:18" s="1" customFormat="1" x14ac:dyDescent="0.35">
      <c r="C6" s="310" t="s">
        <v>246</v>
      </c>
      <c r="D6"/>
      <c r="E6" s="367">
        <f>D29</f>
        <v>75135</v>
      </c>
      <c r="F6" s="367">
        <f>E29</f>
        <v>280728652</v>
      </c>
      <c r="G6" s="389">
        <f>H37</f>
        <v>2745786</v>
      </c>
      <c r="H6" s="367"/>
      <c r="I6" s="9"/>
      <c r="J6" s="311"/>
    </row>
    <row r="7" spans="1:18" s="1" customFormat="1" x14ac:dyDescent="0.35">
      <c r="C7" s="310" t="s">
        <v>247</v>
      </c>
      <c r="D7"/>
      <c r="E7" s="367">
        <f>D45</f>
        <v>541</v>
      </c>
      <c r="F7" s="367">
        <f>E45</f>
        <v>12765680</v>
      </c>
      <c r="G7" s="390">
        <f>H52</f>
        <v>95756</v>
      </c>
      <c r="H7" s="367"/>
      <c r="I7" s="9"/>
      <c r="J7" s="311"/>
      <c r="O7" s="296">
        <f>(G7-ExBA!G7)/ExBA!G7</f>
        <v>0.15750791770422842</v>
      </c>
    </row>
    <row r="8" spans="1:18" s="1" customFormat="1" x14ac:dyDescent="0.35">
      <c r="C8" s="310" t="s">
        <v>248</v>
      </c>
      <c r="D8"/>
      <c r="E8" s="367">
        <f>D60</f>
        <v>96</v>
      </c>
      <c r="F8" s="367">
        <f>E60</f>
        <v>1852100</v>
      </c>
      <c r="G8" s="390">
        <f>H67</f>
        <v>14831</v>
      </c>
      <c r="H8" s="367"/>
      <c r="I8" s="9"/>
      <c r="J8" s="311"/>
      <c r="L8" s="70"/>
    </row>
    <row r="9" spans="1:18" s="1" customFormat="1" x14ac:dyDescent="0.35">
      <c r="C9" s="86" t="s">
        <v>249</v>
      </c>
      <c r="D9"/>
      <c r="E9" s="367">
        <f>D75</f>
        <v>287</v>
      </c>
      <c r="F9" s="367">
        <f>E75</f>
        <v>17251310</v>
      </c>
      <c r="G9" s="390">
        <f>H82</f>
        <v>130174</v>
      </c>
      <c r="H9" s="367"/>
      <c r="I9" s="9"/>
      <c r="J9" s="311"/>
      <c r="L9" s="70"/>
    </row>
    <row r="10" spans="1:18" s="1" customFormat="1" x14ac:dyDescent="0.35">
      <c r="C10" s="86" t="s">
        <v>264</v>
      </c>
      <c r="D10"/>
      <c r="E10" s="362">
        <f>D90</f>
        <v>36</v>
      </c>
      <c r="F10" s="372">
        <f>E90</f>
        <v>5223800</v>
      </c>
      <c r="G10" s="391">
        <f>H97</f>
        <v>35957</v>
      </c>
      <c r="H10" s="363"/>
      <c r="I10" s="12"/>
      <c r="J10" s="312"/>
      <c r="L10" s="70"/>
    </row>
    <row r="11" spans="1:18" s="1" customFormat="1" x14ac:dyDescent="0.35">
      <c r="C11" s="86" t="s">
        <v>265</v>
      </c>
      <c r="D11" s="26"/>
      <c r="E11" s="362">
        <f>D105</f>
        <v>48</v>
      </c>
      <c r="F11" s="372">
        <f>E105</f>
        <v>80626400</v>
      </c>
      <c r="G11" s="391">
        <f>H112</f>
        <v>495174</v>
      </c>
      <c r="H11" s="363"/>
      <c r="I11" s="12"/>
      <c r="J11" s="312"/>
      <c r="L11" s="70"/>
    </row>
    <row r="12" spans="1:18" s="1" customFormat="1" x14ac:dyDescent="0.35">
      <c r="C12" s="86" t="s">
        <v>266</v>
      </c>
      <c r="D12" s="26"/>
      <c r="E12" s="362">
        <f>D120</f>
        <v>96</v>
      </c>
      <c r="F12" s="372">
        <f>E120</f>
        <v>592350</v>
      </c>
      <c r="G12" s="391">
        <f>H127</f>
        <v>7298</v>
      </c>
      <c r="H12" s="363"/>
      <c r="I12" s="12"/>
      <c r="J12" s="312"/>
      <c r="L12" s="70"/>
    </row>
    <row r="13" spans="1:18" s="1" customFormat="1" x14ac:dyDescent="0.35">
      <c r="C13" s="86" t="s">
        <v>267</v>
      </c>
      <c r="D13" s="26"/>
      <c r="E13" s="362">
        <f>D135</f>
        <v>12</v>
      </c>
      <c r="F13" s="372">
        <f>E135</f>
        <v>19740</v>
      </c>
      <c r="G13" s="391">
        <f>H142</f>
        <v>536</v>
      </c>
      <c r="H13" s="363"/>
      <c r="I13" s="12"/>
      <c r="J13" s="312"/>
      <c r="L13" s="70"/>
    </row>
    <row r="14" spans="1:18" s="1" customFormat="1" x14ac:dyDescent="0.35">
      <c r="C14" s="514" t="s">
        <v>260</v>
      </c>
      <c r="D14" s="514"/>
      <c r="E14" s="362">
        <f>D150</f>
        <v>12</v>
      </c>
      <c r="F14" s="372">
        <f>E150</f>
        <v>740000</v>
      </c>
      <c r="G14" s="391">
        <f>H157</f>
        <v>7022</v>
      </c>
      <c r="H14" s="363"/>
      <c r="I14" s="12"/>
      <c r="J14" s="312"/>
      <c r="L14" s="70"/>
    </row>
    <row r="15" spans="1:18" s="1" customFormat="1" x14ac:dyDescent="0.35">
      <c r="C15" s="514" t="s">
        <v>261</v>
      </c>
      <c r="D15" s="514"/>
      <c r="E15" s="362">
        <f>D165</f>
        <v>12</v>
      </c>
      <c r="F15" s="372">
        <f>E165</f>
        <v>3074800</v>
      </c>
      <c r="G15" s="391">
        <f>H172</f>
        <v>23902</v>
      </c>
      <c r="H15" s="363"/>
      <c r="I15" s="12"/>
      <c r="J15" s="312"/>
      <c r="L15" s="70"/>
    </row>
    <row r="16" spans="1:18" s="1" customFormat="1" x14ac:dyDescent="0.35">
      <c r="C16" s="514" t="s">
        <v>262</v>
      </c>
      <c r="D16" s="514"/>
      <c r="E16" s="362">
        <f>D180</f>
        <v>12</v>
      </c>
      <c r="F16" s="372">
        <f>E180</f>
        <v>1270300</v>
      </c>
      <c r="G16" s="391">
        <f>H187</f>
        <v>10644</v>
      </c>
      <c r="H16" s="363"/>
      <c r="I16" s="12"/>
      <c r="J16" s="312"/>
      <c r="L16" s="70"/>
    </row>
    <row r="17" spans="1:14" s="1" customFormat="1" x14ac:dyDescent="0.35">
      <c r="C17" s="514" t="s">
        <v>263</v>
      </c>
      <c r="D17" s="514"/>
      <c r="E17" s="362">
        <f>D194</f>
        <v>12</v>
      </c>
      <c r="F17" s="401">
        <f>E194</f>
        <v>6560600</v>
      </c>
      <c r="G17" s="402">
        <f>H200</f>
        <v>40722</v>
      </c>
      <c r="H17" s="363"/>
      <c r="I17" s="12"/>
      <c r="J17" s="312"/>
      <c r="K17" s="223"/>
      <c r="L17" s="70"/>
    </row>
    <row r="18" spans="1:14" s="1" customFormat="1" ht="17" x14ac:dyDescent="0.5">
      <c r="C18" s="1" t="s">
        <v>250</v>
      </c>
      <c r="D18"/>
      <c r="E18" s="368"/>
      <c r="F18" s="368"/>
      <c r="G18" s="400">
        <f>-(2887.7+20399.75+2379.06)</f>
        <v>-25666.510000000002</v>
      </c>
      <c r="H18" s="373"/>
      <c r="J18" s="309"/>
      <c r="K18" s="1" t="s">
        <v>320</v>
      </c>
      <c r="M18" s="177"/>
    </row>
    <row r="19" spans="1:14" s="1" customFormat="1" x14ac:dyDescent="0.35">
      <c r="C19" s="313" t="s">
        <v>251</v>
      </c>
      <c r="D19"/>
      <c r="E19" s="368"/>
      <c r="F19" s="368"/>
      <c r="G19" s="374">
        <f>SUM(G6:G17)+G18</f>
        <v>3582135.49</v>
      </c>
      <c r="H19" s="375"/>
      <c r="J19" s="309"/>
      <c r="K19" s="223"/>
      <c r="L19" s="71"/>
      <c r="M19" s="184"/>
      <c r="N19" s="71"/>
    </row>
    <row r="20" spans="1:14" s="1" customFormat="1" ht="14.4" customHeight="1" x14ac:dyDescent="0.5">
      <c r="C20" s="263" t="s">
        <v>56</v>
      </c>
      <c r="D20"/>
      <c r="E20" s="368"/>
      <c r="F20" s="368"/>
      <c r="G20" s="373">
        <f>SAO!G61</f>
        <v>3578113.4783913521</v>
      </c>
      <c r="H20" s="376"/>
      <c r="J20" s="309"/>
      <c r="L20" s="184"/>
      <c r="M20" s="184"/>
      <c r="N20" s="3"/>
    </row>
    <row r="21" spans="1:14" s="1" customFormat="1" ht="14.4" customHeight="1" x14ac:dyDescent="0.35">
      <c r="A21" s="86"/>
      <c r="C21" s="313" t="s">
        <v>252</v>
      </c>
      <c r="D21"/>
      <c r="E21" s="368"/>
      <c r="F21" s="368"/>
      <c r="G21" s="374">
        <f>G19-G20</f>
        <v>4022.0116086481139</v>
      </c>
      <c r="H21" s="375"/>
      <c r="J21" s="309"/>
      <c r="L21" s="184"/>
      <c r="M21" s="184"/>
      <c r="N21" s="3"/>
    </row>
    <row r="22" spans="1:14" s="1" customFormat="1" ht="14.4" customHeight="1" x14ac:dyDescent="0.35">
      <c r="A22" s="86"/>
      <c r="D22" s="69"/>
      <c r="E22" s="316"/>
      <c r="F22" s="326"/>
      <c r="G22" s="326"/>
      <c r="H22" s="326"/>
      <c r="J22" s="309"/>
      <c r="L22" s="184"/>
      <c r="M22" s="184"/>
      <c r="N22" s="3"/>
    </row>
    <row r="23" spans="1:14" s="1" customFormat="1" ht="14.4" customHeight="1" x14ac:dyDescent="0.35">
      <c r="B23" s="206" t="s">
        <v>173</v>
      </c>
      <c r="C23" s="121"/>
      <c r="D23" s="207"/>
      <c r="E23" s="526" t="s">
        <v>169</v>
      </c>
      <c r="F23" s="526"/>
      <c r="G23" s="318"/>
      <c r="H23" s="318"/>
      <c r="I23" s="208"/>
      <c r="J23" s="209"/>
      <c r="L23" s="184"/>
      <c r="M23" s="184"/>
      <c r="N23" s="3"/>
    </row>
    <row r="24" spans="1:14" s="1" customFormat="1" ht="14.4" customHeight="1" x14ac:dyDescent="0.35">
      <c r="A24" s="71"/>
      <c r="B24" s="210"/>
      <c r="C24" s="11"/>
      <c r="D24" s="69"/>
      <c r="E24" s="369"/>
      <c r="F24" s="360" t="s">
        <v>166</v>
      </c>
      <c r="G24" s="360" t="s">
        <v>253</v>
      </c>
      <c r="H24" s="319" t="s">
        <v>167</v>
      </c>
      <c r="I24" s="9"/>
      <c r="J24" s="379"/>
      <c r="L24" s="184"/>
      <c r="M24" s="184"/>
      <c r="N24" s="3"/>
    </row>
    <row r="25" spans="1:14" s="1" customFormat="1" ht="14.4" customHeight="1" x14ac:dyDescent="0.35">
      <c r="A25" s="177"/>
      <c r="B25" s="32"/>
      <c r="C25" s="50" t="s">
        <v>47</v>
      </c>
      <c r="D25" s="67" t="s">
        <v>48</v>
      </c>
      <c r="E25" s="360" t="s">
        <v>49</v>
      </c>
      <c r="F25" s="380">
        <f>C26</f>
        <v>1000</v>
      </c>
      <c r="G25" s="381">
        <f>C27</f>
        <v>99000</v>
      </c>
      <c r="H25" s="319">
        <f>C28</f>
        <v>100000</v>
      </c>
      <c r="I25" s="9" t="s">
        <v>11</v>
      </c>
      <c r="J25" s="379"/>
      <c r="L25" s="184"/>
      <c r="M25" s="184"/>
      <c r="N25" s="3"/>
    </row>
    <row r="26" spans="1:14" s="1" customFormat="1" ht="14.4" customHeight="1" x14ac:dyDescent="0.35">
      <c r="A26" s="71"/>
      <c r="B26" s="212" t="s">
        <v>166</v>
      </c>
      <c r="C26" s="319">
        <v>1000</v>
      </c>
      <c r="D26" s="321">
        <f>9686+1788+17</f>
        <v>11491</v>
      </c>
      <c r="E26" s="321">
        <f>3838127+633727+1400</f>
        <v>4473254</v>
      </c>
      <c r="F26" s="322">
        <f>E26</f>
        <v>4473254</v>
      </c>
      <c r="G26" s="322"/>
      <c r="H26" s="322"/>
      <c r="I26" s="316">
        <f>SUM(F26:H26)</f>
        <v>4473254</v>
      </c>
      <c r="J26" s="314"/>
      <c r="L26" s="184"/>
      <c r="M26" s="184"/>
      <c r="N26" s="3"/>
    </row>
    <row r="27" spans="1:14" s="1" customFormat="1" ht="14.4" customHeight="1" x14ac:dyDescent="0.35">
      <c r="B27" s="212" t="s">
        <v>253</v>
      </c>
      <c r="C27" s="319">
        <v>99000</v>
      </c>
      <c r="D27" s="321">
        <f>61222+2372+38</f>
        <v>63632</v>
      </c>
      <c r="E27" s="321">
        <f>259979068+13254964+552500</f>
        <v>273786532</v>
      </c>
      <c r="F27" s="322">
        <f>D27*F25</f>
        <v>63632000</v>
      </c>
      <c r="G27" s="322">
        <f>E27-F27</f>
        <v>210154532</v>
      </c>
      <c r="H27" s="322"/>
      <c r="I27" s="316">
        <f>SUM(F27:H27)</f>
        <v>273786532</v>
      </c>
      <c r="J27" s="314"/>
      <c r="L27" s="185"/>
      <c r="M27" s="3"/>
      <c r="N27" s="3"/>
    </row>
    <row r="28" spans="1:14" s="1" customFormat="1" ht="14.4" customHeight="1" x14ac:dyDescent="0.5">
      <c r="A28" s="86"/>
      <c r="B28" s="315" t="s">
        <v>167</v>
      </c>
      <c r="C28" s="319">
        <v>100000</v>
      </c>
      <c r="D28" s="323">
        <f>10+2</f>
        <v>12</v>
      </c>
      <c r="E28" s="323">
        <f>2159546+309320</f>
        <v>2468866</v>
      </c>
      <c r="F28" s="325">
        <f>D28*F25</f>
        <v>12000</v>
      </c>
      <c r="G28" s="325">
        <f>D28*G25</f>
        <v>1188000</v>
      </c>
      <c r="H28" s="325">
        <f>E28-F28-G28</f>
        <v>1268866</v>
      </c>
      <c r="I28" s="325">
        <f>SUM(F28:H28)</f>
        <v>2468866</v>
      </c>
      <c r="J28" s="314"/>
      <c r="L28" s="186"/>
      <c r="M28" s="25"/>
      <c r="N28" s="25"/>
    </row>
    <row r="29" spans="1:14" s="1" customFormat="1" ht="14.4" customHeight="1" x14ac:dyDescent="0.35">
      <c r="A29" s="86"/>
      <c r="B29" s="212"/>
      <c r="C29" s="319"/>
      <c r="D29" s="316">
        <f t="shared" ref="D29:I29" si="0">SUM(D26:D28)</f>
        <v>75135</v>
      </c>
      <c r="E29" s="316">
        <f t="shared" si="0"/>
        <v>280728652</v>
      </c>
      <c r="F29" s="316">
        <f t="shared" si="0"/>
        <v>68117254</v>
      </c>
      <c r="G29" s="316">
        <f t="shared" si="0"/>
        <v>211342532</v>
      </c>
      <c r="H29" s="316">
        <f t="shared" si="0"/>
        <v>1268866</v>
      </c>
      <c r="I29" s="316">
        <f t="shared" si="0"/>
        <v>280728652</v>
      </c>
      <c r="J29" s="314"/>
      <c r="L29" s="3"/>
      <c r="M29" s="3"/>
      <c r="N29" s="3"/>
    </row>
    <row r="30" spans="1:14" s="1" customFormat="1" ht="14.4" customHeight="1" x14ac:dyDescent="0.35">
      <c r="B30" s="32"/>
      <c r="C30" s="319"/>
      <c r="D30" s="320"/>
      <c r="E30" s="363"/>
      <c r="F30" s="326"/>
      <c r="G30" s="326"/>
      <c r="H30" s="326"/>
      <c r="J30" s="211"/>
      <c r="L30" s="70"/>
    </row>
    <row r="31" spans="1:14" s="1" customFormat="1" ht="14.4" customHeight="1" x14ac:dyDescent="0.35">
      <c r="A31" s="71"/>
      <c r="B31" s="210" t="s">
        <v>172</v>
      </c>
      <c r="C31" s="360"/>
      <c r="D31" s="326"/>
      <c r="E31" s="527" t="s">
        <v>169</v>
      </c>
      <c r="F31" s="527"/>
      <c r="G31" s="362"/>
      <c r="H31" s="362"/>
      <c r="I31" s="11"/>
      <c r="J31" s="299"/>
      <c r="M31" s="3"/>
      <c r="N31" s="70"/>
    </row>
    <row r="32" spans="1:14" s="1" customFormat="1" ht="14.4" customHeight="1" x14ac:dyDescent="0.35">
      <c r="A32" s="177"/>
      <c r="B32" s="210"/>
      <c r="C32" s="360"/>
      <c r="D32" s="326"/>
      <c r="E32" s="369"/>
      <c r="F32" s="528"/>
      <c r="G32" s="528"/>
      <c r="H32" s="362"/>
      <c r="I32" s="11"/>
      <c r="J32" s="299"/>
      <c r="M32" s="3"/>
      <c r="N32" s="70"/>
    </row>
    <row r="33" spans="1:13" s="1" customFormat="1" ht="14.4" customHeight="1" x14ac:dyDescent="0.35">
      <c r="A33" s="71"/>
      <c r="B33" s="32"/>
      <c r="C33" s="319" t="s">
        <v>47</v>
      </c>
      <c r="D33" s="360" t="s">
        <v>48</v>
      </c>
      <c r="E33" s="360" t="s">
        <v>49</v>
      </c>
      <c r="F33" s="525" t="s">
        <v>51</v>
      </c>
      <c r="G33" s="525"/>
      <c r="H33" s="360" t="s">
        <v>52</v>
      </c>
      <c r="J33" s="211"/>
    </row>
    <row r="34" spans="1:13" s="1" customFormat="1" ht="14.4" customHeight="1" x14ac:dyDescent="0.35">
      <c r="A34" s="71"/>
      <c r="B34" s="212" t="s">
        <v>166</v>
      </c>
      <c r="C34" s="319">
        <f>C26</f>
        <v>1000</v>
      </c>
      <c r="D34" s="316">
        <f>D29</f>
        <v>75135</v>
      </c>
      <c r="E34" s="316">
        <f>F29</f>
        <v>68117254</v>
      </c>
      <c r="F34" s="382">
        <f>Rates!H9</f>
        <v>17.363</v>
      </c>
      <c r="G34" s="368" t="s">
        <v>102</v>
      </c>
      <c r="H34" s="316">
        <f>ROUND(D34*F34,0)</f>
        <v>1304569</v>
      </c>
      <c r="J34" s="211"/>
    </row>
    <row r="35" spans="1:13" s="1" customFormat="1" ht="14.4" customHeight="1" x14ac:dyDescent="0.35">
      <c r="A35" s="71"/>
      <c r="B35" s="212" t="s">
        <v>253</v>
      </c>
      <c r="C35" s="319">
        <f>C27</f>
        <v>99000</v>
      </c>
      <c r="D35" s="316"/>
      <c r="E35" s="316">
        <f>G29</f>
        <v>211342532</v>
      </c>
      <c r="F35" s="383">
        <f>Rates!H10</f>
        <v>6.783E-3</v>
      </c>
      <c r="G35" s="368" t="s">
        <v>165</v>
      </c>
      <c r="H35" s="316">
        <f>ROUND(E35*F35,0)</f>
        <v>1433536</v>
      </c>
      <c r="J35" s="211"/>
    </row>
    <row r="36" spans="1:13" s="1" customFormat="1" ht="14.4" customHeight="1" x14ac:dyDescent="0.5">
      <c r="A36" s="86"/>
      <c r="B36" s="315" t="s">
        <v>167</v>
      </c>
      <c r="C36" s="319">
        <f>C28</f>
        <v>100000</v>
      </c>
      <c r="D36" s="325"/>
      <c r="E36" s="325">
        <f>H29</f>
        <v>1268866</v>
      </c>
      <c r="F36" s="383">
        <f>Rates!H11</f>
        <v>6.0537000000000004E-3</v>
      </c>
      <c r="G36" s="368" t="s">
        <v>165</v>
      </c>
      <c r="H36" s="325">
        <f t="shared" ref="H36" si="1">ROUND(E36*F36,0)</f>
        <v>7681</v>
      </c>
      <c r="J36" s="211"/>
    </row>
    <row r="37" spans="1:13" s="1" customFormat="1" ht="14.4" customHeight="1" x14ac:dyDescent="0.35">
      <c r="A37" s="86"/>
      <c r="B37" s="306"/>
      <c r="C37" s="237"/>
      <c r="D37" s="328"/>
      <c r="E37" s="328">
        <f>SUM(E34:E36)</f>
        <v>280728652</v>
      </c>
      <c r="F37" s="328"/>
      <c r="G37" s="328"/>
      <c r="H37" s="378">
        <f>SUM(H34:H36)</f>
        <v>2745786</v>
      </c>
      <c r="I37" s="198"/>
      <c r="J37" s="213"/>
    </row>
    <row r="38" spans="1:13" s="1" customFormat="1" ht="14.4" customHeight="1" x14ac:dyDescent="0.35">
      <c r="B38" s="71"/>
      <c r="C38" s="11"/>
      <c r="D38" s="316"/>
      <c r="E38" s="316"/>
      <c r="F38" s="316"/>
      <c r="G38" s="316"/>
      <c r="H38" s="316"/>
      <c r="J38" s="189"/>
    </row>
    <row r="39" spans="1:13" s="1" customFormat="1" ht="14.4" customHeight="1" x14ac:dyDescent="0.35">
      <c r="A39" s="71"/>
      <c r="B39" s="206" t="s">
        <v>173</v>
      </c>
      <c r="C39" s="121"/>
      <c r="D39" s="361"/>
      <c r="E39" s="526" t="s">
        <v>106</v>
      </c>
      <c r="F39" s="526"/>
      <c r="G39" s="318"/>
      <c r="H39" s="318"/>
      <c r="I39" s="208"/>
      <c r="J39" s="209"/>
    </row>
    <row r="40" spans="1:13" s="1" customFormat="1" ht="14.4" customHeight="1" x14ac:dyDescent="0.35">
      <c r="A40" s="71"/>
      <c r="B40" s="210"/>
      <c r="C40" s="11"/>
      <c r="D40" s="320"/>
      <c r="E40" s="369"/>
      <c r="F40" s="320" t="s">
        <v>166</v>
      </c>
      <c r="G40" s="320" t="s">
        <v>253</v>
      </c>
      <c r="H40" s="320" t="s">
        <v>167</v>
      </c>
      <c r="J40" s="211"/>
    </row>
    <row r="41" spans="1:13" s="1" customFormat="1" ht="14.4" customHeight="1" x14ac:dyDescent="0.35">
      <c r="A41" s="71"/>
      <c r="B41" s="32"/>
      <c r="C41" s="50" t="s">
        <v>47</v>
      </c>
      <c r="D41" s="360" t="s">
        <v>48</v>
      </c>
      <c r="E41" s="360" t="s">
        <v>49</v>
      </c>
      <c r="F41" s="329">
        <f>C42</f>
        <v>5000</v>
      </c>
      <c r="G41" s="329">
        <f>C43</f>
        <v>95000</v>
      </c>
      <c r="H41" s="329">
        <f>C44</f>
        <v>100000</v>
      </c>
      <c r="I41" s="71" t="s">
        <v>11</v>
      </c>
      <c r="J41" s="211"/>
    </row>
    <row r="42" spans="1:13" s="1" customFormat="1" ht="14.4" customHeight="1" x14ac:dyDescent="0.35">
      <c r="A42" s="71"/>
      <c r="B42" s="212" t="s">
        <v>166</v>
      </c>
      <c r="C42" s="316">
        <v>5000</v>
      </c>
      <c r="D42" s="321">
        <f>299+4</f>
        <v>303</v>
      </c>
      <c r="E42" s="321">
        <f>524220+3440</f>
        <v>527660</v>
      </c>
      <c r="F42" s="322">
        <f>E42</f>
        <v>527660</v>
      </c>
      <c r="G42" s="322"/>
      <c r="H42" s="322"/>
      <c r="I42" s="316">
        <f>SUM(F42:H42)</f>
        <v>527660</v>
      </c>
      <c r="J42" s="211"/>
    </row>
    <row r="43" spans="1:13" s="1" customFormat="1" ht="14.4" customHeight="1" x14ac:dyDescent="0.35">
      <c r="A43" s="86"/>
      <c r="B43" s="212" t="s">
        <v>253</v>
      </c>
      <c r="C43" s="316">
        <v>95000</v>
      </c>
      <c r="D43" s="321">
        <f>193+3</f>
        <v>196</v>
      </c>
      <c r="E43" s="321">
        <f>3402800+173600</f>
        <v>3576400</v>
      </c>
      <c r="F43" s="322">
        <f>D43*F41</f>
        <v>980000</v>
      </c>
      <c r="G43" s="322">
        <f>E43-F43</f>
        <v>2596400</v>
      </c>
      <c r="H43" s="322"/>
      <c r="I43" s="316">
        <f t="shared" ref="I43:I44" si="2">SUM(F43:H43)</f>
        <v>3576400</v>
      </c>
      <c r="J43" s="211"/>
    </row>
    <row r="44" spans="1:13" s="1" customFormat="1" ht="16" x14ac:dyDescent="0.5">
      <c r="B44" s="212" t="s">
        <v>167</v>
      </c>
      <c r="C44" s="316">
        <v>100000</v>
      </c>
      <c r="D44" s="323">
        <f>25+17</f>
        <v>42</v>
      </c>
      <c r="E44" s="323">
        <f>5961920+2699700</f>
        <v>8661620</v>
      </c>
      <c r="F44" s="324">
        <f>D44*F41</f>
        <v>210000</v>
      </c>
      <c r="G44" s="324">
        <f>D44*G41</f>
        <v>3990000</v>
      </c>
      <c r="H44" s="324">
        <f>E44-F44-G44</f>
        <v>4461620</v>
      </c>
      <c r="I44" s="316">
        <f t="shared" si="2"/>
        <v>8661620</v>
      </c>
      <c r="J44" s="211"/>
    </row>
    <row r="45" spans="1:13" s="1" customFormat="1" ht="14.4" customHeight="1" x14ac:dyDescent="0.35">
      <c r="A45" s="71"/>
      <c r="B45" s="212"/>
      <c r="C45" s="316"/>
      <c r="D45" s="316">
        <f>SUM(D42:D44)</f>
        <v>541</v>
      </c>
      <c r="E45" s="316">
        <f>SUM(E42:E44)</f>
        <v>12765680</v>
      </c>
      <c r="F45" s="316">
        <f>SUM(F42:F44)</f>
        <v>1717660</v>
      </c>
      <c r="G45" s="316">
        <f>SUM(G42:G44)</f>
        <v>6586400</v>
      </c>
      <c r="H45" s="316">
        <f>SUM(H42:H44)</f>
        <v>4461620</v>
      </c>
      <c r="I45" s="316">
        <f>SUM(F45:H45)</f>
        <v>12765680</v>
      </c>
      <c r="J45" s="211"/>
      <c r="L45" s="70"/>
    </row>
    <row r="46" spans="1:13" s="1" customFormat="1" ht="14.4" customHeight="1" x14ac:dyDescent="0.35">
      <c r="A46" s="177"/>
      <c r="B46" s="212"/>
      <c r="C46" s="11"/>
      <c r="D46" s="316"/>
      <c r="E46" s="316"/>
      <c r="F46" s="316"/>
      <c r="G46" s="316"/>
      <c r="H46" s="316"/>
      <c r="I46" s="11"/>
      <c r="J46" s="211"/>
      <c r="L46" s="71"/>
    </row>
    <row r="47" spans="1:13" s="1" customFormat="1" ht="14.4" customHeight="1" x14ac:dyDescent="0.35">
      <c r="B47" s="210" t="s">
        <v>172</v>
      </c>
      <c r="D47" s="362"/>
      <c r="E47" s="527" t="s">
        <v>106</v>
      </c>
      <c r="F47" s="527"/>
      <c r="G47" s="362"/>
      <c r="H47" s="362"/>
      <c r="J47" s="211"/>
      <c r="L47" s="71"/>
      <c r="M47" s="71"/>
    </row>
    <row r="48" spans="1:13" s="1" customFormat="1" ht="14.4" customHeight="1" x14ac:dyDescent="0.35">
      <c r="B48" s="32"/>
      <c r="C48" s="50" t="s">
        <v>47</v>
      </c>
      <c r="D48" s="360" t="s">
        <v>48</v>
      </c>
      <c r="E48" s="360" t="s">
        <v>49</v>
      </c>
      <c r="F48" s="525" t="s">
        <v>51</v>
      </c>
      <c r="G48" s="525"/>
      <c r="H48" s="360" t="s">
        <v>52</v>
      </c>
      <c r="J48" s="211"/>
      <c r="L48" s="184"/>
      <c r="M48" s="3"/>
    </row>
    <row r="49" spans="1:13" s="1" customFormat="1" ht="14.4" customHeight="1" x14ac:dyDescent="0.35">
      <c r="A49" s="86"/>
      <c r="B49" s="212" t="s">
        <v>166</v>
      </c>
      <c r="C49" s="316">
        <f>C42</f>
        <v>5000</v>
      </c>
      <c r="D49" s="326">
        <f>D45</f>
        <v>541</v>
      </c>
      <c r="E49" s="326">
        <f>F45</f>
        <v>1717660</v>
      </c>
      <c r="F49" s="382">
        <f>Rates!H14</f>
        <v>44.494</v>
      </c>
      <c r="G49" s="368" t="s">
        <v>102</v>
      </c>
      <c r="H49" s="11">
        <f>ROUND(D49*F49,0)</f>
        <v>24071</v>
      </c>
      <c r="J49" s="211"/>
      <c r="L49" s="184"/>
      <c r="M49" s="3"/>
    </row>
    <row r="50" spans="1:13" s="1" customFormat="1" ht="14.4" customHeight="1" x14ac:dyDescent="0.35">
      <c r="A50" s="86"/>
      <c r="B50" s="212" t="s">
        <v>253</v>
      </c>
      <c r="C50" s="316">
        <f>C43</f>
        <v>95000</v>
      </c>
      <c r="D50" s="326"/>
      <c r="E50" s="326">
        <f>G45</f>
        <v>6586400</v>
      </c>
      <c r="F50" s="399">
        <f>Rates!H15</f>
        <v>6.783E-3</v>
      </c>
      <c r="G50" s="368" t="s">
        <v>165</v>
      </c>
      <c r="H50" s="11">
        <f t="shared" ref="H50:H51" si="3">ROUND(E50*F50,0)</f>
        <v>44676</v>
      </c>
      <c r="J50" s="211"/>
      <c r="L50" s="184"/>
      <c r="M50" s="3"/>
    </row>
    <row r="51" spans="1:13" s="1" customFormat="1" ht="14.4" customHeight="1" x14ac:dyDescent="0.5">
      <c r="B51" s="315" t="s">
        <v>167</v>
      </c>
      <c r="C51" s="316">
        <f>C44</f>
        <v>100000</v>
      </c>
      <c r="D51" s="327"/>
      <c r="E51" s="327">
        <f>H45</f>
        <v>4461620</v>
      </c>
      <c r="F51" s="399">
        <f>Rates!H16</f>
        <v>6.0537000000000004E-3</v>
      </c>
      <c r="G51" s="368" t="s">
        <v>165</v>
      </c>
      <c r="H51" s="68">
        <f t="shared" si="3"/>
        <v>27009</v>
      </c>
      <c r="J51" s="211"/>
      <c r="L51" s="184"/>
      <c r="M51" s="3"/>
    </row>
    <row r="52" spans="1:13" s="1" customFormat="1" ht="14.4" customHeight="1" x14ac:dyDescent="0.35">
      <c r="A52" s="71"/>
      <c r="B52" s="63"/>
      <c r="C52" s="328"/>
      <c r="D52" s="328"/>
      <c r="E52" s="328">
        <f>SUM(E49:E51)</f>
        <v>12765680</v>
      </c>
      <c r="F52" s="377"/>
      <c r="G52" s="377"/>
      <c r="H52" s="378">
        <f>SUM(H49:H51)</f>
        <v>95756</v>
      </c>
      <c r="I52" s="198"/>
      <c r="J52" s="213"/>
      <c r="L52" s="184"/>
      <c r="M52" s="3"/>
    </row>
    <row r="53" spans="1:13" s="1" customFormat="1" ht="14.4" customHeight="1" x14ac:dyDescent="0.35">
      <c r="A53" s="71"/>
      <c r="C53" s="11"/>
      <c r="D53" s="316"/>
      <c r="E53" s="316"/>
      <c r="F53" s="326"/>
      <c r="G53" s="326"/>
      <c r="H53" s="316"/>
      <c r="L53" s="184"/>
      <c r="M53" s="3"/>
    </row>
    <row r="54" spans="1:13" s="1" customFormat="1" ht="14.4" customHeight="1" x14ac:dyDescent="0.35">
      <c r="A54" s="71"/>
      <c r="B54" s="206" t="s">
        <v>173</v>
      </c>
      <c r="C54" s="121"/>
      <c r="D54" s="361"/>
      <c r="E54" s="526" t="s">
        <v>255</v>
      </c>
      <c r="F54" s="526"/>
      <c r="G54" s="318"/>
      <c r="H54" s="318"/>
      <c r="I54" s="208"/>
      <c r="J54" s="209"/>
      <c r="L54" s="184"/>
      <c r="M54" s="3"/>
    </row>
    <row r="55" spans="1:13" s="1" customFormat="1" ht="14.4" customHeight="1" x14ac:dyDescent="0.5">
      <c r="B55" s="210"/>
      <c r="C55" s="11"/>
      <c r="D55" s="320"/>
      <c r="E55" s="369"/>
      <c r="F55" s="320" t="s">
        <v>166</v>
      </c>
      <c r="G55" s="320" t="s">
        <v>253</v>
      </c>
      <c r="H55" s="320" t="s">
        <v>167</v>
      </c>
      <c r="J55" s="211"/>
      <c r="L55" s="186"/>
      <c r="M55" s="25"/>
    </row>
    <row r="56" spans="1:13" s="1" customFormat="1" ht="14.4" customHeight="1" x14ac:dyDescent="0.35">
      <c r="A56" s="86"/>
      <c r="B56" s="32"/>
      <c r="C56" s="50" t="s">
        <v>47</v>
      </c>
      <c r="D56" s="360" t="s">
        <v>48</v>
      </c>
      <c r="E56" s="360" t="s">
        <v>49</v>
      </c>
      <c r="F56" s="329">
        <f>C57</f>
        <v>10000</v>
      </c>
      <c r="G56" s="329">
        <f>C58</f>
        <v>90000</v>
      </c>
      <c r="H56" s="329">
        <f>C59</f>
        <v>100000</v>
      </c>
      <c r="I56" s="71" t="s">
        <v>11</v>
      </c>
      <c r="J56" s="211"/>
      <c r="L56" s="3"/>
      <c r="M56" s="3"/>
    </row>
    <row r="57" spans="1:13" s="1" customFormat="1" ht="14.4" customHeight="1" x14ac:dyDescent="0.35">
      <c r="B57" s="212" t="s">
        <v>166</v>
      </c>
      <c r="C57" s="11">
        <v>10000</v>
      </c>
      <c r="D57" s="321">
        <v>45</v>
      </c>
      <c r="E57" s="321">
        <v>261200</v>
      </c>
      <c r="F57" s="322">
        <f>E57</f>
        <v>261200</v>
      </c>
      <c r="G57" s="322"/>
      <c r="H57" s="322"/>
      <c r="I57" s="316">
        <f t="shared" ref="I57:I58" si="4">SUM(F57:H57)</f>
        <v>261200</v>
      </c>
      <c r="J57" s="211"/>
    </row>
    <row r="58" spans="1:13" s="1" customFormat="1" ht="14.4" customHeight="1" x14ac:dyDescent="0.35">
      <c r="B58" s="212" t="s">
        <v>253</v>
      </c>
      <c r="C58" s="11">
        <v>90000</v>
      </c>
      <c r="D58" s="321">
        <v>50</v>
      </c>
      <c r="E58" s="321">
        <v>1454000</v>
      </c>
      <c r="F58" s="322">
        <f>D58*F56</f>
        <v>500000</v>
      </c>
      <c r="G58" s="322">
        <f>E58-F58</f>
        <v>954000</v>
      </c>
      <c r="H58" s="322"/>
      <c r="I58" s="316">
        <f t="shared" si="4"/>
        <v>1454000</v>
      </c>
      <c r="J58" s="211"/>
    </row>
    <row r="59" spans="1:13" s="1" customFormat="1" ht="14.4" customHeight="1" x14ac:dyDescent="0.5">
      <c r="A59" s="71"/>
      <c r="B59" s="212" t="s">
        <v>167</v>
      </c>
      <c r="C59" s="11">
        <v>100000</v>
      </c>
      <c r="D59" s="323">
        <v>1</v>
      </c>
      <c r="E59" s="323">
        <v>136900</v>
      </c>
      <c r="F59" s="324">
        <f>D59*F56</f>
        <v>10000</v>
      </c>
      <c r="G59" s="324">
        <f>D59*G56</f>
        <v>90000</v>
      </c>
      <c r="H59" s="324">
        <f>E59-F59-G59</f>
        <v>36900</v>
      </c>
      <c r="I59" s="325">
        <f>SUM(F59:H59)</f>
        <v>136900</v>
      </c>
      <c r="J59" s="211"/>
    </row>
    <row r="60" spans="1:13" s="1" customFormat="1" ht="14.4" customHeight="1" x14ac:dyDescent="0.35">
      <c r="A60" s="177"/>
      <c r="B60" s="212"/>
      <c r="C60" s="11"/>
      <c r="D60" s="316">
        <f>SUM(D57:D59)</f>
        <v>96</v>
      </c>
      <c r="E60" s="316">
        <f>SUM(E57:E59)</f>
        <v>1852100</v>
      </c>
      <c r="F60" s="316">
        <f>SUM(F57:F59)</f>
        <v>771200</v>
      </c>
      <c r="G60" s="316">
        <f>SUM(G57:G59)</f>
        <v>1044000</v>
      </c>
      <c r="H60" s="316">
        <f>SUM(H57:H59)</f>
        <v>36900</v>
      </c>
      <c r="I60" s="316">
        <f>SUM(F60:H60)</f>
        <v>1852100</v>
      </c>
      <c r="J60" s="211"/>
    </row>
    <row r="61" spans="1:13" s="1" customFormat="1" ht="14.4" customHeight="1" x14ac:dyDescent="0.35">
      <c r="B61" s="212"/>
      <c r="C61" s="11"/>
      <c r="D61" s="316"/>
      <c r="E61" s="316"/>
      <c r="F61" s="316"/>
      <c r="G61" s="316"/>
      <c r="H61" s="316"/>
      <c r="I61" s="11"/>
      <c r="J61" s="211"/>
    </row>
    <row r="62" spans="1:13" s="1" customFormat="1" ht="14.4" customHeight="1" x14ac:dyDescent="0.35">
      <c r="B62" s="210" t="s">
        <v>172</v>
      </c>
      <c r="D62" s="362"/>
      <c r="E62" s="527" t="s">
        <v>255</v>
      </c>
      <c r="F62" s="527"/>
      <c r="G62" s="362"/>
      <c r="H62" s="362"/>
      <c r="J62" s="211"/>
    </row>
    <row r="63" spans="1:13" s="1" customFormat="1" ht="14.4" customHeight="1" x14ac:dyDescent="0.35">
      <c r="A63" s="86"/>
      <c r="B63" s="32"/>
      <c r="C63" s="50" t="s">
        <v>47</v>
      </c>
      <c r="D63" s="360" t="s">
        <v>48</v>
      </c>
      <c r="E63" s="360" t="s">
        <v>49</v>
      </c>
      <c r="F63" s="525" t="s">
        <v>51</v>
      </c>
      <c r="G63" s="525"/>
      <c r="H63" s="360" t="s">
        <v>52</v>
      </c>
      <c r="J63" s="211"/>
    </row>
    <row r="64" spans="1:13" s="1" customFormat="1" ht="14.4" customHeight="1" x14ac:dyDescent="0.35">
      <c r="B64" s="212" t="s">
        <v>166</v>
      </c>
      <c r="C64" s="11">
        <f>C57</f>
        <v>10000</v>
      </c>
      <c r="D64" s="326">
        <f>D60</f>
        <v>96</v>
      </c>
      <c r="E64" s="326">
        <f>F60</f>
        <v>771200</v>
      </c>
      <c r="F64" s="382">
        <f>Rates!H19</f>
        <v>78.409000000000006</v>
      </c>
      <c r="G64" s="368" t="s">
        <v>102</v>
      </c>
      <c r="H64" s="316">
        <f>ROUND(D64*F64,0)</f>
        <v>7527</v>
      </c>
      <c r="J64" s="211"/>
    </row>
    <row r="65" spans="1:12" s="1" customFormat="1" ht="14.4" customHeight="1" x14ac:dyDescent="0.35">
      <c r="B65" s="212" t="s">
        <v>253</v>
      </c>
      <c r="C65" s="11">
        <f>C58</f>
        <v>90000</v>
      </c>
      <c r="D65" s="326"/>
      <c r="E65" s="326">
        <f>G60</f>
        <v>1044000</v>
      </c>
      <c r="F65" s="383">
        <f>Rates!H20</f>
        <v>6.783E-3</v>
      </c>
      <c r="G65" s="368" t="s">
        <v>165</v>
      </c>
      <c r="H65" s="316">
        <f t="shared" ref="H65:H66" si="5">ROUND(E65*F65,0)</f>
        <v>7081</v>
      </c>
      <c r="J65" s="211"/>
    </row>
    <row r="66" spans="1:12" s="1" customFormat="1" ht="14.4" customHeight="1" x14ac:dyDescent="0.5">
      <c r="A66" s="86"/>
      <c r="B66" s="315" t="s">
        <v>167</v>
      </c>
      <c r="C66" s="11">
        <f>C59</f>
        <v>100000</v>
      </c>
      <c r="D66" s="327"/>
      <c r="E66" s="327">
        <f>H60</f>
        <v>36900</v>
      </c>
      <c r="F66" s="383">
        <f>Rates!H21</f>
        <v>6.0537000000000004E-3</v>
      </c>
      <c r="G66" s="368" t="s">
        <v>165</v>
      </c>
      <c r="H66" s="325">
        <f t="shared" si="5"/>
        <v>223</v>
      </c>
      <c r="J66" s="211"/>
    </row>
    <row r="67" spans="1:12" s="1" customFormat="1" ht="14.4" customHeight="1" x14ac:dyDescent="0.35">
      <c r="B67" s="63"/>
      <c r="C67" s="237"/>
      <c r="D67" s="328"/>
      <c r="E67" s="328">
        <f>SUM(E64:E66)</f>
        <v>1852100</v>
      </c>
      <c r="F67" s="377"/>
      <c r="G67" s="377"/>
      <c r="H67" s="328">
        <f>SUM(H64:H66)</f>
        <v>14831</v>
      </c>
      <c r="I67" s="198"/>
      <c r="J67" s="213"/>
    </row>
    <row r="68" spans="1:12" s="1" customFormat="1" ht="14.4" customHeight="1" x14ac:dyDescent="0.35">
      <c r="A68" s="71"/>
      <c r="C68" s="11"/>
      <c r="D68" s="363"/>
      <c r="E68" s="316"/>
      <c r="F68" s="326"/>
      <c r="G68" s="326"/>
      <c r="H68" s="363"/>
    </row>
    <row r="69" spans="1:12" s="1" customFormat="1" ht="14.4" customHeight="1" x14ac:dyDescent="0.35">
      <c r="B69" s="206" t="s">
        <v>173</v>
      </c>
      <c r="C69" s="121"/>
      <c r="D69" s="361"/>
      <c r="E69" s="526" t="s">
        <v>107</v>
      </c>
      <c r="F69" s="526"/>
      <c r="G69" s="318"/>
      <c r="H69" s="318"/>
      <c r="I69" s="208"/>
      <c r="J69" s="209"/>
    </row>
    <row r="70" spans="1:12" s="1" customFormat="1" ht="14.4" customHeight="1" x14ac:dyDescent="0.35">
      <c r="B70" s="210"/>
      <c r="C70" s="11"/>
      <c r="D70" s="320"/>
      <c r="E70" s="369"/>
      <c r="F70" s="320" t="s">
        <v>166</v>
      </c>
      <c r="G70" s="320" t="s">
        <v>253</v>
      </c>
      <c r="H70" s="320" t="s">
        <v>167</v>
      </c>
      <c r="J70" s="211"/>
      <c r="L70" s="70"/>
    </row>
    <row r="71" spans="1:12" s="1" customFormat="1" ht="14.4" customHeight="1" x14ac:dyDescent="0.35">
      <c r="B71" s="32"/>
      <c r="C71" s="50" t="s">
        <v>47</v>
      </c>
      <c r="D71" s="360" t="s">
        <v>48</v>
      </c>
      <c r="E71" s="360" t="s">
        <v>49</v>
      </c>
      <c r="F71" s="329">
        <f>C72</f>
        <v>20000</v>
      </c>
      <c r="G71" s="329">
        <f>C73</f>
        <v>80000</v>
      </c>
      <c r="H71" s="329">
        <f>C74</f>
        <v>100000</v>
      </c>
      <c r="I71" s="71" t="s">
        <v>11</v>
      </c>
      <c r="J71" s="211"/>
    </row>
    <row r="72" spans="1:12" s="1" customFormat="1" ht="14.4" customHeight="1" x14ac:dyDescent="0.35">
      <c r="B72" s="212" t="s">
        <v>166</v>
      </c>
      <c r="C72" s="11">
        <v>20000</v>
      </c>
      <c r="D72" s="321">
        <f>164+12</f>
        <v>176</v>
      </c>
      <c r="E72" s="321">
        <f>848350+72200</f>
        <v>920550</v>
      </c>
      <c r="F72" s="322">
        <f>E72</f>
        <v>920550</v>
      </c>
      <c r="G72" s="322"/>
      <c r="H72" s="322"/>
      <c r="I72" s="316">
        <f t="shared" ref="I72:I73" si="6">SUM(F72:H72)</f>
        <v>920550</v>
      </c>
      <c r="J72" s="211"/>
      <c r="L72" s="71"/>
    </row>
    <row r="73" spans="1:12" s="1" customFormat="1" ht="14.4" customHeight="1" x14ac:dyDescent="0.35">
      <c r="B73" s="212" t="s">
        <v>253</v>
      </c>
      <c r="C73" s="11">
        <v>80000</v>
      </c>
      <c r="D73" s="321">
        <v>77</v>
      </c>
      <c r="E73" s="321">
        <v>2632760</v>
      </c>
      <c r="F73" s="322">
        <f>D73*F71</f>
        <v>1540000</v>
      </c>
      <c r="G73" s="322">
        <f>E73-F73</f>
        <v>1092760</v>
      </c>
      <c r="H73" s="322"/>
      <c r="I73" s="316">
        <f t="shared" si="6"/>
        <v>2632760</v>
      </c>
      <c r="J73" s="211"/>
      <c r="L73" s="3"/>
    </row>
    <row r="74" spans="1:12" s="1" customFormat="1" ht="14.4" customHeight="1" x14ac:dyDescent="0.5">
      <c r="B74" s="212" t="s">
        <v>167</v>
      </c>
      <c r="C74" s="11">
        <v>100000</v>
      </c>
      <c r="D74" s="323">
        <v>34</v>
      </c>
      <c r="E74" s="323">
        <v>13698000</v>
      </c>
      <c r="F74" s="324">
        <f>D74*F71</f>
        <v>680000</v>
      </c>
      <c r="G74" s="324">
        <f>D74*G71</f>
        <v>2720000</v>
      </c>
      <c r="H74" s="324">
        <f>E74-F74-G74</f>
        <v>10298000</v>
      </c>
      <c r="I74" s="325">
        <f>SUM(F74:H74)</f>
        <v>13698000</v>
      </c>
      <c r="J74" s="211"/>
      <c r="L74" s="3"/>
    </row>
    <row r="75" spans="1:12" s="1" customFormat="1" ht="14.4" customHeight="1" x14ac:dyDescent="0.35">
      <c r="B75" s="212"/>
      <c r="C75" s="11"/>
      <c r="D75" s="316">
        <f>SUM(D72:D74)</f>
        <v>287</v>
      </c>
      <c r="E75" s="316">
        <f>SUM(E72:E74)</f>
        <v>17251310</v>
      </c>
      <c r="F75" s="316">
        <f>SUM(F72:F74)</f>
        <v>3140550</v>
      </c>
      <c r="G75" s="316">
        <f>SUM(G72:G74)</f>
        <v>3812760</v>
      </c>
      <c r="H75" s="316">
        <f>SUM(H72:H74)</f>
        <v>10298000</v>
      </c>
      <c r="I75" s="316">
        <f>SUM(F75:H75)</f>
        <v>17251310</v>
      </c>
      <c r="J75" s="211"/>
      <c r="L75" s="3"/>
    </row>
    <row r="76" spans="1:12" s="1" customFormat="1" ht="14.4" customHeight="1" x14ac:dyDescent="0.35">
      <c r="B76" s="212"/>
      <c r="C76" s="11"/>
      <c r="D76" s="316"/>
      <c r="E76" s="316"/>
      <c r="F76" s="316"/>
      <c r="G76" s="316"/>
      <c r="H76" s="316"/>
      <c r="I76" s="11"/>
      <c r="J76" s="211"/>
      <c r="L76" s="3"/>
    </row>
    <row r="77" spans="1:12" s="1" customFormat="1" ht="14.4" customHeight="1" x14ac:dyDescent="0.35">
      <c r="B77" s="210" t="s">
        <v>172</v>
      </c>
      <c r="D77" s="362"/>
      <c r="E77" s="527" t="s">
        <v>107</v>
      </c>
      <c r="F77" s="527"/>
      <c r="G77" s="362"/>
      <c r="H77" s="362"/>
      <c r="J77" s="211"/>
      <c r="L77" s="3"/>
    </row>
    <row r="78" spans="1:12" s="1" customFormat="1" ht="14.4" customHeight="1" x14ac:dyDescent="0.35">
      <c r="A78" s="86"/>
      <c r="B78" s="32"/>
      <c r="C78" s="50" t="s">
        <v>47</v>
      </c>
      <c r="D78" s="360" t="s">
        <v>48</v>
      </c>
      <c r="E78" s="360" t="s">
        <v>49</v>
      </c>
      <c r="F78" s="525" t="s">
        <v>51</v>
      </c>
      <c r="G78" s="525"/>
      <c r="H78" s="360" t="s">
        <v>52</v>
      </c>
      <c r="J78" s="211"/>
      <c r="L78" s="3"/>
    </row>
    <row r="79" spans="1:12" s="1" customFormat="1" ht="14.4" customHeight="1" x14ac:dyDescent="0.5">
      <c r="B79" s="212" t="s">
        <v>166</v>
      </c>
      <c r="C79" s="11">
        <f>C72</f>
        <v>20000</v>
      </c>
      <c r="D79" s="326">
        <f>D75</f>
        <v>287</v>
      </c>
      <c r="E79" s="326">
        <f>F75</f>
        <v>3140550</v>
      </c>
      <c r="F79" s="382">
        <f>Rates!H24</f>
        <v>146.239</v>
      </c>
      <c r="G79" s="368" t="s">
        <v>102</v>
      </c>
      <c r="H79" s="316">
        <f>ROUND(D79*F79,0)</f>
        <v>41971</v>
      </c>
      <c r="J79" s="211"/>
      <c r="L79" s="25"/>
    </row>
    <row r="80" spans="1:12" s="1" customFormat="1" ht="14.4" customHeight="1" x14ac:dyDescent="0.35">
      <c r="B80" s="212" t="s">
        <v>253</v>
      </c>
      <c r="C80" s="11">
        <f>C73</f>
        <v>80000</v>
      </c>
      <c r="D80" s="326"/>
      <c r="E80" s="326">
        <f>G75</f>
        <v>3812760</v>
      </c>
      <c r="F80" s="383">
        <f>Rates!H25</f>
        <v>6.783E-3</v>
      </c>
      <c r="G80" s="368" t="s">
        <v>165</v>
      </c>
      <c r="H80" s="316">
        <f t="shared" ref="H80:H81" si="7">ROUND(E80*F80,0)</f>
        <v>25862</v>
      </c>
      <c r="J80" s="211"/>
      <c r="L80" s="3"/>
    </row>
    <row r="81" spans="1:13" s="1" customFormat="1" ht="14.4" customHeight="1" x14ac:dyDescent="0.5">
      <c r="A81" s="71"/>
      <c r="B81" s="315" t="s">
        <v>167</v>
      </c>
      <c r="C81" s="11">
        <f>C74</f>
        <v>100000</v>
      </c>
      <c r="D81" s="327"/>
      <c r="E81" s="327">
        <f>H75</f>
        <v>10298000</v>
      </c>
      <c r="F81" s="383">
        <f>Rates!H26</f>
        <v>6.0537000000000004E-3</v>
      </c>
      <c r="G81" s="368" t="s">
        <v>165</v>
      </c>
      <c r="H81" s="325">
        <f t="shared" si="7"/>
        <v>62341</v>
      </c>
      <c r="J81" s="211"/>
      <c r="L81" s="3"/>
      <c r="M81" s="3"/>
    </row>
    <row r="82" spans="1:13" s="1" customFormat="1" ht="14.4" customHeight="1" x14ac:dyDescent="0.35">
      <c r="A82" s="177"/>
      <c r="B82" s="63"/>
      <c r="C82" s="237"/>
      <c r="D82" s="328"/>
      <c r="E82" s="328">
        <f>SUM(E79:E81)</f>
        <v>17251310</v>
      </c>
      <c r="F82" s="377"/>
      <c r="G82" s="377"/>
      <c r="H82" s="328">
        <f>SUM(H79:H81)</f>
        <v>130174</v>
      </c>
      <c r="I82" s="198"/>
      <c r="J82" s="213"/>
    </row>
    <row r="83" spans="1:13" s="1" customFormat="1" ht="14.4" customHeight="1" x14ac:dyDescent="0.35">
      <c r="A83" s="71"/>
      <c r="B83"/>
      <c r="C83"/>
      <c r="D83" s="364"/>
      <c r="E83" s="364"/>
      <c r="F83" s="364"/>
      <c r="G83" s="364"/>
      <c r="H83" s="364"/>
      <c r="I83"/>
      <c r="J83"/>
    </row>
    <row r="84" spans="1:13" s="1" customFormat="1" ht="14.4" customHeight="1" x14ac:dyDescent="0.35">
      <c r="B84" s="206" t="s">
        <v>173</v>
      </c>
      <c r="C84" s="121"/>
      <c r="D84" s="361"/>
      <c r="E84" s="526" t="s">
        <v>256</v>
      </c>
      <c r="F84" s="526"/>
      <c r="G84" s="318"/>
      <c r="H84" s="318"/>
      <c r="I84" s="208"/>
      <c r="J84" s="209"/>
    </row>
    <row r="85" spans="1:13" s="1" customFormat="1" ht="14.4" customHeight="1" x14ac:dyDescent="0.35">
      <c r="B85" s="210"/>
      <c r="C85" s="11"/>
      <c r="D85" s="320"/>
      <c r="E85" s="369"/>
      <c r="F85" s="320" t="s">
        <v>166</v>
      </c>
      <c r="G85" s="320" t="s">
        <v>253</v>
      </c>
      <c r="H85" s="320" t="s">
        <v>167</v>
      </c>
      <c r="J85" s="211"/>
    </row>
    <row r="86" spans="1:13" s="1" customFormat="1" ht="14.4" customHeight="1" x14ac:dyDescent="0.35">
      <c r="B86" s="32"/>
      <c r="C86" s="50" t="s">
        <v>47</v>
      </c>
      <c r="D86" s="360" t="s">
        <v>48</v>
      </c>
      <c r="E86" s="360" t="s">
        <v>49</v>
      </c>
      <c r="F86" s="329">
        <f>C87</f>
        <v>30000</v>
      </c>
      <c r="G86" s="329">
        <f>C88</f>
        <v>70000</v>
      </c>
      <c r="H86" s="329">
        <f>C89</f>
        <v>100000</v>
      </c>
      <c r="I86" s="71" t="s">
        <v>11</v>
      </c>
      <c r="J86" s="211"/>
    </row>
    <row r="87" spans="1:13" s="1" customFormat="1" ht="14.4" customHeight="1" x14ac:dyDescent="0.35">
      <c r="B87" s="212" t="s">
        <v>166</v>
      </c>
      <c r="C87" s="11">
        <v>30000</v>
      </c>
      <c r="D87" s="321">
        <v>12</v>
      </c>
      <c r="E87" s="321">
        <v>28600</v>
      </c>
      <c r="F87" s="322">
        <f>E87</f>
        <v>28600</v>
      </c>
      <c r="G87" s="322"/>
      <c r="H87" s="322"/>
      <c r="I87" s="316">
        <f>SUM(F87:H87)</f>
        <v>28600</v>
      </c>
      <c r="J87" s="211"/>
    </row>
    <row r="88" spans="1:13" s="1" customFormat="1" ht="14.4" customHeight="1" x14ac:dyDescent="0.35">
      <c r="B88" s="212" t="s">
        <v>253</v>
      </c>
      <c r="C88" s="11">
        <v>70000</v>
      </c>
      <c r="D88" s="321">
        <v>3</v>
      </c>
      <c r="E88" s="321">
        <v>210200</v>
      </c>
      <c r="F88" s="322">
        <f>D88*F86</f>
        <v>90000</v>
      </c>
      <c r="G88" s="322">
        <f>E88-F88</f>
        <v>120200</v>
      </c>
      <c r="H88" s="322"/>
      <c r="I88" s="316">
        <f t="shared" ref="I88:I89" si="8">SUM(F88:H88)</f>
        <v>210200</v>
      </c>
      <c r="J88" s="211"/>
    </row>
    <row r="89" spans="1:13" s="1" customFormat="1" ht="14.4" customHeight="1" x14ac:dyDescent="0.5">
      <c r="B89" s="212" t="s">
        <v>167</v>
      </c>
      <c r="C89" s="11">
        <v>100000</v>
      </c>
      <c r="D89" s="323">
        <v>21</v>
      </c>
      <c r="E89" s="323">
        <v>4985000</v>
      </c>
      <c r="F89" s="324">
        <f>D89*F86</f>
        <v>630000</v>
      </c>
      <c r="G89" s="324">
        <f>D89*G86</f>
        <v>1470000</v>
      </c>
      <c r="H89" s="324">
        <f>E89-F89-G89</f>
        <v>2885000</v>
      </c>
      <c r="I89" s="316">
        <f t="shared" si="8"/>
        <v>4985000</v>
      </c>
      <c r="J89" s="211"/>
    </row>
    <row r="90" spans="1:13" s="1" customFormat="1" ht="14.4" customHeight="1" x14ac:dyDescent="0.35">
      <c r="B90" s="212"/>
      <c r="C90" s="11"/>
      <c r="D90" s="316">
        <f>SUM(D87:D89)</f>
        <v>36</v>
      </c>
      <c r="E90" s="316">
        <f>SUM(E87:E89)</f>
        <v>5223800</v>
      </c>
      <c r="F90" s="316">
        <f>SUM(F87:F89)</f>
        <v>748600</v>
      </c>
      <c r="G90" s="316">
        <f>SUM(G87:G89)</f>
        <v>1590200</v>
      </c>
      <c r="H90" s="316">
        <f>SUM(H87:H89)</f>
        <v>2885000</v>
      </c>
      <c r="I90" s="316">
        <f>SUM(F90:H90)</f>
        <v>5223800</v>
      </c>
      <c r="J90" s="211"/>
    </row>
    <row r="91" spans="1:13" s="1" customFormat="1" ht="14.4" customHeight="1" x14ac:dyDescent="0.35">
      <c r="B91" s="212"/>
      <c r="C91" s="11"/>
      <c r="D91" s="316"/>
      <c r="E91" s="316"/>
      <c r="F91" s="316"/>
      <c r="G91" s="316"/>
      <c r="H91" s="316"/>
      <c r="I91" s="11"/>
      <c r="J91" s="211"/>
    </row>
    <row r="92" spans="1:13" s="1" customFormat="1" ht="14.4" customHeight="1" x14ac:dyDescent="0.35">
      <c r="B92" s="210" t="s">
        <v>172</v>
      </c>
      <c r="D92" s="362"/>
      <c r="E92" s="527" t="s">
        <v>256</v>
      </c>
      <c r="F92" s="527"/>
      <c r="G92" s="362"/>
      <c r="H92" s="362"/>
      <c r="J92" s="211"/>
    </row>
    <row r="93" spans="1:13" s="1" customFormat="1" ht="14.4" customHeight="1" x14ac:dyDescent="0.35">
      <c r="B93" s="32"/>
      <c r="C93" s="50" t="s">
        <v>47</v>
      </c>
      <c r="D93" s="360" t="s">
        <v>48</v>
      </c>
      <c r="E93" s="360" t="s">
        <v>49</v>
      </c>
      <c r="F93" s="525" t="s">
        <v>51</v>
      </c>
      <c r="G93" s="525"/>
      <c r="H93" s="360" t="s">
        <v>52</v>
      </c>
      <c r="J93" s="211"/>
      <c r="L93" s="70"/>
    </row>
    <row r="94" spans="1:13" s="1" customFormat="1" ht="14.4" customHeight="1" x14ac:dyDescent="0.35">
      <c r="B94" s="212" t="s">
        <v>166</v>
      </c>
      <c r="C94" s="11">
        <f>C87</f>
        <v>30000</v>
      </c>
      <c r="D94" s="326">
        <f>D90</f>
        <v>36</v>
      </c>
      <c r="E94" s="326">
        <f>F90</f>
        <v>748600</v>
      </c>
      <c r="F94" s="382">
        <f>Rates!H29</f>
        <v>214.06800000000001</v>
      </c>
      <c r="G94" s="368" t="s">
        <v>102</v>
      </c>
      <c r="H94" s="316">
        <f>ROUND(D94*F94,0)</f>
        <v>7706</v>
      </c>
      <c r="J94" s="211"/>
    </row>
    <row r="95" spans="1:13" s="1" customFormat="1" ht="14.4" customHeight="1" x14ac:dyDescent="0.35">
      <c r="B95" s="212" t="s">
        <v>253</v>
      </c>
      <c r="C95" s="11">
        <f>C88</f>
        <v>70000</v>
      </c>
      <c r="D95" s="326"/>
      <c r="E95" s="326">
        <f>G90</f>
        <v>1590200</v>
      </c>
      <c r="F95" s="383">
        <f>Rates!H30</f>
        <v>6.783E-3</v>
      </c>
      <c r="G95" s="368" t="s">
        <v>165</v>
      </c>
      <c r="H95" s="316">
        <f t="shared" ref="H95:H96" si="9">ROUND(E95*F95,0)</f>
        <v>10786</v>
      </c>
      <c r="J95" s="211"/>
    </row>
    <row r="96" spans="1:13" s="1" customFormat="1" ht="14.4" customHeight="1" x14ac:dyDescent="0.5">
      <c r="B96" s="315" t="s">
        <v>167</v>
      </c>
      <c r="C96" s="11">
        <f>C89</f>
        <v>100000</v>
      </c>
      <c r="D96" s="327"/>
      <c r="E96" s="327">
        <f>H90</f>
        <v>2885000</v>
      </c>
      <c r="F96" s="383">
        <f>Rates!H31</f>
        <v>6.0537000000000004E-3</v>
      </c>
      <c r="G96" s="368" t="s">
        <v>165</v>
      </c>
      <c r="H96" s="325">
        <f t="shared" si="9"/>
        <v>17465</v>
      </c>
      <c r="J96" s="211"/>
    </row>
    <row r="97" spans="2:10" s="1" customFormat="1" ht="14.4" customHeight="1" x14ac:dyDescent="0.35">
      <c r="B97" s="63"/>
      <c r="C97" s="237"/>
      <c r="D97" s="328"/>
      <c r="E97" s="328">
        <f>SUM(E94:E96)</f>
        <v>5223800</v>
      </c>
      <c r="F97" s="377"/>
      <c r="G97" s="377"/>
      <c r="H97" s="328">
        <f>SUM(H94:H96)</f>
        <v>35957</v>
      </c>
      <c r="I97" s="198"/>
      <c r="J97" s="213"/>
    </row>
    <row r="98" spans="2:10" s="1" customFormat="1" ht="14.4" customHeight="1" x14ac:dyDescent="0.35">
      <c r="C98" s="235"/>
      <c r="D98" s="320"/>
      <c r="E98" s="370"/>
      <c r="F98" s="326"/>
      <c r="G98" s="326"/>
      <c r="H98" s="326"/>
    </row>
    <row r="99" spans="2:10" s="1" customFormat="1" ht="14.4" customHeight="1" x14ac:dyDescent="0.35">
      <c r="B99" s="206" t="s">
        <v>173</v>
      </c>
      <c r="C99" s="121"/>
      <c r="D99" s="361"/>
      <c r="E99" s="526" t="s">
        <v>257</v>
      </c>
      <c r="F99" s="526"/>
      <c r="G99" s="318"/>
      <c r="H99" s="318"/>
      <c r="I99" s="208"/>
      <c r="J99" s="209"/>
    </row>
    <row r="100" spans="2:10" s="1" customFormat="1" ht="14.4" customHeight="1" x14ac:dyDescent="0.35">
      <c r="B100" s="210"/>
      <c r="C100" s="11"/>
      <c r="D100" s="320"/>
      <c r="E100" s="369"/>
      <c r="F100" s="320" t="s">
        <v>166</v>
      </c>
      <c r="G100" s="320" t="s">
        <v>253</v>
      </c>
      <c r="H100" s="320" t="s">
        <v>167</v>
      </c>
      <c r="J100" s="211"/>
    </row>
    <row r="101" spans="2:10" s="1" customFormat="1" ht="14.4" customHeight="1" x14ac:dyDescent="0.35">
      <c r="B101" s="32"/>
      <c r="C101" s="50" t="s">
        <v>47</v>
      </c>
      <c r="D101" s="360" t="s">
        <v>48</v>
      </c>
      <c r="E101" s="360" t="s">
        <v>49</v>
      </c>
      <c r="F101" s="329">
        <f>C102</f>
        <v>50000</v>
      </c>
      <c r="G101" s="329">
        <f>C103</f>
        <v>50000</v>
      </c>
      <c r="H101" s="329">
        <f>C104</f>
        <v>100000</v>
      </c>
      <c r="I101" s="71" t="s">
        <v>11</v>
      </c>
      <c r="J101" s="211"/>
    </row>
    <row r="102" spans="2:10" s="1" customFormat="1" ht="14.4" customHeight="1" x14ac:dyDescent="0.35">
      <c r="B102" s="212" t="s">
        <v>166</v>
      </c>
      <c r="C102" s="316">
        <v>50000</v>
      </c>
      <c r="D102" s="321">
        <v>12</v>
      </c>
      <c r="E102" s="321">
        <v>19300</v>
      </c>
      <c r="F102" s="322">
        <f>E102</f>
        <v>19300</v>
      </c>
      <c r="G102" s="322"/>
      <c r="H102" s="322"/>
      <c r="I102" s="316">
        <f>SUM(F102:H102)</f>
        <v>19300</v>
      </c>
      <c r="J102" s="211"/>
    </row>
    <row r="103" spans="2:10" s="1" customFormat="1" ht="14.4" customHeight="1" x14ac:dyDescent="0.35">
      <c r="B103" s="212" t="s">
        <v>253</v>
      </c>
      <c r="C103" s="316">
        <v>50000</v>
      </c>
      <c r="D103" s="321"/>
      <c r="E103" s="321"/>
      <c r="F103" s="322">
        <f>D103*F101</f>
        <v>0</v>
      </c>
      <c r="G103" s="322">
        <f>E103-F103</f>
        <v>0</v>
      </c>
      <c r="H103" s="322"/>
      <c r="I103" s="316">
        <f>SUM(F103:H103)</f>
        <v>0</v>
      </c>
      <c r="J103" s="211"/>
    </row>
    <row r="104" spans="2:10" s="1" customFormat="1" ht="14.4" customHeight="1" x14ac:dyDescent="0.5">
      <c r="B104" s="212" t="s">
        <v>167</v>
      </c>
      <c r="C104" s="316">
        <v>100000</v>
      </c>
      <c r="D104" s="323">
        <f>24+12</f>
        <v>36</v>
      </c>
      <c r="E104" s="323">
        <f>29607100+51000000</f>
        <v>80607100</v>
      </c>
      <c r="F104" s="324">
        <f>D104*F101</f>
        <v>1800000</v>
      </c>
      <c r="G104" s="324">
        <f>D104*G101</f>
        <v>1800000</v>
      </c>
      <c r="H104" s="324">
        <f>E104-F104-G104</f>
        <v>77007100</v>
      </c>
      <c r="I104" s="325">
        <f>SUM(F104:H104)</f>
        <v>80607100</v>
      </c>
      <c r="J104" s="211"/>
    </row>
    <row r="105" spans="2:10" s="1" customFormat="1" ht="14.4" customHeight="1" x14ac:dyDescent="0.35">
      <c r="B105" s="212"/>
      <c r="C105" s="316"/>
      <c r="D105" s="316">
        <f>SUM(D102:D104)</f>
        <v>48</v>
      </c>
      <c r="E105" s="316">
        <f>SUM(E102:E104)</f>
        <v>80626400</v>
      </c>
      <c r="F105" s="316">
        <f>SUM(F102:F104)</f>
        <v>1819300</v>
      </c>
      <c r="G105" s="316">
        <f>SUM(G102:G104)</f>
        <v>1800000</v>
      </c>
      <c r="H105" s="316">
        <f>SUM(H102:H104)</f>
        <v>77007100</v>
      </c>
      <c r="I105" s="316">
        <f>SUM(F105:H105)</f>
        <v>80626400</v>
      </c>
      <c r="J105" s="211"/>
    </row>
    <row r="106" spans="2:10" s="1" customFormat="1" ht="14.4" customHeight="1" x14ac:dyDescent="0.35">
      <c r="B106" s="212"/>
      <c r="C106" s="316"/>
      <c r="D106" s="316"/>
      <c r="E106" s="316"/>
      <c r="F106" s="316"/>
      <c r="G106" s="316"/>
      <c r="H106" s="316"/>
      <c r="I106" s="11"/>
      <c r="J106" s="211"/>
    </row>
    <row r="107" spans="2:10" s="1" customFormat="1" ht="14.4" customHeight="1" x14ac:dyDescent="0.35">
      <c r="B107" s="210" t="s">
        <v>172</v>
      </c>
      <c r="C107" s="326"/>
      <c r="D107" s="362"/>
      <c r="E107" s="527" t="s">
        <v>257</v>
      </c>
      <c r="F107" s="527"/>
      <c r="G107" s="362"/>
      <c r="H107" s="362"/>
      <c r="J107" s="211"/>
    </row>
    <row r="108" spans="2:10" s="1" customFormat="1" ht="14.4" customHeight="1" x14ac:dyDescent="0.35">
      <c r="B108" s="32"/>
      <c r="C108" s="319" t="s">
        <v>47</v>
      </c>
      <c r="D108" s="360" t="s">
        <v>48</v>
      </c>
      <c r="E108" s="360" t="s">
        <v>49</v>
      </c>
      <c r="F108" s="525" t="s">
        <v>51</v>
      </c>
      <c r="G108" s="525"/>
      <c r="H108" s="360" t="s">
        <v>52</v>
      </c>
      <c r="J108" s="211"/>
    </row>
    <row r="109" spans="2:10" s="1" customFormat="1" ht="14.4" customHeight="1" x14ac:dyDescent="0.35">
      <c r="B109" s="212" t="s">
        <v>166</v>
      </c>
      <c r="C109" s="316">
        <f>C102</f>
        <v>50000</v>
      </c>
      <c r="D109" s="326">
        <f>D105</f>
        <v>48</v>
      </c>
      <c r="E109" s="326">
        <f>F105</f>
        <v>1819300</v>
      </c>
      <c r="F109" s="382">
        <f>Rates!H34</f>
        <v>349.72699999999998</v>
      </c>
      <c r="G109" s="368" t="s">
        <v>102</v>
      </c>
      <c r="H109" s="316">
        <f>ROUND(D109*F109,0)</f>
        <v>16787</v>
      </c>
      <c r="J109" s="211"/>
    </row>
    <row r="110" spans="2:10" s="1" customFormat="1" ht="14.4" customHeight="1" x14ac:dyDescent="0.35">
      <c r="B110" s="212" t="s">
        <v>253</v>
      </c>
      <c r="C110" s="316">
        <f>C103</f>
        <v>50000</v>
      </c>
      <c r="D110" s="326"/>
      <c r="E110" s="326">
        <f>G105</f>
        <v>1800000</v>
      </c>
      <c r="F110" s="383">
        <f>Rates!H35</f>
        <v>6.783E-3</v>
      </c>
      <c r="G110" s="368" t="s">
        <v>165</v>
      </c>
      <c r="H110" s="316">
        <f t="shared" ref="H110:H111" si="10">ROUND(E110*F110,0)</f>
        <v>12209</v>
      </c>
      <c r="J110" s="211"/>
    </row>
    <row r="111" spans="2:10" s="1" customFormat="1" ht="14.4" customHeight="1" x14ac:dyDescent="0.5">
      <c r="B111" s="315" t="s">
        <v>167</v>
      </c>
      <c r="C111" s="316">
        <f>C104</f>
        <v>100000</v>
      </c>
      <c r="D111" s="327"/>
      <c r="E111" s="327">
        <f>H105</f>
        <v>77007100</v>
      </c>
      <c r="F111" s="383">
        <f>Rates!H36</f>
        <v>6.0537000000000004E-3</v>
      </c>
      <c r="G111" s="368" t="s">
        <v>165</v>
      </c>
      <c r="H111" s="325">
        <f t="shared" si="10"/>
        <v>466178</v>
      </c>
      <c r="J111" s="211"/>
    </row>
    <row r="112" spans="2:10" s="1" customFormat="1" ht="14.4" customHeight="1" x14ac:dyDescent="0.35">
      <c r="B112" s="63"/>
      <c r="C112" s="237"/>
      <c r="D112" s="328"/>
      <c r="E112" s="328">
        <f>SUM(E109:E111)</f>
        <v>80626400</v>
      </c>
      <c r="F112" s="377"/>
      <c r="G112" s="377"/>
      <c r="H112" s="328">
        <f>SUM(H109:H111)</f>
        <v>495174</v>
      </c>
      <c r="I112" s="198"/>
      <c r="J112" s="213"/>
    </row>
    <row r="113" spans="2:10" s="1" customFormat="1" ht="14.4" customHeight="1" x14ac:dyDescent="0.35">
      <c r="B113" s="3"/>
      <c r="D113" s="326"/>
      <c r="E113" s="326"/>
      <c r="F113" s="326"/>
      <c r="G113" s="326"/>
      <c r="H113" s="326"/>
    </row>
    <row r="114" spans="2:10" s="1" customFormat="1" ht="14.4" customHeight="1" x14ac:dyDescent="0.35">
      <c r="B114" s="206" t="s">
        <v>173</v>
      </c>
      <c r="C114" s="121"/>
      <c r="D114" s="361"/>
      <c r="E114" s="526" t="s">
        <v>258</v>
      </c>
      <c r="F114" s="526"/>
      <c r="G114" s="318"/>
      <c r="H114" s="318"/>
      <c r="I114" s="208"/>
      <c r="J114" s="209"/>
    </row>
    <row r="115" spans="2:10" s="1" customFormat="1" ht="14.4" customHeight="1" x14ac:dyDescent="0.35">
      <c r="B115" s="210"/>
      <c r="C115" s="11"/>
      <c r="D115" s="320"/>
      <c r="E115" s="369"/>
      <c r="F115" s="320" t="s">
        <v>166</v>
      </c>
      <c r="G115" s="320" t="s">
        <v>253</v>
      </c>
      <c r="H115" s="320" t="s">
        <v>167</v>
      </c>
      <c r="J115" s="211"/>
    </row>
    <row r="116" spans="2:10" s="1" customFormat="1" ht="14.4" customHeight="1" x14ac:dyDescent="0.35">
      <c r="B116" s="32"/>
      <c r="C116" s="50" t="s">
        <v>47</v>
      </c>
      <c r="D116" s="360" t="s">
        <v>48</v>
      </c>
      <c r="E116" s="360" t="s">
        <v>49</v>
      </c>
      <c r="F116" s="329">
        <f>C117</f>
        <v>4000</v>
      </c>
      <c r="G116" s="329">
        <f>C118</f>
        <v>96000</v>
      </c>
      <c r="H116" s="329">
        <f>C119</f>
        <v>100000</v>
      </c>
      <c r="I116" s="71" t="s">
        <v>11</v>
      </c>
      <c r="J116" s="211"/>
    </row>
    <row r="117" spans="2:10" s="1" customFormat="1" ht="14.4" customHeight="1" x14ac:dyDescent="0.35">
      <c r="B117" s="212" t="s">
        <v>166</v>
      </c>
      <c r="C117" s="316">
        <v>4000</v>
      </c>
      <c r="D117" s="321">
        <v>21</v>
      </c>
      <c r="E117" s="321">
        <v>66030</v>
      </c>
      <c r="F117" s="322">
        <f>E117</f>
        <v>66030</v>
      </c>
      <c r="G117" s="322"/>
      <c r="H117" s="322"/>
      <c r="I117" s="316">
        <f t="shared" ref="I117:I119" si="11">SUM(F117:H117)</f>
        <v>66030</v>
      </c>
      <c r="J117" s="211"/>
    </row>
    <row r="118" spans="2:10" s="1" customFormat="1" ht="14.4" customHeight="1" x14ac:dyDescent="0.35">
      <c r="B118" s="212" t="s">
        <v>253</v>
      </c>
      <c r="C118" s="316">
        <v>96000</v>
      </c>
      <c r="D118" s="321">
        <v>75</v>
      </c>
      <c r="E118" s="321">
        <v>526320</v>
      </c>
      <c r="F118" s="322">
        <f>D118*F116</f>
        <v>300000</v>
      </c>
      <c r="G118" s="322">
        <f>E118-F118</f>
        <v>226320</v>
      </c>
      <c r="H118" s="322"/>
      <c r="I118" s="316">
        <f t="shared" si="11"/>
        <v>526320</v>
      </c>
      <c r="J118" s="211"/>
    </row>
    <row r="119" spans="2:10" s="1" customFormat="1" ht="14.4" customHeight="1" x14ac:dyDescent="0.5">
      <c r="B119" s="212" t="s">
        <v>167</v>
      </c>
      <c r="C119" s="316">
        <v>100000</v>
      </c>
      <c r="D119" s="323">
        <v>0</v>
      </c>
      <c r="E119" s="323"/>
      <c r="F119" s="324">
        <f>D119*F116</f>
        <v>0</v>
      </c>
      <c r="G119" s="324">
        <f>D119*G116</f>
        <v>0</v>
      </c>
      <c r="H119" s="324">
        <f>E119-F119-G119</f>
        <v>0</v>
      </c>
      <c r="I119" s="316">
        <f t="shared" si="11"/>
        <v>0</v>
      </c>
      <c r="J119" s="211"/>
    </row>
    <row r="120" spans="2:10" s="1" customFormat="1" ht="14.4" customHeight="1" x14ac:dyDescent="0.35">
      <c r="B120" s="212"/>
      <c r="C120" s="316"/>
      <c r="D120" s="316">
        <f>SUM(D117:D119)</f>
        <v>96</v>
      </c>
      <c r="E120" s="316">
        <f>SUM(E117:E119)</f>
        <v>592350</v>
      </c>
      <c r="F120" s="316">
        <f>SUM(F117:F119)</f>
        <v>366030</v>
      </c>
      <c r="G120" s="316">
        <f>SUM(G117:G119)</f>
        <v>226320</v>
      </c>
      <c r="H120" s="316">
        <f>SUM(H117:H119)</f>
        <v>0</v>
      </c>
      <c r="I120" s="316">
        <f>SUM(F120:H120)</f>
        <v>592350</v>
      </c>
      <c r="J120" s="211"/>
    </row>
    <row r="121" spans="2:10" s="1" customFormat="1" ht="14.4" customHeight="1" x14ac:dyDescent="0.35">
      <c r="B121" s="212"/>
      <c r="C121" s="316"/>
      <c r="D121" s="316"/>
      <c r="E121" s="316"/>
      <c r="F121" s="316"/>
      <c r="G121" s="316"/>
      <c r="H121" s="316"/>
      <c r="I121" s="11"/>
      <c r="J121" s="211"/>
    </row>
    <row r="122" spans="2:10" s="1" customFormat="1" ht="14.4" customHeight="1" x14ac:dyDescent="0.35">
      <c r="B122" s="210" t="s">
        <v>172</v>
      </c>
      <c r="C122" s="326"/>
      <c r="D122" s="362"/>
      <c r="E122" s="526" t="s">
        <v>258</v>
      </c>
      <c r="F122" s="526"/>
      <c r="G122" s="362"/>
      <c r="H122" s="362"/>
      <c r="J122" s="211"/>
    </row>
    <row r="123" spans="2:10" s="1" customFormat="1" ht="14.4" customHeight="1" x14ac:dyDescent="0.35">
      <c r="B123" s="32"/>
      <c r="C123" s="319" t="s">
        <v>47</v>
      </c>
      <c r="D123" s="360" t="s">
        <v>48</v>
      </c>
      <c r="E123" s="360" t="s">
        <v>49</v>
      </c>
      <c r="F123" s="525" t="s">
        <v>51</v>
      </c>
      <c r="G123" s="525"/>
      <c r="H123" s="360" t="s">
        <v>52</v>
      </c>
      <c r="J123" s="211"/>
    </row>
    <row r="124" spans="2:10" s="1" customFormat="1" ht="14.4" customHeight="1" x14ac:dyDescent="0.35">
      <c r="B124" s="212" t="s">
        <v>166</v>
      </c>
      <c r="C124" s="316">
        <f>C117</f>
        <v>4000</v>
      </c>
      <c r="D124" s="326">
        <f>D120</f>
        <v>96</v>
      </c>
      <c r="E124" s="326">
        <f>F120</f>
        <v>366030</v>
      </c>
      <c r="F124" s="382">
        <f>Rates!H39</f>
        <v>60.027999999999999</v>
      </c>
      <c r="G124" s="368" t="s">
        <v>102</v>
      </c>
      <c r="H124" s="316">
        <f>ROUND(D124*F124,0)</f>
        <v>5763</v>
      </c>
      <c r="J124" s="211"/>
    </row>
    <row r="125" spans="2:10" s="1" customFormat="1" ht="14.4" customHeight="1" x14ac:dyDescent="0.35">
      <c r="B125" s="212" t="s">
        <v>253</v>
      </c>
      <c r="C125" s="316">
        <f>C118</f>
        <v>96000</v>
      </c>
      <c r="D125" s="326"/>
      <c r="E125" s="326">
        <f>G120</f>
        <v>226320</v>
      </c>
      <c r="F125" s="383">
        <f>Rates!H40</f>
        <v>6.783E-3</v>
      </c>
      <c r="G125" s="368" t="s">
        <v>165</v>
      </c>
      <c r="H125" s="316">
        <f t="shared" ref="H125:H126" si="12">ROUND(E125*F125,0)</f>
        <v>1535</v>
      </c>
      <c r="J125" s="211"/>
    </row>
    <row r="126" spans="2:10" s="1" customFormat="1" ht="14.4" customHeight="1" x14ac:dyDescent="0.5">
      <c r="B126" s="315" t="s">
        <v>167</v>
      </c>
      <c r="C126" s="316">
        <f>C119</f>
        <v>100000</v>
      </c>
      <c r="D126" s="327"/>
      <c r="E126" s="327">
        <f>H120</f>
        <v>0</v>
      </c>
      <c r="F126" s="383">
        <f>Rates!H41</f>
        <v>6.0537000000000004E-3</v>
      </c>
      <c r="G126" s="368" t="s">
        <v>165</v>
      </c>
      <c r="H126" s="325">
        <f t="shared" si="12"/>
        <v>0</v>
      </c>
      <c r="J126" s="211"/>
    </row>
    <row r="127" spans="2:10" s="1" customFormat="1" ht="14.4" customHeight="1" x14ac:dyDescent="0.35">
      <c r="B127" s="63"/>
      <c r="C127" s="237"/>
      <c r="D127" s="328"/>
      <c r="E127" s="328">
        <f>SUM(E124:E126)</f>
        <v>592350</v>
      </c>
      <c r="F127" s="377"/>
      <c r="G127" s="377"/>
      <c r="H127" s="328">
        <f>SUM(H124:H126)</f>
        <v>7298</v>
      </c>
      <c r="I127" s="198"/>
      <c r="J127" s="213"/>
    </row>
    <row r="128" spans="2:10" s="1" customFormat="1" ht="14.4" customHeight="1" x14ac:dyDescent="0.35">
      <c r="B128" s="3"/>
      <c r="D128" s="326"/>
      <c r="E128" s="326"/>
      <c r="F128" s="326"/>
      <c r="G128" s="326"/>
      <c r="H128" s="326"/>
    </row>
    <row r="129" spans="2:10" s="1" customFormat="1" ht="14.4" customHeight="1" x14ac:dyDescent="0.35">
      <c r="B129" s="206" t="s">
        <v>173</v>
      </c>
      <c r="C129" s="121"/>
      <c r="D129" s="361"/>
      <c r="E129" s="526" t="s">
        <v>259</v>
      </c>
      <c r="F129" s="526"/>
      <c r="G129" s="318"/>
      <c r="H129" s="318"/>
      <c r="I129" s="208"/>
      <c r="J129" s="209"/>
    </row>
    <row r="130" spans="2:10" s="1" customFormat="1" ht="14.4" customHeight="1" x14ac:dyDescent="0.35">
      <c r="B130" s="210"/>
      <c r="C130" s="11"/>
      <c r="D130" s="320"/>
      <c r="E130" s="369"/>
      <c r="F130" s="320" t="s">
        <v>166</v>
      </c>
      <c r="G130" s="320" t="s">
        <v>253</v>
      </c>
      <c r="H130" s="320" t="s">
        <v>167</v>
      </c>
      <c r="J130" s="211"/>
    </row>
    <row r="131" spans="2:10" s="1" customFormat="1" ht="14.4" customHeight="1" x14ac:dyDescent="0.35">
      <c r="B131" s="32"/>
      <c r="C131" s="50" t="s">
        <v>47</v>
      </c>
      <c r="D131" s="360" t="s">
        <v>48</v>
      </c>
      <c r="E131" s="360" t="s">
        <v>49</v>
      </c>
      <c r="F131" s="329">
        <f>C132</f>
        <v>5000</v>
      </c>
      <c r="G131" s="329">
        <f>C133</f>
        <v>95000</v>
      </c>
      <c r="H131" s="329">
        <f>C134</f>
        <v>100000</v>
      </c>
      <c r="I131" s="71" t="s">
        <v>11</v>
      </c>
      <c r="J131" s="211"/>
    </row>
    <row r="132" spans="2:10" s="1" customFormat="1" ht="14.4" customHeight="1" x14ac:dyDescent="0.35">
      <c r="B132" s="212" t="s">
        <v>166</v>
      </c>
      <c r="C132" s="316">
        <v>5000</v>
      </c>
      <c r="D132" s="321">
        <v>11</v>
      </c>
      <c r="E132" s="321">
        <v>14500</v>
      </c>
      <c r="F132" s="322">
        <f>E132</f>
        <v>14500</v>
      </c>
      <c r="G132" s="322"/>
      <c r="H132" s="322"/>
      <c r="I132" s="316">
        <f t="shared" ref="I132:I134" si="13">SUM(F132:H132)</f>
        <v>14500</v>
      </c>
      <c r="J132" s="211"/>
    </row>
    <row r="133" spans="2:10" s="1" customFormat="1" ht="14.4" customHeight="1" x14ac:dyDescent="0.35">
      <c r="B133" s="212" t="s">
        <v>253</v>
      </c>
      <c r="C133" s="316">
        <v>95000</v>
      </c>
      <c r="D133" s="321">
        <v>1</v>
      </c>
      <c r="E133" s="321">
        <v>5240</v>
      </c>
      <c r="F133" s="322">
        <f>D133*F131</f>
        <v>5000</v>
      </c>
      <c r="G133" s="322">
        <f>E133-F133</f>
        <v>240</v>
      </c>
      <c r="H133" s="322"/>
      <c r="I133" s="316">
        <f t="shared" si="13"/>
        <v>5240</v>
      </c>
      <c r="J133" s="211"/>
    </row>
    <row r="134" spans="2:10" s="1" customFormat="1" ht="14.4" customHeight="1" x14ac:dyDescent="0.5">
      <c r="B134" s="212" t="s">
        <v>167</v>
      </c>
      <c r="C134" s="316">
        <v>100000</v>
      </c>
      <c r="D134" s="323"/>
      <c r="E134" s="323"/>
      <c r="F134" s="324">
        <f>D134*F131</f>
        <v>0</v>
      </c>
      <c r="G134" s="324">
        <f>D134*G131</f>
        <v>0</v>
      </c>
      <c r="H134" s="324">
        <f>E134-F134-G134</f>
        <v>0</v>
      </c>
      <c r="I134" s="316">
        <f t="shared" si="13"/>
        <v>0</v>
      </c>
      <c r="J134" s="211"/>
    </row>
    <row r="135" spans="2:10" s="1" customFormat="1" ht="14.4" customHeight="1" x14ac:dyDescent="0.35">
      <c r="B135" s="212"/>
      <c r="C135" s="316"/>
      <c r="D135" s="316">
        <f>SUM(D132:D134)</f>
        <v>12</v>
      </c>
      <c r="E135" s="316">
        <f>SUM(E132:E134)</f>
        <v>19740</v>
      </c>
      <c r="F135" s="316">
        <f>SUM(F132:F134)</f>
        <v>19500</v>
      </c>
      <c r="G135" s="316">
        <f>SUM(G132:G134)</f>
        <v>240</v>
      </c>
      <c r="H135" s="316">
        <f>SUM(H132:H134)</f>
        <v>0</v>
      </c>
      <c r="I135" s="316">
        <f>SUM(F135:H135)</f>
        <v>19740</v>
      </c>
      <c r="J135" s="211"/>
    </row>
    <row r="136" spans="2:10" s="1" customFormat="1" ht="14.4" customHeight="1" x14ac:dyDescent="0.35">
      <c r="B136" s="212"/>
      <c r="C136" s="316"/>
      <c r="D136" s="316"/>
      <c r="E136" s="316"/>
      <c r="F136" s="316"/>
      <c r="G136" s="316"/>
      <c r="H136" s="316"/>
      <c r="I136" s="11"/>
      <c r="J136" s="211"/>
    </row>
    <row r="137" spans="2:10" s="1" customFormat="1" ht="14.4" customHeight="1" x14ac:dyDescent="0.35">
      <c r="B137" s="210" t="s">
        <v>172</v>
      </c>
      <c r="C137" s="326"/>
      <c r="D137" s="362"/>
      <c r="E137" s="526" t="s">
        <v>259</v>
      </c>
      <c r="F137" s="526"/>
      <c r="G137" s="362"/>
      <c r="H137" s="362"/>
      <c r="J137" s="211"/>
    </row>
    <row r="138" spans="2:10" s="1" customFormat="1" ht="14.4" customHeight="1" x14ac:dyDescent="0.35">
      <c r="B138" s="32"/>
      <c r="C138" s="319" t="s">
        <v>47</v>
      </c>
      <c r="D138" s="360" t="s">
        <v>48</v>
      </c>
      <c r="E138" s="360" t="s">
        <v>49</v>
      </c>
      <c r="F138" s="525" t="s">
        <v>51</v>
      </c>
      <c r="G138" s="525"/>
      <c r="H138" s="360" t="s">
        <v>52</v>
      </c>
      <c r="J138" s="211"/>
    </row>
    <row r="139" spans="2:10" s="1" customFormat="1" ht="14.4" customHeight="1" x14ac:dyDescent="0.35">
      <c r="B139" s="212" t="s">
        <v>166</v>
      </c>
      <c r="C139" s="316">
        <f>C132</f>
        <v>5000</v>
      </c>
      <c r="D139" s="326">
        <f>D135</f>
        <v>12</v>
      </c>
      <c r="E139" s="326">
        <f>F135</f>
        <v>19500</v>
      </c>
      <c r="F139" s="382">
        <f>Rates!H44</f>
        <v>44.470999999999997</v>
      </c>
      <c r="G139" s="368" t="s">
        <v>102</v>
      </c>
      <c r="H139" s="316">
        <f>ROUND(D139*F139,0)</f>
        <v>534</v>
      </c>
      <c r="J139" s="211"/>
    </row>
    <row r="140" spans="2:10" s="1" customFormat="1" ht="14.4" customHeight="1" x14ac:dyDescent="0.35">
      <c r="B140" s="212" t="s">
        <v>253</v>
      </c>
      <c r="C140" s="316">
        <f>C133</f>
        <v>95000</v>
      </c>
      <c r="D140" s="326"/>
      <c r="E140" s="326">
        <f>G135</f>
        <v>240</v>
      </c>
      <c r="F140" s="383">
        <f>Rates!H45</f>
        <v>6.783E-3</v>
      </c>
      <c r="G140" s="368" t="s">
        <v>165</v>
      </c>
      <c r="H140" s="316">
        <f t="shared" ref="H140:H141" si="14">ROUND(E140*F140,0)</f>
        <v>2</v>
      </c>
      <c r="J140" s="211"/>
    </row>
    <row r="141" spans="2:10" s="1" customFormat="1" ht="14.4" customHeight="1" x14ac:dyDescent="0.5">
      <c r="B141" s="315" t="s">
        <v>167</v>
      </c>
      <c r="C141" s="316">
        <f>C134</f>
        <v>100000</v>
      </c>
      <c r="D141" s="327"/>
      <c r="E141" s="327">
        <f>H135</f>
        <v>0</v>
      </c>
      <c r="F141" s="383">
        <f>Rates!H46</f>
        <v>6.0537000000000004E-3</v>
      </c>
      <c r="G141" s="368" t="s">
        <v>165</v>
      </c>
      <c r="H141" s="325">
        <f t="shared" si="14"/>
        <v>0</v>
      </c>
      <c r="J141" s="211"/>
    </row>
    <row r="142" spans="2:10" s="1" customFormat="1" ht="14.4" customHeight="1" x14ac:dyDescent="0.35">
      <c r="B142" s="63"/>
      <c r="C142" s="328"/>
      <c r="D142" s="328"/>
      <c r="E142" s="328">
        <f>SUM(E139:E141)</f>
        <v>19740</v>
      </c>
      <c r="F142" s="377"/>
      <c r="G142" s="377"/>
      <c r="H142" s="328">
        <f>SUM(H139:H141)</f>
        <v>536</v>
      </c>
      <c r="I142" s="198"/>
      <c r="J142" s="213"/>
    </row>
    <row r="143" spans="2:10" s="1" customFormat="1" ht="14.4" customHeight="1" x14ac:dyDescent="0.35">
      <c r="B143" s="3"/>
      <c r="C143" s="326"/>
      <c r="D143" s="326"/>
      <c r="E143" s="326"/>
      <c r="F143" s="326"/>
      <c r="G143" s="326"/>
      <c r="H143" s="326"/>
    </row>
    <row r="144" spans="2:10" s="1" customFormat="1" ht="14.4" customHeight="1" x14ac:dyDescent="0.35">
      <c r="B144" s="206" t="s">
        <v>173</v>
      </c>
      <c r="C144" s="317"/>
      <c r="D144" s="361"/>
      <c r="E144" s="524" t="s">
        <v>260</v>
      </c>
      <c r="F144" s="524"/>
      <c r="G144" s="318"/>
      <c r="H144" s="318"/>
      <c r="I144" s="208"/>
      <c r="J144" s="209"/>
    </row>
    <row r="145" spans="2:10" s="1" customFormat="1" ht="14.4" customHeight="1" x14ac:dyDescent="0.35">
      <c r="B145" s="210"/>
      <c r="C145" s="316"/>
      <c r="D145" s="320"/>
      <c r="E145" s="369"/>
      <c r="F145" s="320" t="s">
        <v>166</v>
      </c>
      <c r="G145" s="320" t="s">
        <v>253</v>
      </c>
      <c r="H145" s="320" t="s">
        <v>167</v>
      </c>
      <c r="J145" s="211"/>
    </row>
    <row r="146" spans="2:10" s="1" customFormat="1" ht="14.4" customHeight="1" x14ac:dyDescent="0.35">
      <c r="B146" s="32"/>
      <c r="C146" s="319" t="s">
        <v>47</v>
      </c>
      <c r="D146" s="360" t="s">
        <v>48</v>
      </c>
      <c r="E146" s="360" t="s">
        <v>49</v>
      </c>
      <c r="F146" s="329">
        <f>C147</f>
        <v>22000</v>
      </c>
      <c r="G146" s="329">
        <f>C148</f>
        <v>78000</v>
      </c>
      <c r="H146" s="329">
        <f>C149</f>
        <v>100000</v>
      </c>
      <c r="I146" s="71" t="s">
        <v>11</v>
      </c>
      <c r="J146" s="211"/>
    </row>
    <row r="147" spans="2:10" s="1" customFormat="1" ht="14.4" customHeight="1" x14ac:dyDescent="0.35">
      <c r="B147" s="212" t="s">
        <v>166</v>
      </c>
      <c r="C147" s="316">
        <v>22000</v>
      </c>
      <c r="D147" s="321">
        <v>0</v>
      </c>
      <c r="E147" s="321"/>
      <c r="F147" s="322">
        <f>E147</f>
        <v>0</v>
      </c>
      <c r="G147" s="322"/>
      <c r="H147" s="322"/>
      <c r="I147" s="316">
        <f t="shared" ref="I147:I149" si="15">SUM(F147:H147)</f>
        <v>0</v>
      </c>
      <c r="J147" s="211"/>
    </row>
    <row r="148" spans="2:10" s="1" customFormat="1" ht="14.4" customHeight="1" x14ac:dyDescent="0.35">
      <c r="B148" s="212" t="s">
        <v>253</v>
      </c>
      <c r="C148" s="316">
        <v>78000</v>
      </c>
      <c r="D148" s="321">
        <v>12</v>
      </c>
      <c r="E148" s="321">
        <v>740000</v>
      </c>
      <c r="F148" s="322">
        <f>D148*F146</f>
        <v>264000</v>
      </c>
      <c r="G148" s="322">
        <f>E148-F148</f>
        <v>476000</v>
      </c>
      <c r="H148" s="322"/>
      <c r="I148" s="316">
        <f t="shared" si="15"/>
        <v>740000</v>
      </c>
      <c r="J148" s="211"/>
    </row>
    <row r="149" spans="2:10" s="1" customFormat="1" ht="14.4" customHeight="1" x14ac:dyDescent="0.5">
      <c r="B149" s="212" t="s">
        <v>167</v>
      </c>
      <c r="C149" s="316">
        <v>100000</v>
      </c>
      <c r="D149" s="323"/>
      <c r="E149" s="323"/>
      <c r="F149" s="324">
        <f>D149*F146</f>
        <v>0</v>
      </c>
      <c r="G149" s="324">
        <f>D149*G146</f>
        <v>0</v>
      </c>
      <c r="H149" s="324">
        <f>E149-F149-G149</f>
        <v>0</v>
      </c>
      <c r="I149" s="316">
        <f t="shared" si="15"/>
        <v>0</v>
      </c>
      <c r="J149" s="211"/>
    </row>
    <row r="150" spans="2:10" s="1" customFormat="1" ht="14.4" customHeight="1" x14ac:dyDescent="0.35">
      <c r="B150" s="212"/>
      <c r="C150" s="11"/>
      <c r="D150" s="316">
        <f>SUM(D147:D149)</f>
        <v>12</v>
      </c>
      <c r="E150" s="316">
        <f>SUM(E147:E149)</f>
        <v>740000</v>
      </c>
      <c r="F150" s="316">
        <f>SUM(F147:F149)</f>
        <v>264000</v>
      </c>
      <c r="G150" s="316">
        <f>SUM(G147:G149)</f>
        <v>476000</v>
      </c>
      <c r="H150" s="316">
        <f>SUM(H147:H149)</f>
        <v>0</v>
      </c>
      <c r="I150" s="316">
        <f>SUM(F150:H150)</f>
        <v>740000</v>
      </c>
      <c r="J150" s="211"/>
    </row>
    <row r="151" spans="2:10" s="1" customFormat="1" ht="14.4" customHeight="1" x14ac:dyDescent="0.35">
      <c r="B151" s="212"/>
      <c r="C151" s="11"/>
      <c r="D151" s="316"/>
      <c r="E151" s="316"/>
      <c r="F151" s="316"/>
      <c r="G151" s="316"/>
      <c r="H151" s="316"/>
      <c r="I151" s="11"/>
      <c r="J151" s="211"/>
    </row>
    <row r="152" spans="2:10" s="1" customFormat="1" ht="14.4" customHeight="1" x14ac:dyDescent="0.35">
      <c r="B152" s="210" t="s">
        <v>172</v>
      </c>
      <c r="D152" s="362"/>
      <c r="E152" s="524" t="s">
        <v>260</v>
      </c>
      <c r="F152" s="524"/>
      <c r="G152" s="362"/>
      <c r="H152" s="362"/>
      <c r="J152" s="211"/>
    </row>
    <row r="153" spans="2:10" s="1" customFormat="1" ht="14.4" customHeight="1" x14ac:dyDescent="0.35">
      <c r="B153" s="32"/>
      <c r="C153" s="50" t="s">
        <v>47</v>
      </c>
      <c r="D153" s="360" t="s">
        <v>48</v>
      </c>
      <c r="E153" s="360" t="s">
        <v>49</v>
      </c>
      <c r="F153" s="525" t="s">
        <v>51</v>
      </c>
      <c r="G153" s="525"/>
      <c r="H153" s="360" t="s">
        <v>52</v>
      </c>
      <c r="J153" s="211"/>
    </row>
    <row r="154" spans="2:10" s="1" customFormat="1" ht="14.4" customHeight="1" x14ac:dyDescent="0.35">
      <c r="B154" s="212" t="s">
        <v>166</v>
      </c>
      <c r="C154" s="316">
        <f>C147</f>
        <v>22000</v>
      </c>
      <c r="D154" s="326">
        <f>D150</f>
        <v>12</v>
      </c>
      <c r="E154" s="326">
        <f>F150</f>
        <v>264000</v>
      </c>
      <c r="F154" s="382">
        <f>Rates!H49</f>
        <v>316.07900000000001</v>
      </c>
      <c r="G154" s="368" t="s">
        <v>102</v>
      </c>
      <c r="H154" s="316">
        <f>ROUND(D154*F154,0)</f>
        <v>3793</v>
      </c>
      <c r="J154" s="211"/>
    </row>
    <row r="155" spans="2:10" s="1" customFormat="1" ht="14.4" customHeight="1" x14ac:dyDescent="0.35">
      <c r="B155" s="212" t="s">
        <v>253</v>
      </c>
      <c r="C155" s="316">
        <f>C148</f>
        <v>78000</v>
      </c>
      <c r="D155" s="326"/>
      <c r="E155" s="326">
        <f>G150</f>
        <v>476000</v>
      </c>
      <c r="F155" s="383">
        <f>Rates!H50</f>
        <v>6.783E-3</v>
      </c>
      <c r="G155" s="368" t="s">
        <v>165</v>
      </c>
      <c r="H155" s="316">
        <f t="shared" ref="H155:H156" si="16">ROUND(E155*F155,0)</f>
        <v>3229</v>
      </c>
      <c r="J155" s="211"/>
    </row>
    <row r="156" spans="2:10" s="1" customFormat="1" ht="14.4" customHeight="1" x14ac:dyDescent="0.5">
      <c r="B156" s="315" t="s">
        <v>167</v>
      </c>
      <c r="C156" s="316">
        <f>C149</f>
        <v>100000</v>
      </c>
      <c r="D156" s="327"/>
      <c r="E156" s="327">
        <f>H150</f>
        <v>0</v>
      </c>
      <c r="F156" s="383">
        <f>Rates!H51</f>
        <v>6.0537000000000004E-3</v>
      </c>
      <c r="G156" s="368" t="s">
        <v>165</v>
      </c>
      <c r="H156" s="325">
        <f t="shared" si="16"/>
        <v>0</v>
      </c>
      <c r="J156" s="211"/>
    </row>
    <row r="157" spans="2:10" s="1" customFormat="1" ht="14.4" customHeight="1" x14ac:dyDescent="0.35">
      <c r="B157" s="63"/>
      <c r="C157" s="237"/>
      <c r="D157" s="328"/>
      <c r="E157" s="328">
        <f>SUM(E154:E156)</f>
        <v>740000</v>
      </c>
      <c r="F157" s="377"/>
      <c r="G157" s="377"/>
      <c r="H157" s="328">
        <f>SUM(H154:H156)</f>
        <v>7022</v>
      </c>
      <c r="I157" s="198"/>
      <c r="J157" s="213"/>
    </row>
    <row r="158" spans="2:10" s="1" customFormat="1" ht="14.4" customHeight="1" x14ac:dyDescent="0.35">
      <c r="B158" s="3"/>
      <c r="D158" s="326"/>
      <c r="E158" s="326"/>
      <c r="F158" s="326"/>
      <c r="G158" s="326"/>
      <c r="H158" s="326"/>
    </row>
    <row r="159" spans="2:10" s="1" customFormat="1" ht="14.4" customHeight="1" x14ac:dyDescent="0.35">
      <c r="B159" s="206" t="s">
        <v>173</v>
      </c>
      <c r="C159" s="121"/>
      <c r="D159" s="361"/>
      <c r="E159" s="526" t="s">
        <v>261</v>
      </c>
      <c r="F159" s="526"/>
      <c r="G159" s="318"/>
      <c r="H159" s="318"/>
      <c r="I159" s="208"/>
      <c r="J159" s="209"/>
    </row>
    <row r="160" spans="2:10" s="1" customFormat="1" ht="14.4" customHeight="1" x14ac:dyDescent="0.35">
      <c r="B160" s="210"/>
      <c r="C160" s="11"/>
      <c r="D160" s="320"/>
      <c r="E160" s="369"/>
      <c r="F160" s="320" t="s">
        <v>166</v>
      </c>
      <c r="G160" s="320" t="s">
        <v>253</v>
      </c>
      <c r="H160" s="320" t="s">
        <v>167</v>
      </c>
      <c r="J160" s="211"/>
    </row>
    <row r="161" spans="2:10" s="1" customFormat="1" ht="14.4" customHeight="1" x14ac:dyDescent="0.35">
      <c r="B161" s="32"/>
      <c r="C161" s="50" t="s">
        <v>47</v>
      </c>
      <c r="D161" s="360" t="s">
        <v>48</v>
      </c>
      <c r="E161" s="360" t="s">
        <v>49</v>
      </c>
      <c r="F161" s="329">
        <f>C162</f>
        <v>49000</v>
      </c>
      <c r="G161" s="329">
        <f>C163</f>
        <v>51000</v>
      </c>
      <c r="H161" s="329">
        <f>C164</f>
        <v>100000</v>
      </c>
      <c r="I161" s="71" t="s">
        <v>11</v>
      </c>
      <c r="J161" s="211"/>
    </row>
    <row r="162" spans="2:10" s="1" customFormat="1" ht="14.4" customHeight="1" x14ac:dyDescent="0.35">
      <c r="B162" s="212" t="s">
        <v>166</v>
      </c>
      <c r="C162" s="316">
        <v>49000</v>
      </c>
      <c r="D162" s="321"/>
      <c r="E162" s="321"/>
      <c r="F162" s="322">
        <f>E162</f>
        <v>0</v>
      </c>
      <c r="G162" s="322"/>
      <c r="H162" s="322"/>
      <c r="I162" s="316">
        <f>SUM(E162:H162)</f>
        <v>0</v>
      </c>
      <c r="J162" s="211"/>
    </row>
    <row r="163" spans="2:10" s="1" customFormat="1" ht="14.4" customHeight="1" x14ac:dyDescent="0.35">
      <c r="B163" s="212" t="s">
        <v>253</v>
      </c>
      <c r="C163" s="316">
        <v>51000</v>
      </c>
      <c r="D163" s="321"/>
      <c r="E163" s="321"/>
      <c r="F163" s="322">
        <f>D163*F161</f>
        <v>0</v>
      </c>
      <c r="G163" s="322">
        <f>E163-F163</f>
        <v>0</v>
      </c>
      <c r="H163" s="322"/>
      <c r="I163" s="316">
        <f>SUM(E163:H163)</f>
        <v>0</v>
      </c>
      <c r="J163" s="211"/>
    </row>
    <row r="164" spans="2:10" s="1" customFormat="1" ht="14.4" customHeight="1" x14ac:dyDescent="0.5">
      <c r="B164" s="212" t="s">
        <v>167</v>
      </c>
      <c r="C164" s="316">
        <v>100000</v>
      </c>
      <c r="D164" s="323">
        <v>12</v>
      </c>
      <c r="E164" s="323">
        <v>3074800</v>
      </c>
      <c r="F164" s="324">
        <f>D164*F161</f>
        <v>588000</v>
      </c>
      <c r="G164" s="324">
        <f>D164*G161</f>
        <v>612000</v>
      </c>
      <c r="H164" s="324">
        <f>E164-F164-G164</f>
        <v>1874800</v>
      </c>
      <c r="I164" s="325">
        <f>SUM(F164:H164)</f>
        <v>3074800</v>
      </c>
      <c r="J164" s="211"/>
    </row>
    <row r="165" spans="2:10" s="1" customFormat="1" ht="14.4" customHeight="1" x14ac:dyDescent="0.35">
      <c r="B165" s="212"/>
      <c r="C165" s="11"/>
      <c r="D165" s="316">
        <f>SUM(D162:D164)</f>
        <v>12</v>
      </c>
      <c r="E165" s="316">
        <f>SUM(E162:E164)</f>
        <v>3074800</v>
      </c>
      <c r="F165" s="316">
        <f>SUM(F162:F164)</f>
        <v>588000</v>
      </c>
      <c r="G165" s="316">
        <f>SUM(G162:G164)</f>
        <v>612000</v>
      </c>
      <c r="H165" s="316">
        <f>SUM(H162:H164)</f>
        <v>1874800</v>
      </c>
      <c r="I165" s="316">
        <f>SUM(F165:H165)</f>
        <v>3074800</v>
      </c>
      <c r="J165" s="211"/>
    </row>
    <row r="166" spans="2:10" s="1" customFormat="1" ht="14.4" customHeight="1" x14ac:dyDescent="0.35">
      <c r="B166" s="212"/>
      <c r="C166" s="11"/>
      <c r="D166" s="316"/>
      <c r="E166" s="316"/>
      <c r="F166" s="316"/>
      <c r="G166" s="316"/>
      <c r="H166" s="316"/>
      <c r="I166" s="11"/>
      <c r="J166" s="211"/>
    </row>
    <row r="167" spans="2:10" s="1" customFormat="1" ht="14.4" customHeight="1" x14ac:dyDescent="0.35">
      <c r="B167" s="210" t="s">
        <v>172</v>
      </c>
      <c r="D167" s="362"/>
      <c r="E167" s="526" t="s">
        <v>261</v>
      </c>
      <c r="F167" s="526"/>
      <c r="G167" s="362"/>
      <c r="H167" s="362"/>
      <c r="J167" s="211"/>
    </row>
    <row r="168" spans="2:10" s="1" customFormat="1" ht="14.4" customHeight="1" x14ac:dyDescent="0.35">
      <c r="B168" s="32"/>
      <c r="C168" s="50" t="s">
        <v>47</v>
      </c>
      <c r="D168" s="360" t="s">
        <v>48</v>
      </c>
      <c r="E168" s="360" t="s">
        <v>49</v>
      </c>
      <c r="F168" s="525" t="s">
        <v>51</v>
      </c>
      <c r="G168" s="525"/>
      <c r="H168" s="360" t="s">
        <v>52</v>
      </c>
      <c r="J168" s="211"/>
    </row>
    <row r="169" spans="2:10" s="1" customFormat="1" ht="14.4" customHeight="1" x14ac:dyDescent="0.35">
      <c r="B169" s="212" t="s">
        <v>166</v>
      </c>
      <c r="C169" s="316">
        <f>C162</f>
        <v>49000</v>
      </c>
      <c r="D169" s="326">
        <f>D165</f>
        <v>12</v>
      </c>
      <c r="E169" s="326">
        <f>F165</f>
        <v>588000</v>
      </c>
      <c r="F169" s="382">
        <f>Rates!H54</f>
        <v>700.149</v>
      </c>
      <c r="G169" s="368" t="s">
        <v>102</v>
      </c>
      <c r="H169" s="316">
        <f>ROUND(D169*F169,0)</f>
        <v>8402</v>
      </c>
      <c r="J169" s="211"/>
    </row>
    <row r="170" spans="2:10" s="1" customFormat="1" ht="14.4" customHeight="1" x14ac:dyDescent="0.35">
      <c r="B170" s="212" t="s">
        <v>253</v>
      </c>
      <c r="C170" s="316">
        <f>C163</f>
        <v>51000</v>
      </c>
      <c r="D170" s="326"/>
      <c r="E170" s="326">
        <f>G165</f>
        <v>612000</v>
      </c>
      <c r="F170" s="383">
        <f>Rates!H55</f>
        <v>6.783E-3</v>
      </c>
      <c r="G170" s="368" t="s">
        <v>165</v>
      </c>
      <c r="H170" s="316">
        <f t="shared" ref="H170:H171" si="17">ROUND(E170*F170,0)</f>
        <v>4151</v>
      </c>
      <c r="J170" s="211"/>
    </row>
    <row r="171" spans="2:10" s="1" customFormat="1" ht="14.4" customHeight="1" x14ac:dyDescent="0.5">
      <c r="B171" s="315" t="s">
        <v>167</v>
      </c>
      <c r="C171" s="316">
        <f>C164</f>
        <v>100000</v>
      </c>
      <c r="D171" s="327"/>
      <c r="E171" s="327">
        <f>H165</f>
        <v>1874800</v>
      </c>
      <c r="F171" s="383">
        <f>Rates!H56</f>
        <v>6.0537000000000004E-3</v>
      </c>
      <c r="G171" s="368" t="s">
        <v>165</v>
      </c>
      <c r="H171" s="325">
        <f t="shared" si="17"/>
        <v>11349</v>
      </c>
      <c r="J171" s="211"/>
    </row>
    <row r="172" spans="2:10" s="1" customFormat="1" ht="14.4" customHeight="1" x14ac:dyDescent="0.35">
      <c r="B172" s="63"/>
      <c r="C172" s="237"/>
      <c r="D172" s="328"/>
      <c r="E172" s="328">
        <f>SUM(E169:E171)</f>
        <v>3074800</v>
      </c>
      <c r="F172" s="377"/>
      <c r="G172" s="377"/>
      <c r="H172" s="328">
        <f>SUM(H169:H171)</f>
        <v>23902</v>
      </c>
      <c r="I172" s="198"/>
      <c r="J172" s="213"/>
    </row>
    <row r="173" spans="2:10" s="1" customFormat="1" ht="14.4" customHeight="1" x14ac:dyDescent="0.35">
      <c r="B173" s="3"/>
      <c r="D173" s="326"/>
      <c r="E173" s="326"/>
      <c r="F173" s="326"/>
      <c r="G173" s="326"/>
      <c r="H173" s="326"/>
    </row>
    <row r="174" spans="2:10" s="1" customFormat="1" ht="14.4" customHeight="1" x14ac:dyDescent="0.35">
      <c r="B174" s="206" t="s">
        <v>173</v>
      </c>
      <c r="C174" s="121"/>
      <c r="D174" s="361"/>
      <c r="E174" s="524" t="s">
        <v>262</v>
      </c>
      <c r="F174" s="524"/>
      <c r="G174" s="318"/>
      <c r="H174" s="318"/>
      <c r="I174" s="208"/>
      <c r="J174" s="209"/>
    </row>
    <row r="175" spans="2:10" s="1" customFormat="1" ht="14.4" customHeight="1" x14ac:dyDescent="0.35">
      <c r="B175" s="210"/>
      <c r="C175" s="11"/>
      <c r="D175" s="320"/>
      <c r="E175" s="369"/>
      <c r="F175" s="320" t="s">
        <v>166</v>
      </c>
      <c r="G175" s="320" t="s">
        <v>253</v>
      </c>
      <c r="H175" s="320" t="s">
        <v>167</v>
      </c>
      <c r="J175" s="211"/>
    </row>
    <row r="176" spans="2:10" s="1" customFormat="1" ht="14.4" customHeight="1" x14ac:dyDescent="0.35">
      <c r="B176" s="32"/>
      <c r="C176" s="50" t="s">
        <v>47</v>
      </c>
      <c r="D176" s="360" t="s">
        <v>48</v>
      </c>
      <c r="E176" s="360" t="s">
        <v>49</v>
      </c>
      <c r="F176" s="329">
        <f>C177</f>
        <v>26000</v>
      </c>
      <c r="G176" s="329">
        <f>C178</f>
        <v>74000</v>
      </c>
      <c r="H176" s="329">
        <f>C179</f>
        <v>100000</v>
      </c>
      <c r="I176" s="71" t="s">
        <v>11</v>
      </c>
      <c r="J176" s="211"/>
    </row>
    <row r="177" spans="2:10" s="1" customFormat="1" ht="14.4" customHeight="1" x14ac:dyDescent="0.35">
      <c r="B177" s="212" t="s">
        <v>166</v>
      </c>
      <c r="C177" s="316">
        <v>26000</v>
      </c>
      <c r="D177" s="321"/>
      <c r="E177" s="321"/>
      <c r="F177" s="322">
        <f>E177</f>
        <v>0</v>
      </c>
      <c r="G177" s="322"/>
      <c r="H177" s="322"/>
      <c r="I177" s="316">
        <f>SUM(E177:H177)</f>
        <v>0</v>
      </c>
      <c r="J177" s="211"/>
    </row>
    <row r="178" spans="2:10" s="1" customFormat="1" ht="14.4" customHeight="1" x14ac:dyDescent="0.35">
      <c r="B178" s="212" t="s">
        <v>253</v>
      </c>
      <c r="C178" s="316">
        <v>74000</v>
      </c>
      <c r="D178" s="321">
        <v>10</v>
      </c>
      <c r="E178" s="321">
        <v>615300</v>
      </c>
      <c r="F178" s="322">
        <f>D178*F176</f>
        <v>260000</v>
      </c>
      <c r="G178" s="322">
        <f>E178-F178</f>
        <v>355300</v>
      </c>
      <c r="H178" s="322"/>
      <c r="I178" s="316">
        <f>SUM(F178:H178)</f>
        <v>615300</v>
      </c>
      <c r="J178" s="211"/>
    </row>
    <row r="179" spans="2:10" s="1" customFormat="1" ht="14.4" customHeight="1" x14ac:dyDescent="0.5">
      <c r="B179" s="212" t="s">
        <v>167</v>
      </c>
      <c r="C179" s="316">
        <v>100000</v>
      </c>
      <c r="D179" s="323">
        <v>2</v>
      </c>
      <c r="E179" s="323">
        <v>655000</v>
      </c>
      <c r="F179" s="324">
        <f>D179*F176</f>
        <v>52000</v>
      </c>
      <c r="G179" s="324">
        <f>D179*G176</f>
        <v>148000</v>
      </c>
      <c r="H179" s="324">
        <f>E179-F179-G179</f>
        <v>455000</v>
      </c>
      <c r="I179" s="325">
        <f>SUM(F179:H179)</f>
        <v>655000</v>
      </c>
      <c r="J179" s="211"/>
    </row>
    <row r="180" spans="2:10" s="1" customFormat="1" ht="14.4" customHeight="1" x14ac:dyDescent="0.35">
      <c r="B180" s="212"/>
      <c r="C180" s="316"/>
      <c r="D180" s="316">
        <f>SUM(D177:D179)</f>
        <v>12</v>
      </c>
      <c r="E180" s="316">
        <f>SUM(E177:E179)</f>
        <v>1270300</v>
      </c>
      <c r="F180" s="316">
        <f>SUM(F177:F179)</f>
        <v>312000</v>
      </c>
      <c r="G180" s="316">
        <f>SUM(G177:G179)</f>
        <v>503300</v>
      </c>
      <c r="H180" s="316">
        <f>SUM(H177:H179)</f>
        <v>455000</v>
      </c>
      <c r="I180" s="316">
        <f>SUM(F180:H180)</f>
        <v>1270300</v>
      </c>
      <c r="J180" s="211"/>
    </row>
    <row r="181" spans="2:10" s="1" customFormat="1" ht="14.4" customHeight="1" x14ac:dyDescent="0.35">
      <c r="B181" s="212"/>
      <c r="C181" s="316"/>
      <c r="D181" s="316"/>
      <c r="E181" s="316"/>
      <c r="F181" s="316"/>
      <c r="G181" s="316"/>
      <c r="H181" s="316"/>
      <c r="I181" s="11"/>
      <c r="J181" s="211"/>
    </row>
    <row r="182" spans="2:10" s="1" customFormat="1" ht="14.4" customHeight="1" x14ac:dyDescent="0.35">
      <c r="B182" s="210" t="s">
        <v>172</v>
      </c>
      <c r="C182" s="326"/>
      <c r="D182" s="362"/>
      <c r="E182" s="524" t="s">
        <v>262</v>
      </c>
      <c r="F182" s="524"/>
      <c r="G182" s="362"/>
      <c r="H182" s="362"/>
      <c r="J182" s="211"/>
    </row>
    <row r="183" spans="2:10" s="1" customFormat="1" ht="14.4" customHeight="1" x14ac:dyDescent="0.35">
      <c r="B183" s="32"/>
      <c r="C183" s="319" t="s">
        <v>47</v>
      </c>
      <c r="D183" s="360" t="s">
        <v>48</v>
      </c>
      <c r="E183" s="360" t="s">
        <v>49</v>
      </c>
      <c r="F183" s="525" t="s">
        <v>51</v>
      </c>
      <c r="G183" s="525"/>
      <c r="H183" s="360" t="s">
        <v>52</v>
      </c>
      <c r="J183" s="211"/>
    </row>
    <row r="184" spans="2:10" s="1" customFormat="1" ht="14.4" customHeight="1" x14ac:dyDescent="0.35">
      <c r="B184" s="212" t="s">
        <v>166</v>
      </c>
      <c r="C184" s="316">
        <f>C177</f>
        <v>26000</v>
      </c>
      <c r="D184" s="326">
        <f>D180</f>
        <v>12</v>
      </c>
      <c r="E184" s="326">
        <f>F180</f>
        <v>312000</v>
      </c>
      <c r="F184" s="382">
        <f>Rates!H59</f>
        <v>372.98099999999999</v>
      </c>
      <c r="G184" s="368" t="s">
        <v>102</v>
      </c>
      <c r="H184" s="316">
        <f>ROUND(D184*F184,0)</f>
        <v>4476</v>
      </c>
      <c r="J184" s="211"/>
    </row>
    <row r="185" spans="2:10" s="1" customFormat="1" ht="14.4" customHeight="1" x14ac:dyDescent="0.35">
      <c r="B185" s="212" t="s">
        <v>253</v>
      </c>
      <c r="C185" s="316">
        <f>C178</f>
        <v>74000</v>
      </c>
      <c r="D185" s="326"/>
      <c r="E185" s="326">
        <f>G180</f>
        <v>503300</v>
      </c>
      <c r="F185" s="383">
        <f>Rates!H60</f>
        <v>6.783E-3</v>
      </c>
      <c r="G185" s="368" t="s">
        <v>165</v>
      </c>
      <c r="H185" s="316">
        <f t="shared" ref="H185:H186" si="18">ROUND(E185*F185,0)</f>
        <v>3414</v>
      </c>
      <c r="J185" s="211"/>
    </row>
    <row r="186" spans="2:10" s="1" customFormat="1" ht="14.4" customHeight="1" x14ac:dyDescent="0.5">
      <c r="B186" s="315" t="s">
        <v>167</v>
      </c>
      <c r="C186" s="316">
        <f>C179</f>
        <v>100000</v>
      </c>
      <c r="D186" s="327"/>
      <c r="E186" s="327">
        <f>H180</f>
        <v>455000</v>
      </c>
      <c r="F186" s="383">
        <f>Rates!H61</f>
        <v>6.0537000000000004E-3</v>
      </c>
      <c r="G186" s="368" t="s">
        <v>165</v>
      </c>
      <c r="H186" s="325">
        <f t="shared" si="18"/>
        <v>2754</v>
      </c>
      <c r="J186" s="211"/>
    </row>
    <row r="187" spans="2:10" s="1" customFormat="1" ht="14.4" customHeight="1" x14ac:dyDescent="0.35">
      <c r="B187" s="63"/>
      <c r="C187" s="237"/>
      <c r="D187" s="328"/>
      <c r="E187" s="328">
        <f>SUM(E184:E186)</f>
        <v>1270300</v>
      </c>
      <c r="F187" s="377"/>
      <c r="G187" s="377"/>
      <c r="H187" s="328">
        <f>SUM(H184:H186)</f>
        <v>10644</v>
      </c>
      <c r="I187" s="198"/>
      <c r="J187" s="213"/>
    </row>
    <row r="188" spans="2:10" s="1" customFormat="1" ht="14.4" customHeight="1" x14ac:dyDescent="0.35">
      <c r="B188" s="3"/>
      <c r="D188" s="326"/>
      <c r="E188" s="326"/>
      <c r="F188" s="326"/>
      <c r="G188" s="326"/>
      <c r="H188" s="326"/>
    </row>
    <row r="189" spans="2:10" s="1" customFormat="1" ht="14.4" customHeight="1" x14ac:dyDescent="0.35">
      <c r="B189" s="206" t="s">
        <v>173</v>
      </c>
      <c r="C189" s="317"/>
      <c r="D189" s="361"/>
      <c r="E189" s="524" t="s">
        <v>263</v>
      </c>
      <c r="F189" s="524"/>
      <c r="G189" s="318"/>
      <c r="H189" s="318"/>
      <c r="I189" s="208"/>
      <c r="J189" s="209"/>
    </row>
    <row r="190" spans="2:10" s="1" customFormat="1" ht="14.4" customHeight="1" x14ac:dyDescent="0.35">
      <c r="B190" s="210"/>
      <c r="C190" s="316"/>
      <c r="D190" s="320"/>
      <c r="E190" s="369"/>
      <c r="F190" s="320" t="s">
        <v>166</v>
      </c>
      <c r="G190" s="320" t="s">
        <v>167</v>
      </c>
      <c r="H190" s="326"/>
      <c r="I190" s="309"/>
      <c r="J190" s="211"/>
    </row>
    <row r="191" spans="2:10" s="1" customFormat="1" ht="14.4" customHeight="1" x14ac:dyDescent="0.35">
      <c r="B191" s="32"/>
      <c r="C191" s="319" t="s">
        <v>47</v>
      </c>
      <c r="D191" s="360" t="s">
        <v>48</v>
      </c>
      <c r="E191" s="360" t="s">
        <v>49</v>
      </c>
      <c r="F191" s="320">
        <f>C192</f>
        <v>200000</v>
      </c>
      <c r="G191" s="320">
        <f>C193</f>
        <v>200000</v>
      </c>
      <c r="H191" s="320" t="s">
        <v>11</v>
      </c>
      <c r="I191" s="309"/>
      <c r="J191" s="211"/>
    </row>
    <row r="192" spans="2:10" s="1" customFormat="1" ht="14.4" customHeight="1" x14ac:dyDescent="0.35">
      <c r="B192" s="212" t="s">
        <v>166</v>
      </c>
      <c r="C192" s="316">
        <v>200000</v>
      </c>
      <c r="D192" s="321"/>
      <c r="E192" s="321"/>
      <c r="F192" s="322">
        <f>E192</f>
        <v>0</v>
      </c>
      <c r="G192" s="322"/>
      <c r="H192" s="316">
        <f>SUM(F192:G192)</f>
        <v>0</v>
      </c>
      <c r="I192" s="309"/>
      <c r="J192" s="211"/>
    </row>
    <row r="193" spans="1:10" s="1" customFormat="1" ht="14.4" customHeight="1" x14ac:dyDescent="0.5">
      <c r="B193" s="212" t="s">
        <v>167</v>
      </c>
      <c r="C193" s="316">
        <v>200000</v>
      </c>
      <c r="D193" s="323">
        <v>12</v>
      </c>
      <c r="E193" s="323">
        <v>6560600</v>
      </c>
      <c r="F193" s="324">
        <f>D193*F191</f>
        <v>2400000</v>
      </c>
      <c r="G193" s="324">
        <f>E193-F193</f>
        <v>4160600</v>
      </c>
      <c r="H193" s="325">
        <f>SUM(F193:G193)</f>
        <v>6560600</v>
      </c>
      <c r="I193" s="309"/>
      <c r="J193" s="211"/>
    </row>
    <row r="194" spans="1:10" s="1" customFormat="1" ht="14.4" customHeight="1" x14ac:dyDescent="0.35">
      <c r="B194" s="212"/>
      <c r="C194" s="316"/>
      <c r="D194" s="316">
        <f>SUM(D192:D193)</f>
        <v>12</v>
      </c>
      <c r="E194" s="316">
        <f>SUM(E192:E193)</f>
        <v>6560600</v>
      </c>
      <c r="F194" s="316">
        <f>SUM(F192:F193)</f>
        <v>2400000</v>
      </c>
      <c r="G194" s="316">
        <f>SUM(G192:G193)</f>
        <v>4160600</v>
      </c>
      <c r="H194" s="316">
        <f>SUM(F194:G194)</f>
        <v>6560600</v>
      </c>
      <c r="I194" s="309"/>
      <c r="J194" s="211"/>
    </row>
    <row r="195" spans="1:10" s="1" customFormat="1" ht="14.4" customHeight="1" x14ac:dyDescent="0.35">
      <c r="B195" s="32"/>
      <c r="C195" s="316"/>
      <c r="D195" s="326"/>
      <c r="E195" s="326"/>
      <c r="F195" s="326"/>
      <c r="G195" s="326"/>
      <c r="H195" s="316"/>
      <c r="I195" s="316"/>
      <c r="J195" s="211"/>
    </row>
    <row r="196" spans="1:10" s="1" customFormat="1" ht="14.4" customHeight="1" x14ac:dyDescent="0.35">
      <c r="B196" s="210" t="s">
        <v>172</v>
      </c>
      <c r="C196" s="86"/>
      <c r="D196" s="362"/>
      <c r="E196" s="524" t="s">
        <v>263</v>
      </c>
      <c r="F196" s="524"/>
      <c r="G196" s="362"/>
      <c r="H196" s="362"/>
      <c r="J196" s="211"/>
    </row>
    <row r="197" spans="1:10" s="1" customFormat="1" ht="14.4" customHeight="1" x14ac:dyDescent="0.35">
      <c r="B197" s="32"/>
      <c r="C197" s="319" t="s">
        <v>47</v>
      </c>
      <c r="D197" s="360" t="s">
        <v>48</v>
      </c>
      <c r="E197" s="360" t="s">
        <v>49</v>
      </c>
      <c r="F197" s="525" t="s">
        <v>51</v>
      </c>
      <c r="G197" s="525"/>
      <c r="H197" s="360" t="s">
        <v>52</v>
      </c>
      <c r="J197" s="211"/>
    </row>
    <row r="198" spans="1:10" s="1" customFormat="1" ht="14.4" customHeight="1" x14ac:dyDescent="0.35">
      <c r="B198" s="212" t="s">
        <v>166</v>
      </c>
      <c r="C198" s="316">
        <f>C192</f>
        <v>200000</v>
      </c>
      <c r="D198" s="326">
        <f>D194</f>
        <v>12</v>
      </c>
      <c r="E198" s="326">
        <f>F194</f>
        <v>2400000</v>
      </c>
      <c r="F198" s="85">
        <f>Rates!H64</f>
        <v>1294.5940000000001</v>
      </c>
      <c r="G198" s="368" t="s">
        <v>102</v>
      </c>
      <c r="H198" s="316">
        <f>ROUND(D198*F198,0)</f>
        <v>15535</v>
      </c>
      <c r="J198" s="211"/>
    </row>
    <row r="199" spans="1:10" s="1" customFormat="1" ht="14.4" customHeight="1" x14ac:dyDescent="0.5">
      <c r="B199" s="315" t="s">
        <v>167</v>
      </c>
      <c r="C199" s="316">
        <f>C193</f>
        <v>200000</v>
      </c>
      <c r="D199" s="327"/>
      <c r="E199" s="327">
        <f>G194</f>
        <v>4160600</v>
      </c>
      <c r="F199" s="392">
        <f>Rates!H65</f>
        <v>6.0537000000000004E-3</v>
      </c>
      <c r="G199" s="368" t="s">
        <v>165</v>
      </c>
      <c r="H199" s="325">
        <f t="shared" ref="H199" si="19">ROUND(E199*F199,0)</f>
        <v>25187</v>
      </c>
      <c r="J199" s="211"/>
    </row>
    <row r="200" spans="1:10" s="1" customFormat="1" ht="14.4" customHeight="1" x14ac:dyDescent="0.35">
      <c r="B200" s="63"/>
      <c r="C200" s="328"/>
      <c r="D200" s="365"/>
      <c r="E200" s="328">
        <f>SUM(E198:E199)</f>
        <v>6560600</v>
      </c>
      <c r="F200" s="377"/>
      <c r="G200" s="377"/>
      <c r="H200" s="328">
        <f>SUM(H198:H199)</f>
        <v>40722</v>
      </c>
      <c r="I200" s="198"/>
      <c r="J200" s="213"/>
    </row>
    <row r="201" spans="1:10" s="1" customFormat="1" ht="14.4" customHeight="1" x14ac:dyDescent="0.35">
      <c r="B201" s="3"/>
      <c r="D201" s="326"/>
      <c r="E201" s="326"/>
      <c r="F201" s="326"/>
      <c r="G201" s="326"/>
      <c r="H201" s="326"/>
    </row>
    <row r="202" spans="1:10" s="1" customFormat="1" ht="14.4" customHeight="1" x14ac:dyDescent="0.5">
      <c r="A202" s="71"/>
      <c r="B202" s="3"/>
      <c r="C202" s="68"/>
      <c r="D202" s="68"/>
      <c r="E202" s="187"/>
      <c r="F202" s="187"/>
      <c r="G202" s="187"/>
      <c r="H202" s="25"/>
      <c r="I202" s="167"/>
      <c r="J202" s="167"/>
    </row>
    <row r="203" spans="1:10" s="1" customFormat="1" ht="14.4" customHeight="1" x14ac:dyDescent="0.35">
      <c r="A203" s="71"/>
      <c r="B203" s="3"/>
      <c r="C203" s="11"/>
      <c r="D203" s="3"/>
      <c r="E203" s="3"/>
      <c r="F203" s="3"/>
      <c r="G203" s="3"/>
      <c r="H203" s="3"/>
      <c r="I203" s="167"/>
      <c r="J203" s="167"/>
    </row>
    <row r="204" spans="1:10" s="1" customFormat="1" ht="14.4" customHeight="1" x14ac:dyDescent="0.35">
      <c r="B204" s="3"/>
      <c r="G204" s="29"/>
      <c r="I204" s="3"/>
      <c r="J204" s="167"/>
    </row>
    <row r="205" spans="1:10" s="1" customFormat="1" ht="14.4" customHeight="1" x14ac:dyDescent="0.35">
      <c r="A205" s="86"/>
      <c r="B205" s="86"/>
      <c r="C205" s="86"/>
      <c r="D205" s="527"/>
      <c r="E205" s="527"/>
      <c r="F205" s="86"/>
      <c r="G205" s="86"/>
      <c r="I205" s="3"/>
      <c r="J205" s="167"/>
    </row>
    <row r="206" spans="1:10" s="1" customFormat="1" ht="14.4" customHeight="1" x14ac:dyDescent="0.35">
      <c r="B206" s="58"/>
      <c r="C206" s="67"/>
      <c r="D206" s="67"/>
      <c r="E206" s="530"/>
      <c r="F206" s="530"/>
      <c r="G206" s="75"/>
      <c r="I206" s="3"/>
      <c r="J206" s="167"/>
    </row>
    <row r="207" spans="1:10" s="1" customFormat="1" ht="14.4" customHeight="1" x14ac:dyDescent="0.35">
      <c r="A207" s="71"/>
      <c r="B207" s="3"/>
      <c r="E207" s="60"/>
      <c r="F207" s="31"/>
      <c r="G207" s="154"/>
      <c r="I207" s="3"/>
      <c r="J207" s="167"/>
    </row>
    <row r="208" spans="1:10" s="1" customFormat="1" ht="14.4" customHeight="1" x14ac:dyDescent="0.35">
      <c r="A208" s="71"/>
      <c r="B208" s="3"/>
      <c r="E208" s="179"/>
      <c r="F208" s="31"/>
      <c r="G208" s="154"/>
      <c r="I208" s="3"/>
      <c r="J208" s="167"/>
    </row>
    <row r="209" spans="1:10" s="1" customFormat="1" ht="14.4" customHeight="1" x14ac:dyDescent="0.5">
      <c r="A209" s="177"/>
      <c r="B209" s="3"/>
      <c r="C209" s="61"/>
      <c r="D209" s="61"/>
      <c r="E209" s="179"/>
      <c r="F209" s="31"/>
      <c r="G209" s="194"/>
      <c r="I209" s="3"/>
      <c r="J209" s="167"/>
    </row>
    <row r="210" spans="1:10" s="1" customFormat="1" ht="14.4" customHeight="1" x14ac:dyDescent="0.35">
      <c r="B210" s="3"/>
      <c r="C210" s="155"/>
      <c r="D210" s="3"/>
      <c r="G210" s="155"/>
      <c r="I210" s="3"/>
      <c r="J210" s="167"/>
    </row>
    <row r="211" spans="1:10" s="1" customFormat="1" ht="14.4" customHeight="1" x14ac:dyDescent="0.35">
      <c r="B211" s="3"/>
      <c r="C211" s="155"/>
      <c r="D211" s="3"/>
      <c r="G211" s="155"/>
      <c r="I211" s="3"/>
      <c r="J211" s="167"/>
    </row>
    <row r="212" spans="1:10" s="1" customFormat="1" ht="14.4" customHeight="1" x14ac:dyDescent="0.35">
      <c r="B212" s="3"/>
      <c r="G212" s="29"/>
      <c r="I212" s="3"/>
      <c r="J212" s="167"/>
    </row>
    <row r="213" spans="1:10" s="1" customFormat="1" ht="14.4" customHeight="1" x14ac:dyDescent="0.35">
      <c r="B213" s="3"/>
      <c r="G213" s="29"/>
      <c r="I213" s="3"/>
      <c r="J213" s="167"/>
    </row>
    <row r="214" spans="1:10" s="1" customFormat="1" ht="14.4" customHeight="1" x14ac:dyDescent="0.35">
      <c r="B214" s="3"/>
      <c r="G214" s="29"/>
      <c r="I214" s="3"/>
      <c r="J214" s="167"/>
    </row>
    <row r="215" spans="1:10" s="1" customFormat="1" ht="14.4" customHeight="1" x14ac:dyDescent="0.35">
      <c r="B215" s="3"/>
      <c r="G215" s="29"/>
      <c r="I215" s="3"/>
      <c r="J215" s="167"/>
    </row>
    <row r="216" spans="1:10" s="1" customFormat="1" ht="14.4" customHeight="1" x14ac:dyDescent="0.35">
      <c r="B216" s="3"/>
      <c r="G216" s="29"/>
      <c r="I216" s="3"/>
      <c r="J216" s="167"/>
    </row>
    <row r="217" spans="1:10" s="1" customFormat="1" ht="14.4" customHeight="1" x14ac:dyDescent="0.35">
      <c r="B217" s="3"/>
      <c r="G217" s="29"/>
      <c r="I217" s="3"/>
      <c r="J217" s="167"/>
    </row>
    <row r="218" spans="1:10" s="1" customFormat="1" ht="14.4" customHeight="1" x14ac:dyDescent="0.35">
      <c r="B218" s="3"/>
      <c r="G218" s="29"/>
      <c r="I218" s="3"/>
      <c r="J218" s="167"/>
    </row>
    <row r="219" spans="1:10" s="1" customFormat="1" ht="14.4" customHeight="1" x14ac:dyDescent="0.35">
      <c r="B219" s="3"/>
      <c r="G219" s="196"/>
      <c r="I219" s="3"/>
      <c r="J219" s="167"/>
    </row>
    <row r="220" spans="1:10" s="1" customFormat="1" ht="14.4" customHeight="1" x14ac:dyDescent="0.35">
      <c r="B220" s="3"/>
      <c r="G220" s="29"/>
      <c r="I220" s="3"/>
      <c r="J220" s="167"/>
    </row>
    <row r="221" spans="1:10" s="1" customFormat="1" ht="14.4" customHeight="1" x14ac:dyDescent="0.35">
      <c r="B221" s="3"/>
      <c r="G221" s="29"/>
      <c r="I221" s="3"/>
      <c r="J221" s="167"/>
    </row>
    <row r="222" spans="1:10" s="1" customFormat="1" ht="14.4" customHeight="1" x14ac:dyDescent="0.35">
      <c r="B222" s="3"/>
      <c r="G222" s="29"/>
      <c r="I222" s="3"/>
      <c r="J222" s="167"/>
    </row>
    <row r="223" spans="1:10" s="1" customFormat="1" ht="14.4" customHeight="1" x14ac:dyDescent="0.35">
      <c r="B223" s="3"/>
      <c r="G223" s="29"/>
      <c r="I223" s="3"/>
      <c r="J223" s="167"/>
    </row>
    <row r="224" spans="1:10" s="1" customFormat="1" ht="14.4" customHeight="1" x14ac:dyDescent="0.35">
      <c r="B224" s="3"/>
      <c r="G224" s="29"/>
      <c r="I224" s="3"/>
      <c r="J224" s="167"/>
    </row>
    <row r="225" spans="2:10" s="1" customFormat="1" ht="14.4" customHeight="1" x14ac:dyDescent="0.35">
      <c r="B225" s="3"/>
      <c r="G225" s="29"/>
      <c r="I225" s="3"/>
      <c r="J225" s="167"/>
    </row>
    <row r="226" spans="2:10" s="1" customFormat="1" ht="14.4" customHeight="1" x14ac:dyDescent="0.35">
      <c r="B226" s="3"/>
      <c r="G226" s="29"/>
      <c r="I226" s="3"/>
      <c r="J226" s="167"/>
    </row>
    <row r="227" spans="2:10" s="1" customFormat="1" ht="14.4" customHeight="1" x14ac:dyDescent="0.35">
      <c r="B227" s="3"/>
      <c r="G227" s="29"/>
      <c r="I227" s="3"/>
      <c r="J227" s="167"/>
    </row>
    <row r="228" spans="2:10" s="1" customFormat="1" ht="14.4" customHeight="1" x14ac:dyDescent="0.35">
      <c r="B228" s="3"/>
      <c r="G228" s="29"/>
      <c r="I228" s="3"/>
      <c r="J228" s="167"/>
    </row>
    <row r="229" spans="2:10" s="1" customFormat="1" ht="14.4" customHeight="1" x14ac:dyDescent="0.35">
      <c r="B229" s="3"/>
      <c r="G229" s="29"/>
      <c r="I229" s="3"/>
      <c r="J229" s="167"/>
    </row>
    <row r="230" spans="2:10" s="1" customFormat="1" ht="14.4" customHeight="1" x14ac:dyDescent="0.35">
      <c r="B230" s="3"/>
      <c r="G230" s="29"/>
      <c r="I230" s="3"/>
      <c r="J230" s="167"/>
    </row>
    <row r="231" spans="2:10" s="1" customFormat="1" ht="14.4" customHeight="1" x14ac:dyDescent="0.35">
      <c r="B231" s="3"/>
      <c r="G231" s="29"/>
      <c r="I231" s="3"/>
      <c r="J231" s="167"/>
    </row>
    <row r="232" spans="2:10" s="1" customFormat="1" ht="14.4" customHeight="1" x14ac:dyDescent="0.35">
      <c r="B232" s="3"/>
      <c r="G232" s="29"/>
      <c r="I232" s="3"/>
      <c r="J232" s="167"/>
    </row>
    <row r="233" spans="2:10" s="1" customFormat="1" ht="14.4" customHeight="1" x14ac:dyDescent="0.35">
      <c r="B233" s="3"/>
      <c r="G233" s="29"/>
      <c r="I233" s="3"/>
      <c r="J233" s="167"/>
    </row>
    <row r="234" spans="2:10" s="1" customFormat="1" ht="14.4" customHeight="1" x14ac:dyDescent="0.35">
      <c r="B234" s="3"/>
      <c r="G234" s="29"/>
      <c r="I234" s="3"/>
      <c r="J234" s="167"/>
    </row>
    <row r="235" spans="2:10" s="1" customFormat="1" ht="14.4" customHeight="1" x14ac:dyDescent="0.35">
      <c r="B235" s="3"/>
      <c r="G235" s="29"/>
      <c r="I235" s="3"/>
      <c r="J235" s="167"/>
    </row>
    <row r="236" spans="2:10" s="1" customFormat="1" ht="14.4" customHeight="1" x14ac:dyDescent="0.35">
      <c r="B236" s="3"/>
      <c r="G236" s="29"/>
      <c r="I236" s="3"/>
      <c r="J236" s="167"/>
    </row>
    <row r="237" spans="2:10" s="1" customFormat="1" ht="14.4" customHeight="1" x14ac:dyDescent="0.35">
      <c r="B237" s="3"/>
      <c r="G237" s="29"/>
      <c r="I237" s="3"/>
      <c r="J237" s="167"/>
    </row>
    <row r="238" spans="2:10" s="1" customFormat="1" ht="14.4" customHeight="1" x14ac:dyDescent="0.35">
      <c r="B238" s="3"/>
      <c r="G238" s="29"/>
      <c r="I238" s="3"/>
      <c r="J238" s="167"/>
    </row>
    <row r="239" spans="2:10" s="1" customFormat="1" ht="14.4" customHeight="1" x14ac:dyDescent="0.35">
      <c r="B239" s="3"/>
      <c r="G239" s="29"/>
      <c r="I239" s="3"/>
      <c r="J239" s="167"/>
    </row>
    <row r="240" spans="2:10" s="1" customFormat="1" ht="14.4" customHeight="1" x14ac:dyDescent="0.35">
      <c r="B240" s="3"/>
      <c r="G240" s="29"/>
      <c r="I240" s="3"/>
      <c r="J240" s="167"/>
    </row>
    <row r="241" spans="2:10" s="1" customFormat="1" ht="14.4" customHeight="1" x14ac:dyDescent="0.35">
      <c r="B241" s="3"/>
      <c r="G241" s="29"/>
      <c r="I241" s="3"/>
      <c r="J241" s="167"/>
    </row>
    <row r="242" spans="2:10" s="1" customFormat="1" ht="14.4" customHeight="1" x14ac:dyDescent="0.35">
      <c r="B242" s="3"/>
      <c r="G242" s="29"/>
      <c r="I242" s="3"/>
      <c r="J242" s="167"/>
    </row>
    <row r="243" spans="2:10" s="1" customFormat="1" ht="14.4" customHeight="1" x14ac:dyDescent="0.35">
      <c r="B243" s="3"/>
      <c r="G243" s="29"/>
      <c r="I243" s="3"/>
      <c r="J243" s="167"/>
    </row>
    <row r="244" spans="2:10" s="1" customFormat="1" ht="14.4" customHeight="1" x14ac:dyDescent="0.35">
      <c r="B244" s="3"/>
      <c r="G244" s="29"/>
      <c r="I244" s="3"/>
      <c r="J244" s="167"/>
    </row>
    <row r="245" spans="2:10" s="1" customFormat="1" ht="14.4" customHeight="1" x14ac:dyDescent="0.35">
      <c r="B245" s="3"/>
      <c r="G245" s="29"/>
      <c r="I245" s="3"/>
      <c r="J245" s="167"/>
    </row>
    <row r="246" spans="2:10" s="1" customFormat="1" ht="14.4" customHeight="1" x14ac:dyDescent="0.35">
      <c r="B246" s="3"/>
      <c r="G246" s="29"/>
      <c r="I246" s="3"/>
      <c r="J246" s="167"/>
    </row>
    <row r="247" spans="2:10" s="1" customFormat="1" ht="14.4" customHeight="1" x14ac:dyDescent="0.35">
      <c r="B247" s="3"/>
      <c r="G247" s="29"/>
      <c r="I247" s="3"/>
      <c r="J247" s="167"/>
    </row>
    <row r="248" spans="2:10" s="1" customFormat="1" ht="14.4" customHeight="1" x14ac:dyDescent="0.35">
      <c r="B248" s="3"/>
      <c r="G248" s="29"/>
      <c r="I248" s="3"/>
      <c r="J248" s="167"/>
    </row>
    <row r="249" spans="2:10" s="1" customFormat="1" ht="14.4" customHeight="1" x14ac:dyDescent="0.35">
      <c r="B249" s="3"/>
      <c r="G249" s="29"/>
      <c r="I249" s="3"/>
      <c r="J249" s="167"/>
    </row>
    <row r="250" spans="2:10" s="1" customFormat="1" ht="14.4" customHeight="1" x14ac:dyDescent="0.35">
      <c r="B250" s="3"/>
      <c r="G250" s="29"/>
      <c r="I250" s="3"/>
      <c r="J250" s="167"/>
    </row>
    <row r="251" spans="2:10" s="1" customFormat="1" ht="14.4" customHeight="1" x14ac:dyDescent="0.35">
      <c r="B251" s="3"/>
      <c r="G251" s="29"/>
      <c r="I251" s="3"/>
      <c r="J251" s="167"/>
    </row>
    <row r="252" spans="2:10" s="1" customFormat="1" ht="14.4" customHeight="1" x14ac:dyDescent="0.35">
      <c r="B252" s="3"/>
      <c r="G252" s="29"/>
      <c r="I252" s="3"/>
      <c r="J252" s="167"/>
    </row>
    <row r="253" spans="2:10" s="1" customFormat="1" ht="14.4" customHeight="1" x14ac:dyDescent="0.35">
      <c r="B253" s="3"/>
      <c r="G253" s="29"/>
      <c r="I253" s="3"/>
      <c r="J253" s="167"/>
    </row>
    <row r="254" spans="2:10" s="1" customFormat="1" ht="14.4" customHeight="1" x14ac:dyDescent="0.35">
      <c r="B254" s="3"/>
      <c r="G254" s="29"/>
      <c r="I254" s="3"/>
      <c r="J254" s="167"/>
    </row>
    <row r="255" spans="2:10" s="1" customFormat="1" ht="14.4" customHeight="1" x14ac:dyDescent="0.35">
      <c r="B255" s="3"/>
      <c r="G255" s="29"/>
      <c r="I255" s="3"/>
      <c r="J255" s="167"/>
    </row>
    <row r="256" spans="2:10" s="1" customFormat="1" ht="14.4" customHeight="1" x14ac:dyDescent="0.35">
      <c r="B256" s="3"/>
      <c r="G256" s="29"/>
      <c r="I256" s="3"/>
      <c r="J256" s="167"/>
    </row>
    <row r="257" spans="2:10" s="1" customFormat="1" ht="14.4" customHeight="1" x14ac:dyDescent="0.35">
      <c r="B257" s="3"/>
      <c r="G257" s="29"/>
      <c r="I257" s="3"/>
      <c r="J257" s="167"/>
    </row>
    <row r="258" spans="2:10" s="1" customFormat="1" ht="14.4" customHeight="1" x14ac:dyDescent="0.35">
      <c r="B258" s="3"/>
      <c r="G258" s="29"/>
      <c r="I258" s="3"/>
      <c r="J258" s="167"/>
    </row>
    <row r="259" spans="2:10" s="1" customFormat="1" ht="14.4" customHeight="1" x14ac:dyDescent="0.35">
      <c r="B259" s="3"/>
      <c r="G259" s="29"/>
      <c r="I259" s="3"/>
      <c r="J259" s="167"/>
    </row>
    <row r="260" spans="2:10" s="1" customFormat="1" ht="14.4" customHeight="1" x14ac:dyDescent="0.35">
      <c r="B260" s="3"/>
      <c r="G260" s="29"/>
      <c r="I260" s="3"/>
      <c r="J260" s="167"/>
    </row>
    <row r="261" spans="2:10" s="1" customFormat="1" ht="14.4" customHeight="1" x14ac:dyDescent="0.35">
      <c r="B261" s="3"/>
      <c r="G261" s="29"/>
      <c r="I261" s="3"/>
      <c r="J261" s="167"/>
    </row>
    <row r="262" spans="2:10" s="1" customFormat="1" ht="14.4" customHeight="1" x14ac:dyDescent="0.35">
      <c r="B262" s="3"/>
      <c r="G262" s="29"/>
      <c r="I262" s="3"/>
      <c r="J262" s="167"/>
    </row>
    <row r="263" spans="2:10" s="1" customFormat="1" ht="14.4" customHeight="1" x14ac:dyDescent="0.35">
      <c r="B263" s="3"/>
      <c r="G263" s="29"/>
      <c r="I263" s="3"/>
      <c r="J263" s="167"/>
    </row>
    <row r="264" spans="2:10" s="1" customFormat="1" ht="14.4" customHeight="1" x14ac:dyDescent="0.35">
      <c r="B264" s="3"/>
      <c r="G264" s="29"/>
      <c r="I264" s="3"/>
      <c r="J264" s="167"/>
    </row>
    <row r="265" spans="2:10" s="1" customFormat="1" ht="14.4" customHeight="1" x14ac:dyDescent="0.35">
      <c r="B265" s="3"/>
      <c r="G265" s="29"/>
      <c r="I265" s="3"/>
      <c r="J265" s="167"/>
    </row>
    <row r="266" spans="2:10" s="1" customFormat="1" ht="14.4" customHeight="1" x14ac:dyDescent="0.35">
      <c r="B266" s="3"/>
      <c r="G266" s="29"/>
      <c r="I266" s="3"/>
      <c r="J266" s="167"/>
    </row>
    <row r="267" spans="2:10" s="1" customFormat="1" ht="14.4" customHeight="1" x14ac:dyDescent="0.35">
      <c r="B267" s="3"/>
      <c r="G267" s="29"/>
      <c r="I267" s="3"/>
      <c r="J267" s="167"/>
    </row>
    <row r="268" spans="2:10" s="1" customFormat="1" ht="14.4" customHeight="1" x14ac:dyDescent="0.35">
      <c r="B268" s="3"/>
      <c r="G268" s="29"/>
      <c r="I268" s="3"/>
      <c r="J268" s="167"/>
    </row>
    <row r="269" spans="2:10" s="1" customFormat="1" ht="14.4" customHeight="1" x14ac:dyDescent="0.35">
      <c r="B269" s="3"/>
      <c r="G269" s="29"/>
      <c r="I269" s="3"/>
      <c r="J269" s="167"/>
    </row>
    <row r="270" spans="2:10" s="1" customFormat="1" ht="14.4" customHeight="1" x14ac:dyDescent="0.35">
      <c r="B270" s="3"/>
      <c r="G270" s="29"/>
      <c r="I270" s="3"/>
      <c r="J270" s="167"/>
    </row>
    <row r="271" spans="2:10" s="1" customFormat="1" ht="14.4" customHeight="1" x14ac:dyDescent="0.35">
      <c r="B271" s="3"/>
      <c r="G271" s="29"/>
      <c r="I271" s="3"/>
      <c r="J271" s="167"/>
    </row>
    <row r="272" spans="2:10" s="1" customFormat="1" ht="14.4" customHeight="1" x14ac:dyDescent="0.35">
      <c r="B272" s="3"/>
      <c r="G272" s="29"/>
      <c r="I272" s="3"/>
      <c r="J272" s="167"/>
    </row>
    <row r="273" spans="2:10" s="1" customFormat="1" ht="14.4" customHeight="1" x14ac:dyDescent="0.35">
      <c r="B273" s="3"/>
      <c r="G273" s="29"/>
      <c r="I273" s="3"/>
      <c r="J273" s="167"/>
    </row>
    <row r="274" spans="2:10" s="1" customFormat="1" ht="14.4" customHeight="1" x14ac:dyDescent="0.35">
      <c r="B274" s="3"/>
      <c r="G274" s="29"/>
      <c r="I274" s="3"/>
      <c r="J274" s="167"/>
    </row>
    <row r="275" spans="2:10" s="1" customFormat="1" ht="14.4" customHeight="1" x14ac:dyDescent="0.35">
      <c r="B275" s="3"/>
      <c r="G275" s="29"/>
      <c r="I275" s="3"/>
      <c r="J275" s="167"/>
    </row>
    <row r="276" spans="2:10" s="1" customFormat="1" ht="14.4" customHeight="1" x14ac:dyDescent="0.35">
      <c r="B276" s="3"/>
      <c r="G276" s="29"/>
      <c r="I276" s="3"/>
      <c r="J276" s="167"/>
    </row>
    <row r="277" spans="2:10" s="1" customFormat="1" ht="14.4" customHeight="1" x14ac:dyDescent="0.35">
      <c r="B277" s="3"/>
      <c r="G277" s="29"/>
      <c r="I277" s="3"/>
      <c r="J277" s="167"/>
    </row>
    <row r="278" spans="2:10" s="1" customFormat="1" ht="14.4" customHeight="1" x14ac:dyDescent="0.35">
      <c r="B278" s="3"/>
      <c r="G278" s="29"/>
      <c r="I278" s="3"/>
      <c r="J278" s="167"/>
    </row>
    <row r="279" spans="2:10" s="1" customFormat="1" ht="14.4" customHeight="1" x14ac:dyDescent="0.35">
      <c r="B279" s="3"/>
      <c r="G279" s="29"/>
      <c r="I279" s="3"/>
      <c r="J279" s="167"/>
    </row>
    <row r="280" spans="2:10" s="1" customFormat="1" ht="14.4" customHeight="1" x14ac:dyDescent="0.35">
      <c r="B280" s="3"/>
      <c r="G280" s="29"/>
      <c r="I280" s="3"/>
      <c r="J280" s="167"/>
    </row>
    <row r="281" spans="2:10" s="1" customFormat="1" ht="14.4" customHeight="1" x14ac:dyDescent="0.35">
      <c r="B281" s="3"/>
      <c r="G281" s="29"/>
      <c r="I281" s="3"/>
      <c r="J281" s="167"/>
    </row>
    <row r="282" spans="2:10" s="1" customFormat="1" ht="14.4" customHeight="1" x14ac:dyDescent="0.35">
      <c r="B282" s="3"/>
      <c r="G282" s="29"/>
      <c r="I282" s="3"/>
      <c r="J282" s="167"/>
    </row>
    <row r="283" spans="2:10" s="1" customFormat="1" ht="14.4" customHeight="1" x14ac:dyDescent="0.35">
      <c r="B283" s="3"/>
      <c r="G283" s="29"/>
      <c r="I283" s="3"/>
      <c r="J283" s="167"/>
    </row>
    <row r="284" spans="2:10" s="1" customFormat="1" ht="14.4" customHeight="1" x14ac:dyDescent="0.35">
      <c r="B284" s="3"/>
      <c r="G284" s="29"/>
      <c r="I284" s="3"/>
      <c r="J284" s="167"/>
    </row>
    <row r="285" spans="2:10" s="1" customFormat="1" ht="14.4" customHeight="1" x14ac:dyDescent="0.35">
      <c r="B285" s="3"/>
      <c r="G285" s="29"/>
      <c r="I285" s="3"/>
      <c r="J285" s="167"/>
    </row>
    <row r="286" spans="2:10" s="1" customFormat="1" ht="14.4" customHeight="1" x14ac:dyDescent="0.35">
      <c r="B286" s="3"/>
      <c r="G286" s="29"/>
      <c r="I286" s="3"/>
      <c r="J286" s="167"/>
    </row>
    <row r="287" spans="2:10" s="1" customFormat="1" ht="14.4" customHeight="1" x14ac:dyDescent="0.35">
      <c r="B287" s="3"/>
      <c r="G287" s="29"/>
      <c r="I287" s="3"/>
      <c r="J287" s="167"/>
    </row>
    <row r="288" spans="2:10" s="1" customFormat="1" ht="14.4" customHeight="1" x14ac:dyDescent="0.35">
      <c r="B288" s="3"/>
      <c r="G288" s="29"/>
      <c r="I288" s="3"/>
      <c r="J288" s="167"/>
    </row>
    <row r="289" spans="2:10" s="1" customFormat="1" ht="14.4" customHeight="1" x14ac:dyDescent="0.35">
      <c r="B289" s="3"/>
      <c r="G289" s="29"/>
      <c r="I289" s="3"/>
      <c r="J289" s="167"/>
    </row>
    <row r="290" spans="2:10" s="1" customFormat="1" ht="14.4" customHeight="1" x14ac:dyDescent="0.35">
      <c r="B290" s="3"/>
      <c r="G290" s="29"/>
      <c r="I290" s="3"/>
      <c r="J290" s="167"/>
    </row>
    <row r="291" spans="2:10" s="1" customFormat="1" ht="14.4" customHeight="1" x14ac:dyDescent="0.35">
      <c r="B291" s="3"/>
      <c r="G291" s="29"/>
      <c r="I291" s="3"/>
      <c r="J291" s="167"/>
    </row>
    <row r="292" spans="2:10" s="1" customFormat="1" ht="14.4" customHeight="1" x14ac:dyDescent="0.35">
      <c r="B292" s="3"/>
      <c r="G292" s="29"/>
      <c r="I292" s="3"/>
      <c r="J292" s="167"/>
    </row>
    <row r="293" spans="2:10" s="1" customFormat="1" ht="14.4" customHeight="1" x14ac:dyDescent="0.35">
      <c r="B293" s="3"/>
      <c r="G293" s="29"/>
      <c r="I293" s="3"/>
      <c r="J293" s="167"/>
    </row>
    <row r="294" spans="2:10" s="1" customFormat="1" ht="14.4" customHeight="1" x14ac:dyDescent="0.35">
      <c r="B294" s="3"/>
      <c r="G294" s="29"/>
      <c r="I294" s="3"/>
      <c r="J294" s="167"/>
    </row>
    <row r="295" spans="2:10" s="1" customFormat="1" ht="14.4" customHeight="1" x14ac:dyDescent="0.35">
      <c r="B295" s="3"/>
      <c r="G295" s="29"/>
      <c r="I295" s="3"/>
      <c r="J295" s="167"/>
    </row>
    <row r="296" spans="2:10" s="1" customFormat="1" ht="14.4" customHeight="1" x14ac:dyDescent="0.35">
      <c r="B296" s="3"/>
      <c r="G296" s="29"/>
      <c r="I296" s="3"/>
      <c r="J296" s="167"/>
    </row>
    <row r="297" spans="2:10" s="1" customFormat="1" ht="14.4" customHeight="1" x14ac:dyDescent="0.35">
      <c r="B297" s="3"/>
      <c r="G297" s="29"/>
      <c r="I297" s="3"/>
      <c r="J297" s="167"/>
    </row>
    <row r="298" spans="2:10" s="1" customFormat="1" ht="14.4" customHeight="1" x14ac:dyDescent="0.35">
      <c r="B298" s="3"/>
      <c r="G298" s="29"/>
      <c r="I298" s="3"/>
      <c r="J298" s="167"/>
    </row>
    <row r="299" spans="2:10" s="1" customFormat="1" ht="14.4" customHeight="1" x14ac:dyDescent="0.35">
      <c r="B299" s="3"/>
      <c r="G299" s="29"/>
      <c r="I299" s="3"/>
      <c r="J299" s="167"/>
    </row>
    <row r="300" spans="2:10" s="1" customFormat="1" ht="14.4" customHeight="1" x14ac:dyDescent="0.35">
      <c r="B300" s="3"/>
      <c r="G300" s="29"/>
      <c r="I300" s="3"/>
      <c r="J300" s="167"/>
    </row>
    <row r="301" spans="2:10" s="1" customFormat="1" ht="14.5" x14ac:dyDescent="0.35">
      <c r="B301" s="3"/>
      <c r="G301" s="29"/>
      <c r="I301" s="3"/>
      <c r="J301" s="167"/>
    </row>
    <row r="302" spans="2:10" s="1" customFormat="1" ht="14.5" x14ac:dyDescent="0.35">
      <c r="B302" s="3"/>
      <c r="G302" s="29"/>
      <c r="I302" s="3"/>
      <c r="J302" s="167"/>
    </row>
    <row r="303" spans="2:10" s="1" customFormat="1" ht="14.5" x14ac:dyDescent="0.35">
      <c r="B303" s="3"/>
      <c r="G303" s="29"/>
      <c r="I303" s="3"/>
      <c r="J303" s="167"/>
    </row>
    <row r="304" spans="2:10" s="1" customFormat="1" ht="14.5" x14ac:dyDescent="0.35">
      <c r="B304" s="3"/>
      <c r="G304" s="29"/>
      <c r="I304" s="3"/>
      <c r="J304" s="167"/>
    </row>
    <row r="305" spans="2:10" s="1" customFormat="1" ht="14.5" x14ac:dyDescent="0.35">
      <c r="B305" s="3"/>
      <c r="G305" s="29"/>
      <c r="I305" s="3"/>
      <c r="J305" s="167"/>
    </row>
    <row r="306" spans="2:10" s="1" customFormat="1" ht="14.5" x14ac:dyDescent="0.35">
      <c r="B306" s="3"/>
      <c r="G306" s="29"/>
      <c r="I306" s="3"/>
      <c r="J306" s="167"/>
    </row>
    <row r="307" spans="2:10" s="1" customFormat="1" ht="14.5" x14ac:dyDescent="0.35">
      <c r="B307" s="3"/>
      <c r="G307" s="29"/>
      <c r="I307" s="3"/>
      <c r="J307" s="167"/>
    </row>
    <row r="308" spans="2:10" s="1" customFormat="1" ht="14.5" x14ac:dyDescent="0.35">
      <c r="B308" s="3"/>
      <c r="G308" s="29"/>
      <c r="I308" s="3"/>
      <c r="J308" s="167"/>
    </row>
    <row r="309" spans="2:10" s="1" customFormat="1" ht="14.5" x14ac:dyDescent="0.35">
      <c r="B309" s="3"/>
      <c r="G309" s="29"/>
      <c r="I309" s="3"/>
      <c r="J309" s="167"/>
    </row>
    <row r="310" spans="2:10" s="1" customFormat="1" ht="14.5" x14ac:dyDescent="0.35">
      <c r="B310" s="3"/>
      <c r="G310" s="29"/>
      <c r="I310" s="3"/>
      <c r="J310" s="167"/>
    </row>
    <row r="311" spans="2:10" s="1" customFormat="1" ht="14.5" x14ac:dyDescent="0.35">
      <c r="B311" s="3"/>
      <c r="G311" s="29"/>
      <c r="I311" s="3"/>
      <c r="J311" s="167"/>
    </row>
    <row r="312" spans="2:10" s="1" customFormat="1" ht="14.5" x14ac:dyDescent="0.35">
      <c r="B312" s="3"/>
      <c r="G312" s="29"/>
      <c r="I312" s="3"/>
      <c r="J312" s="167"/>
    </row>
    <row r="313" spans="2:10" s="1" customFormat="1" ht="14.5" x14ac:dyDescent="0.35">
      <c r="B313" s="3"/>
      <c r="G313" s="29"/>
      <c r="I313" s="3"/>
      <c r="J313" s="167"/>
    </row>
    <row r="314" spans="2:10" s="1" customFormat="1" ht="14.5" x14ac:dyDescent="0.35">
      <c r="B314" s="3"/>
      <c r="G314" s="29"/>
      <c r="I314" s="3"/>
      <c r="J314" s="167"/>
    </row>
    <row r="315" spans="2:10" s="1" customFormat="1" ht="14.5" x14ac:dyDescent="0.35">
      <c r="B315" s="3"/>
      <c r="G315" s="29"/>
      <c r="I315" s="3"/>
      <c r="J315" s="167"/>
    </row>
    <row r="316" spans="2:10" s="1" customFormat="1" ht="14.5" x14ac:dyDescent="0.35">
      <c r="B316" s="3"/>
      <c r="G316" s="29"/>
      <c r="I316" s="3"/>
      <c r="J316" s="167"/>
    </row>
    <row r="317" spans="2:10" s="1" customFormat="1" ht="14.5" x14ac:dyDescent="0.35">
      <c r="B317" s="3"/>
      <c r="G317" s="29"/>
      <c r="I317" s="3"/>
      <c r="J317" s="167"/>
    </row>
    <row r="318" spans="2:10" s="1" customFormat="1" ht="14.5" x14ac:dyDescent="0.35">
      <c r="B318" s="3"/>
      <c r="G318" s="29"/>
      <c r="I318" s="3"/>
      <c r="J318" s="167"/>
    </row>
    <row r="319" spans="2:10" s="1" customFormat="1" ht="14.5" x14ac:dyDescent="0.35">
      <c r="B319" s="3"/>
      <c r="G319" s="29"/>
      <c r="I319" s="3"/>
      <c r="J319" s="167"/>
    </row>
    <row r="320" spans="2:10" s="1" customFormat="1" ht="14.5" x14ac:dyDescent="0.35">
      <c r="B320" s="3"/>
      <c r="G320" s="29"/>
      <c r="I320" s="3"/>
      <c r="J320" s="167"/>
    </row>
    <row r="321" spans="2:10" s="1" customFormat="1" ht="14.5" x14ac:dyDescent="0.35">
      <c r="B321" s="3"/>
      <c r="G321" s="29"/>
      <c r="I321" s="3"/>
      <c r="J321" s="167"/>
    </row>
    <row r="322" spans="2:10" s="1" customFormat="1" ht="14.5" x14ac:dyDescent="0.35">
      <c r="B322" s="3"/>
      <c r="G322" s="29"/>
      <c r="I322" s="3"/>
      <c r="J322" s="167"/>
    </row>
    <row r="323" spans="2:10" s="1" customFormat="1" ht="14.5" x14ac:dyDescent="0.35">
      <c r="B323" s="3"/>
      <c r="G323" s="29"/>
      <c r="I323" s="3"/>
      <c r="J323" s="167"/>
    </row>
    <row r="324" spans="2:10" s="1" customFormat="1" ht="14.5" x14ac:dyDescent="0.35">
      <c r="B324" s="3"/>
      <c r="G324" s="29"/>
      <c r="I324" s="3"/>
      <c r="J324" s="167"/>
    </row>
    <row r="325" spans="2:10" s="1" customFormat="1" ht="14.5" x14ac:dyDescent="0.35">
      <c r="B325" s="3"/>
      <c r="G325" s="29"/>
      <c r="I325" s="3"/>
      <c r="J325" s="167"/>
    </row>
    <row r="326" spans="2:10" s="1" customFormat="1" ht="14.5" x14ac:dyDescent="0.35">
      <c r="B326" s="3"/>
      <c r="G326" s="29"/>
      <c r="I326" s="3"/>
      <c r="J326" s="167"/>
    </row>
    <row r="327" spans="2:10" s="1" customFormat="1" ht="14.5" x14ac:dyDescent="0.35">
      <c r="B327" s="3"/>
      <c r="G327" s="29"/>
      <c r="I327" s="3"/>
      <c r="J327" s="167"/>
    </row>
    <row r="328" spans="2:10" s="1" customFormat="1" ht="14.5" x14ac:dyDescent="0.35">
      <c r="B328" s="3"/>
      <c r="G328" s="29"/>
      <c r="I328" s="3"/>
      <c r="J328" s="167"/>
    </row>
    <row r="329" spans="2:10" s="1" customFormat="1" ht="14.5" x14ac:dyDescent="0.35">
      <c r="B329" s="3"/>
      <c r="G329" s="29"/>
      <c r="I329" s="3"/>
      <c r="J329" s="167"/>
    </row>
    <row r="330" spans="2:10" s="1" customFormat="1" ht="14.5" x14ac:dyDescent="0.35">
      <c r="B330" s="3"/>
      <c r="G330" s="29"/>
      <c r="I330" s="3"/>
      <c r="J330" s="167"/>
    </row>
    <row r="331" spans="2:10" s="1" customFormat="1" ht="14.5" x14ac:dyDescent="0.35">
      <c r="B331" s="3"/>
      <c r="G331" s="29"/>
      <c r="I331" s="3"/>
      <c r="J331" s="167"/>
    </row>
    <row r="332" spans="2:10" s="1" customFormat="1" ht="14.5" x14ac:dyDescent="0.35">
      <c r="B332" s="3"/>
      <c r="G332" s="29"/>
      <c r="I332" s="3"/>
      <c r="J332" s="167"/>
    </row>
    <row r="333" spans="2:10" s="1" customFormat="1" ht="14.5" x14ac:dyDescent="0.35">
      <c r="B333" s="3"/>
      <c r="G333" s="29"/>
      <c r="I333" s="3"/>
      <c r="J333" s="167"/>
    </row>
    <row r="334" spans="2:10" s="1" customFormat="1" ht="14.5" x14ac:dyDescent="0.35">
      <c r="B334" s="3"/>
      <c r="G334" s="29"/>
      <c r="I334" s="3"/>
      <c r="J334" s="167"/>
    </row>
    <row r="335" spans="2:10" s="1" customFormat="1" ht="14.5" x14ac:dyDescent="0.35">
      <c r="B335" s="3"/>
      <c r="G335" s="29"/>
      <c r="I335" s="3"/>
      <c r="J335" s="167"/>
    </row>
    <row r="336" spans="2:10" s="1" customFormat="1" ht="14.5" x14ac:dyDescent="0.35">
      <c r="B336" s="3"/>
      <c r="G336" s="29"/>
      <c r="I336" s="3"/>
      <c r="J336" s="167"/>
    </row>
    <row r="337" spans="2:10" s="1" customFormat="1" ht="14.5" x14ac:dyDescent="0.35">
      <c r="B337" s="3"/>
      <c r="G337" s="29"/>
      <c r="I337" s="3"/>
      <c r="J337" s="167"/>
    </row>
    <row r="338" spans="2:10" s="1" customFormat="1" ht="14.5" x14ac:dyDescent="0.35">
      <c r="B338" s="3"/>
      <c r="G338" s="29"/>
      <c r="I338" s="3"/>
      <c r="J338" s="167"/>
    </row>
    <row r="339" spans="2:10" s="1" customFormat="1" ht="14.5" x14ac:dyDescent="0.35">
      <c r="B339" s="3"/>
      <c r="G339" s="29"/>
      <c r="I339" s="3"/>
      <c r="J339" s="167"/>
    </row>
    <row r="340" spans="2:10" s="1" customFormat="1" ht="14.5" x14ac:dyDescent="0.35">
      <c r="B340" s="3"/>
      <c r="G340" s="29"/>
      <c r="I340" s="3"/>
      <c r="J340" s="167"/>
    </row>
    <row r="341" spans="2:10" s="1" customFormat="1" ht="14.5" x14ac:dyDescent="0.35">
      <c r="B341" s="3"/>
      <c r="G341" s="29"/>
      <c r="I341" s="3"/>
      <c r="J341" s="167"/>
    </row>
    <row r="342" spans="2:10" s="1" customFormat="1" ht="14.5" x14ac:dyDescent="0.35">
      <c r="B342" s="3"/>
      <c r="G342" s="29"/>
      <c r="I342" s="3"/>
      <c r="J342" s="167"/>
    </row>
    <row r="343" spans="2:10" s="1" customFormat="1" ht="14.5" x14ac:dyDescent="0.35">
      <c r="B343" s="3"/>
      <c r="G343" s="29"/>
      <c r="I343" s="3"/>
      <c r="J343" s="167"/>
    </row>
    <row r="344" spans="2:10" s="1" customFormat="1" ht="14.5" x14ac:dyDescent="0.35">
      <c r="B344" s="3"/>
      <c r="G344" s="29"/>
      <c r="I344" s="3"/>
      <c r="J344" s="167"/>
    </row>
    <row r="345" spans="2:10" s="1" customFormat="1" ht="14.5" x14ac:dyDescent="0.35">
      <c r="B345" s="3"/>
      <c r="G345" s="29"/>
      <c r="I345" s="3"/>
      <c r="J345" s="167"/>
    </row>
    <row r="346" spans="2:10" s="1" customFormat="1" ht="14.5" x14ac:dyDescent="0.35">
      <c r="B346" s="3"/>
      <c r="G346" s="29"/>
      <c r="I346" s="3"/>
      <c r="J346" s="167"/>
    </row>
    <row r="347" spans="2:10" s="1" customFormat="1" ht="14.5" x14ac:dyDescent="0.35">
      <c r="B347" s="3"/>
      <c r="G347" s="29"/>
      <c r="I347" s="3"/>
      <c r="J347" s="167"/>
    </row>
    <row r="348" spans="2:10" s="1" customFormat="1" ht="14.5" x14ac:dyDescent="0.35">
      <c r="B348" s="3"/>
      <c r="G348" s="29"/>
      <c r="I348" s="3"/>
      <c r="J348" s="167"/>
    </row>
    <row r="349" spans="2:10" s="1" customFormat="1" ht="14.5" x14ac:dyDescent="0.35">
      <c r="B349" s="3"/>
      <c r="G349" s="29"/>
      <c r="I349" s="3"/>
      <c r="J349" s="167"/>
    </row>
    <row r="350" spans="2:10" s="1" customFormat="1" ht="14.5" x14ac:dyDescent="0.35">
      <c r="B350" s="3"/>
      <c r="G350" s="29"/>
      <c r="I350" s="3"/>
      <c r="J350" s="167"/>
    </row>
    <row r="351" spans="2:10" s="1" customFormat="1" ht="14.5" x14ac:dyDescent="0.35">
      <c r="B351" s="3"/>
      <c r="G351" s="29"/>
      <c r="I351" s="3"/>
      <c r="J351" s="167"/>
    </row>
    <row r="352" spans="2:10" s="1" customFormat="1" ht="14.5" x14ac:dyDescent="0.35">
      <c r="B352" s="3"/>
      <c r="G352" s="29"/>
      <c r="I352" s="3"/>
      <c r="J352" s="167"/>
    </row>
    <row r="353" spans="2:10" s="1" customFormat="1" ht="14.5" x14ac:dyDescent="0.35">
      <c r="B353" s="3"/>
      <c r="G353" s="29"/>
      <c r="I353" s="3"/>
      <c r="J353" s="167"/>
    </row>
    <row r="354" spans="2:10" s="1" customFormat="1" ht="14.5" x14ac:dyDescent="0.35">
      <c r="B354" s="3"/>
      <c r="G354" s="29"/>
      <c r="I354" s="3"/>
      <c r="J354" s="167"/>
    </row>
    <row r="355" spans="2:10" s="1" customFormat="1" ht="14.5" x14ac:dyDescent="0.35">
      <c r="B355" s="3"/>
      <c r="G355" s="29"/>
      <c r="I355" s="3"/>
      <c r="J355" s="167"/>
    </row>
    <row r="356" spans="2:10" s="1" customFormat="1" ht="14.5" x14ac:dyDescent="0.35">
      <c r="B356" s="3"/>
      <c r="G356" s="29"/>
      <c r="I356" s="3"/>
      <c r="J356" s="167"/>
    </row>
    <row r="357" spans="2:10" s="1" customFormat="1" ht="14.5" x14ac:dyDescent="0.35">
      <c r="B357" s="3"/>
      <c r="G357" s="29"/>
      <c r="I357" s="3"/>
      <c r="J357" s="167"/>
    </row>
    <row r="358" spans="2:10" s="1" customFormat="1" ht="14.5" x14ac:dyDescent="0.35">
      <c r="B358" s="3"/>
      <c r="G358" s="29"/>
      <c r="I358" s="3"/>
      <c r="J358" s="167"/>
    </row>
    <row r="359" spans="2:10" s="1" customFormat="1" ht="14.5" x14ac:dyDescent="0.35">
      <c r="B359" s="3"/>
      <c r="G359" s="29"/>
      <c r="I359" s="3"/>
      <c r="J359" s="167"/>
    </row>
    <row r="360" spans="2:10" s="1" customFormat="1" ht="14.5" x14ac:dyDescent="0.35">
      <c r="B360" s="3"/>
      <c r="G360" s="29"/>
      <c r="I360" s="3"/>
      <c r="J360" s="167"/>
    </row>
    <row r="361" spans="2:10" s="1" customFormat="1" ht="14.5" x14ac:dyDescent="0.35">
      <c r="B361" s="3"/>
      <c r="G361" s="29"/>
      <c r="I361" s="3"/>
      <c r="J361" s="167"/>
    </row>
    <row r="362" spans="2:10" s="1" customFormat="1" ht="14.5" x14ac:dyDescent="0.35">
      <c r="B362" s="3"/>
      <c r="G362" s="29"/>
      <c r="I362" s="3"/>
      <c r="J362" s="167"/>
    </row>
    <row r="363" spans="2:10" s="1" customFormat="1" ht="14.5" x14ac:dyDescent="0.35">
      <c r="B363" s="3"/>
      <c r="G363" s="29"/>
      <c r="I363" s="3"/>
      <c r="J363" s="167"/>
    </row>
    <row r="364" spans="2:10" s="1" customFormat="1" ht="14.5" x14ac:dyDescent="0.35">
      <c r="B364" s="3"/>
      <c r="G364" s="29"/>
      <c r="I364" s="3"/>
      <c r="J364" s="167"/>
    </row>
    <row r="365" spans="2:10" s="1" customFormat="1" ht="14.5" x14ac:dyDescent="0.35">
      <c r="B365" s="3"/>
      <c r="G365" s="29"/>
      <c r="I365" s="3"/>
      <c r="J365" s="167"/>
    </row>
    <row r="366" spans="2:10" s="1" customFormat="1" ht="14.5" x14ac:dyDescent="0.35">
      <c r="B366" s="3"/>
      <c r="G366" s="29"/>
      <c r="I366" s="3"/>
      <c r="J366" s="167"/>
    </row>
    <row r="367" spans="2:10" s="1" customFormat="1" ht="14.5" x14ac:dyDescent="0.35">
      <c r="B367" s="3"/>
      <c r="G367" s="29"/>
      <c r="I367" s="3"/>
      <c r="J367" s="167"/>
    </row>
    <row r="368" spans="2:10" s="1" customFormat="1" ht="14.5" x14ac:dyDescent="0.35">
      <c r="B368" s="3"/>
      <c r="G368" s="29"/>
      <c r="I368" s="3"/>
      <c r="J368" s="167"/>
    </row>
    <row r="369" spans="2:10" s="1" customFormat="1" ht="14.5" x14ac:dyDescent="0.35">
      <c r="B369" s="3"/>
      <c r="G369" s="29"/>
      <c r="I369" s="3"/>
      <c r="J369" s="167"/>
    </row>
    <row r="370" spans="2:10" s="1" customFormat="1" ht="14.5" x14ac:dyDescent="0.35">
      <c r="B370" s="3"/>
      <c r="G370" s="29"/>
      <c r="I370" s="3"/>
      <c r="J370" s="167"/>
    </row>
    <row r="371" spans="2:10" s="1" customFormat="1" ht="14.5" x14ac:dyDescent="0.35">
      <c r="B371" s="3"/>
      <c r="G371" s="29"/>
      <c r="I371" s="3"/>
      <c r="J371" s="167"/>
    </row>
    <row r="372" spans="2:10" s="1" customFormat="1" ht="14.5" x14ac:dyDescent="0.35">
      <c r="B372" s="3"/>
      <c r="G372" s="29"/>
      <c r="I372" s="3"/>
      <c r="J372" s="167"/>
    </row>
    <row r="373" spans="2:10" s="1" customFormat="1" ht="14.5" x14ac:dyDescent="0.35">
      <c r="B373" s="3"/>
      <c r="G373" s="29"/>
      <c r="I373" s="3"/>
      <c r="J373" s="167"/>
    </row>
    <row r="374" spans="2:10" s="1" customFormat="1" ht="14.5" x14ac:dyDescent="0.35">
      <c r="B374" s="3"/>
      <c r="G374" s="29"/>
      <c r="I374" s="3"/>
      <c r="J374" s="167"/>
    </row>
    <row r="375" spans="2:10" s="1" customFormat="1" ht="14.5" x14ac:dyDescent="0.35">
      <c r="B375" s="3"/>
      <c r="G375" s="29"/>
      <c r="I375" s="3"/>
      <c r="J375" s="167"/>
    </row>
    <row r="376" spans="2:10" s="1" customFormat="1" ht="14.5" x14ac:dyDescent="0.35">
      <c r="B376" s="3"/>
      <c r="G376" s="29"/>
      <c r="I376" s="3"/>
      <c r="J376" s="167"/>
    </row>
    <row r="377" spans="2:10" s="1" customFormat="1" ht="14.5" x14ac:dyDescent="0.35">
      <c r="B377" s="3"/>
      <c r="G377" s="29"/>
      <c r="I377" s="3"/>
      <c r="J377" s="167"/>
    </row>
    <row r="378" spans="2:10" s="1" customFormat="1" ht="14.5" x14ac:dyDescent="0.35">
      <c r="B378" s="3"/>
      <c r="G378" s="29"/>
      <c r="I378" s="3"/>
      <c r="J378" s="167"/>
    </row>
    <row r="379" spans="2:10" s="1" customFormat="1" ht="14.5" x14ac:dyDescent="0.35">
      <c r="B379" s="3"/>
      <c r="G379" s="29"/>
      <c r="I379" s="3"/>
      <c r="J379" s="167"/>
    </row>
    <row r="380" spans="2:10" s="1" customFormat="1" ht="14.5" x14ac:dyDescent="0.35">
      <c r="B380" s="3"/>
      <c r="G380" s="29"/>
      <c r="I380" s="3"/>
      <c r="J380" s="167"/>
    </row>
    <row r="381" spans="2:10" s="1" customFormat="1" ht="14.5" x14ac:dyDescent="0.35">
      <c r="B381" s="3"/>
      <c r="G381" s="29"/>
      <c r="I381" s="3"/>
      <c r="J381" s="167"/>
    </row>
    <row r="382" spans="2:10" s="1" customFormat="1" ht="14.5" x14ac:dyDescent="0.35">
      <c r="B382" s="3"/>
      <c r="G382" s="29"/>
      <c r="I382" s="3"/>
      <c r="J382" s="167"/>
    </row>
    <row r="383" spans="2:10" s="1" customFormat="1" ht="14.5" x14ac:dyDescent="0.35">
      <c r="B383" s="3"/>
      <c r="G383" s="29"/>
      <c r="I383" s="3"/>
      <c r="J383" s="167"/>
    </row>
    <row r="384" spans="2:10" s="1" customFormat="1" ht="14.5" x14ac:dyDescent="0.35">
      <c r="B384" s="3"/>
      <c r="G384" s="29"/>
      <c r="I384" s="3"/>
      <c r="J384" s="167"/>
    </row>
    <row r="385" spans="2:10" s="1" customFormat="1" ht="14.5" x14ac:dyDescent="0.35">
      <c r="B385" s="3"/>
      <c r="G385" s="29"/>
      <c r="I385" s="3"/>
      <c r="J385" s="167"/>
    </row>
    <row r="386" spans="2:10" s="1" customFormat="1" ht="14.5" x14ac:dyDescent="0.35">
      <c r="B386" s="3"/>
      <c r="G386" s="29"/>
      <c r="I386" s="3"/>
      <c r="J386" s="167"/>
    </row>
    <row r="387" spans="2:10" s="1" customFormat="1" ht="14.5" x14ac:dyDescent="0.35">
      <c r="B387" s="3"/>
      <c r="G387" s="29"/>
      <c r="I387" s="3"/>
      <c r="J387" s="167"/>
    </row>
    <row r="388" spans="2:10" s="1" customFormat="1" ht="14.5" x14ac:dyDescent="0.35">
      <c r="B388" s="3"/>
      <c r="G388" s="29"/>
      <c r="I388" s="3"/>
      <c r="J388" s="167"/>
    </row>
    <row r="389" spans="2:10" s="1" customFormat="1" ht="14.5" x14ac:dyDescent="0.35">
      <c r="B389" s="3"/>
      <c r="G389" s="29"/>
      <c r="I389" s="3"/>
      <c r="J389" s="167"/>
    </row>
    <row r="390" spans="2:10" s="1" customFormat="1" ht="14.5" x14ac:dyDescent="0.35">
      <c r="B390" s="3"/>
      <c r="G390" s="29"/>
      <c r="I390" s="3"/>
      <c r="J390" s="167"/>
    </row>
    <row r="391" spans="2:10" s="1" customFormat="1" ht="14.5" x14ac:dyDescent="0.35">
      <c r="B391" s="3"/>
      <c r="G391" s="29"/>
      <c r="I391" s="3"/>
      <c r="J391" s="167"/>
    </row>
    <row r="392" spans="2:10" s="1" customFormat="1" ht="14.5" x14ac:dyDescent="0.35">
      <c r="B392" s="3"/>
      <c r="G392" s="29"/>
      <c r="I392" s="3"/>
      <c r="J392" s="167"/>
    </row>
    <row r="393" spans="2:10" s="1" customFormat="1" ht="14.5" x14ac:dyDescent="0.35">
      <c r="B393" s="3"/>
      <c r="G393" s="29"/>
      <c r="I393" s="3"/>
      <c r="J393" s="167"/>
    </row>
    <row r="394" spans="2:10" s="1" customFormat="1" ht="14.5" x14ac:dyDescent="0.35">
      <c r="B394" s="3"/>
      <c r="G394" s="29"/>
      <c r="I394" s="3"/>
      <c r="J394" s="167"/>
    </row>
    <row r="395" spans="2:10" s="1" customFormat="1" ht="14.5" x14ac:dyDescent="0.35">
      <c r="B395" s="3"/>
      <c r="G395" s="29"/>
      <c r="I395" s="3"/>
      <c r="J395" s="167"/>
    </row>
    <row r="396" spans="2:10" s="1" customFormat="1" ht="14.5" x14ac:dyDescent="0.35">
      <c r="B396" s="3"/>
      <c r="G396" s="29"/>
      <c r="I396" s="3"/>
      <c r="J396" s="167"/>
    </row>
    <row r="397" spans="2:10" s="1" customFormat="1" ht="14.5" x14ac:dyDescent="0.35">
      <c r="B397" s="3"/>
      <c r="G397" s="29"/>
      <c r="I397" s="3"/>
      <c r="J397" s="167"/>
    </row>
    <row r="398" spans="2:10" s="1" customFormat="1" ht="14.5" x14ac:dyDescent="0.35">
      <c r="B398" s="3"/>
      <c r="G398" s="29"/>
      <c r="I398" s="3"/>
      <c r="J398" s="167"/>
    </row>
    <row r="399" spans="2:10" s="1" customFormat="1" ht="14.5" x14ac:dyDescent="0.35">
      <c r="B399" s="3"/>
      <c r="G399" s="29"/>
      <c r="I399" s="3"/>
      <c r="J399" s="167"/>
    </row>
    <row r="400" spans="2:10" s="1" customFormat="1" ht="14.5" x14ac:dyDescent="0.35">
      <c r="B400" s="3"/>
      <c r="G400" s="29"/>
      <c r="I400" s="3"/>
      <c r="J400" s="167"/>
    </row>
    <row r="401" spans="2:10" s="1" customFormat="1" ht="14.5" x14ac:dyDescent="0.35">
      <c r="B401" s="3"/>
      <c r="G401" s="29"/>
      <c r="I401" s="3"/>
      <c r="J401" s="167"/>
    </row>
    <row r="402" spans="2:10" s="1" customFormat="1" ht="14.5" x14ac:dyDescent="0.35">
      <c r="B402" s="3"/>
      <c r="G402" s="29"/>
      <c r="I402" s="3"/>
      <c r="J402" s="167"/>
    </row>
    <row r="403" spans="2:10" s="1" customFormat="1" ht="14.5" x14ac:dyDescent="0.35">
      <c r="B403" s="3"/>
      <c r="G403" s="29"/>
      <c r="I403" s="3"/>
      <c r="J403" s="167"/>
    </row>
    <row r="404" spans="2:10" s="1" customFormat="1" ht="14.5" x14ac:dyDescent="0.35">
      <c r="B404" s="3"/>
      <c r="G404" s="29"/>
      <c r="I404" s="3"/>
      <c r="J404" s="167"/>
    </row>
    <row r="405" spans="2:10" s="1" customFormat="1" ht="14.5" x14ac:dyDescent="0.35">
      <c r="B405" s="3"/>
      <c r="G405" s="29"/>
      <c r="I405" s="3"/>
      <c r="J405" s="167"/>
    </row>
    <row r="406" spans="2:10" s="1" customFormat="1" ht="14.5" x14ac:dyDescent="0.35">
      <c r="B406" s="3"/>
      <c r="G406" s="29"/>
      <c r="I406" s="3"/>
      <c r="J406" s="167"/>
    </row>
    <row r="407" spans="2:10" s="1" customFormat="1" ht="14.5" x14ac:dyDescent="0.35">
      <c r="B407" s="3"/>
      <c r="G407" s="29"/>
      <c r="I407" s="3"/>
      <c r="J407" s="167"/>
    </row>
    <row r="408" spans="2:10" s="1" customFormat="1" ht="14.5" x14ac:dyDescent="0.35">
      <c r="B408" s="3"/>
      <c r="G408" s="29"/>
      <c r="I408" s="3"/>
      <c r="J408" s="167"/>
    </row>
    <row r="409" spans="2:10" s="1" customFormat="1" ht="14.5" x14ac:dyDescent="0.35">
      <c r="B409" s="3"/>
      <c r="G409" s="29"/>
      <c r="I409" s="3"/>
      <c r="J409" s="167"/>
    </row>
    <row r="410" spans="2:10" s="1" customFormat="1" ht="14.5" x14ac:dyDescent="0.35">
      <c r="B410" s="3"/>
      <c r="G410" s="29"/>
      <c r="I410" s="3"/>
      <c r="J410" s="167"/>
    </row>
    <row r="411" spans="2:10" s="1" customFormat="1" ht="14.5" x14ac:dyDescent="0.35">
      <c r="B411" s="3"/>
      <c r="G411" s="29"/>
      <c r="I411" s="3"/>
      <c r="J411" s="167"/>
    </row>
    <row r="412" spans="2:10" s="1" customFormat="1" ht="14.5" x14ac:dyDescent="0.35">
      <c r="B412" s="3"/>
      <c r="G412" s="29"/>
      <c r="I412" s="3"/>
      <c r="J412" s="167"/>
    </row>
    <row r="413" spans="2:10" s="1" customFormat="1" ht="14.5" x14ac:dyDescent="0.35">
      <c r="B413" s="3"/>
      <c r="G413" s="29"/>
      <c r="I413" s="3"/>
      <c r="J413" s="167"/>
    </row>
    <row r="414" spans="2:10" s="1" customFormat="1" ht="14.5" x14ac:dyDescent="0.35">
      <c r="B414" s="3"/>
      <c r="G414" s="29"/>
      <c r="I414" s="3"/>
      <c r="J414" s="167"/>
    </row>
    <row r="415" spans="2:10" s="1" customFormat="1" ht="14.5" x14ac:dyDescent="0.35">
      <c r="B415" s="3"/>
      <c r="G415" s="29"/>
      <c r="I415" s="3"/>
      <c r="J415" s="167"/>
    </row>
    <row r="416" spans="2:10" s="1" customFormat="1" ht="14.5" x14ac:dyDescent="0.35">
      <c r="B416" s="3"/>
      <c r="G416" s="29"/>
      <c r="I416" s="3"/>
      <c r="J416" s="167"/>
    </row>
    <row r="417" spans="2:10" s="1" customFormat="1" ht="14.5" x14ac:dyDescent="0.35">
      <c r="B417" s="3"/>
      <c r="G417" s="29"/>
      <c r="I417" s="3"/>
      <c r="J417" s="167"/>
    </row>
    <row r="418" spans="2:10" s="1" customFormat="1" ht="14.5" x14ac:dyDescent="0.35">
      <c r="B418" s="3"/>
      <c r="G418" s="29"/>
      <c r="I418" s="3"/>
      <c r="J418" s="167"/>
    </row>
    <row r="419" spans="2:10" s="1" customFormat="1" ht="14.5" x14ac:dyDescent="0.35">
      <c r="B419" s="3"/>
      <c r="G419" s="29"/>
      <c r="I419" s="3"/>
      <c r="J419" s="167"/>
    </row>
    <row r="420" spans="2:10" s="1" customFormat="1" ht="14.5" x14ac:dyDescent="0.35">
      <c r="B420" s="3"/>
      <c r="G420" s="29"/>
      <c r="I420" s="3"/>
      <c r="J420" s="167"/>
    </row>
    <row r="421" spans="2:10" s="1" customFormat="1" ht="14.5" x14ac:dyDescent="0.35">
      <c r="B421" s="3"/>
      <c r="G421" s="29"/>
      <c r="I421" s="3"/>
      <c r="J421" s="167"/>
    </row>
    <row r="422" spans="2:10" s="1" customFormat="1" ht="14.5" x14ac:dyDescent="0.35">
      <c r="B422" s="3"/>
      <c r="G422" s="29"/>
      <c r="I422" s="3"/>
      <c r="J422" s="167"/>
    </row>
    <row r="423" spans="2:10" s="1" customFormat="1" ht="14.5" x14ac:dyDescent="0.35">
      <c r="B423" s="3"/>
      <c r="G423" s="29"/>
      <c r="I423" s="3"/>
      <c r="J423" s="167"/>
    </row>
    <row r="424" spans="2:10" s="1" customFormat="1" ht="14.5" x14ac:dyDescent="0.35">
      <c r="B424" s="3"/>
      <c r="G424" s="29"/>
      <c r="I424" s="3"/>
      <c r="J424" s="167"/>
    </row>
    <row r="425" spans="2:10" s="1" customFormat="1" ht="14.5" x14ac:dyDescent="0.35">
      <c r="B425" s="3"/>
      <c r="G425" s="29"/>
      <c r="I425" s="3"/>
      <c r="J425" s="167"/>
    </row>
    <row r="426" spans="2:10" s="1" customFormat="1" ht="14.5" x14ac:dyDescent="0.35">
      <c r="B426" s="3"/>
      <c r="G426" s="29"/>
      <c r="I426" s="3"/>
      <c r="J426" s="167"/>
    </row>
    <row r="427" spans="2:10" s="1" customFormat="1" ht="14.5" x14ac:dyDescent="0.35">
      <c r="B427" s="3"/>
      <c r="G427" s="29"/>
      <c r="I427" s="3"/>
      <c r="J427" s="167"/>
    </row>
    <row r="428" spans="2:10" s="1" customFormat="1" ht="14.5" x14ac:dyDescent="0.35">
      <c r="B428" s="3"/>
      <c r="G428" s="29"/>
      <c r="I428" s="3"/>
      <c r="J428" s="167"/>
    </row>
    <row r="429" spans="2:10" s="1" customFormat="1" ht="14.5" x14ac:dyDescent="0.35">
      <c r="B429" s="3"/>
      <c r="G429" s="29"/>
      <c r="I429" s="3"/>
      <c r="J429" s="167"/>
    </row>
    <row r="430" spans="2:10" s="1" customFormat="1" ht="14.5" x14ac:dyDescent="0.35">
      <c r="B430" s="3"/>
      <c r="G430" s="29"/>
      <c r="I430" s="3"/>
      <c r="J430" s="167"/>
    </row>
    <row r="431" spans="2:10" s="1" customFormat="1" ht="14.5" x14ac:dyDescent="0.35">
      <c r="B431" s="3"/>
      <c r="G431" s="29"/>
      <c r="I431" s="3"/>
      <c r="J431" s="167"/>
    </row>
    <row r="432" spans="2:10" s="1" customFormat="1" ht="14.5" x14ac:dyDescent="0.35">
      <c r="B432" s="3"/>
      <c r="G432" s="29"/>
      <c r="I432" s="3"/>
      <c r="J432" s="167"/>
    </row>
    <row r="433" spans="2:10" s="1" customFormat="1" ht="14.5" x14ac:dyDescent="0.35">
      <c r="B433" s="3"/>
      <c r="G433" s="29"/>
      <c r="I433" s="3"/>
      <c r="J433" s="167"/>
    </row>
    <row r="434" spans="2:10" s="1" customFormat="1" ht="14.5" x14ac:dyDescent="0.35">
      <c r="B434" s="3"/>
      <c r="G434" s="29"/>
      <c r="I434" s="3"/>
      <c r="J434" s="167"/>
    </row>
    <row r="435" spans="2:10" s="1" customFormat="1" ht="14.5" x14ac:dyDescent="0.35">
      <c r="B435" s="3"/>
      <c r="G435" s="29"/>
      <c r="I435" s="3"/>
      <c r="J435" s="167"/>
    </row>
    <row r="436" spans="2:10" s="1" customFormat="1" ht="14.5" x14ac:dyDescent="0.35">
      <c r="B436" s="3"/>
      <c r="G436" s="29"/>
      <c r="I436" s="3"/>
      <c r="J436" s="167"/>
    </row>
    <row r="437" spans="2:10" s="1" customFormat="1" ht="14.5" x14ac:dyDescent="0.35">
      <c r="B437" s="3"/>
      <c r="G437" s="29"/>
      <c r="I437" s="3"/>
      <c r="J437" s="167"/>
    </row>
    <row r="438" spans="2:10" s="1" customFormat="1" ht="14.5" x14ac:dyDescent="0.35">
      <c r="B438" s="3"/>
      <c r="G438" s="29"/>
      <c r="I438" s="3"/>
      <c r="J438" s="167"/>
    </row>
    <row r="439" spans="2:10" s="1" customFormat="1" ht="14.5" x14ac:dyDescent="0.35">
      <c r="B439" s="3"/>
      <c r="G439" s="29"/>
      <c r="I439" s="3"/>
      <c r="J439" s="167"/>
    </row>
    <row r="440" spans="2:10" s="1" customFormat="1" ht="14.5" x14ac:dyDescent="0.35">
      <c r="B440" s="3"/>
      <c r="G440" s="29"/>
      <c r="I440" s="3"/>
      <c r="J440" s="167"/>
    </row>
    <row r="441" spans="2:10" s="1" customFormat="1" ht="14.5" x14ac:dyDescent="0.35">
      <c r="B441" s="3"/>
      <c r="G441" s="29"/>
      <c r="I441" s="3"/>
      <c r="J441" s="167"/>
    </row>
    <row r="442" spans="2:10" s="1" customFormat="1" ht="14.5" x14ac:dyDescent="0.35">
      <c r="B442" s="3"/>
      <c r="G442" s="29"/>
      <c r="I442" s="3"/>
      <c r="J442" s="167"/>
    </row>
    <row r="443" spans="2:10" s="1" customFormat="1" ht="14.5" x14ac:dyDescent="0.35">
      <c r="B443" s="3"/>
      <c r="G443" s="29"/>
      <c r="I443" s="3"/>
      <c r="J443" s="167"/>
    </row>
    <row r="444" spans="2:10" s="1" customFormat="1" ht="14.5" x14ac:dyDescent="0.35">
      <c r="B444" s="3"/>
      <c r="G444" s="29"/>
      <c r="I444" s="3"/>
      <c r="J444" s="167"/>
    </row>
    <row r="445" spans="2:10" s="1" customFormat="1" ht="14.5" x14ac:dyDescent="0.35">
      <c r="B445" s="3"/>
      <c r="G445" s="29"/>
      <c r="I445" s="3"/>
      <c r="J445" s="167"/>
    </row>
    <row r="446" spans="2:10" s="1" customFormat="1" ht="14.5" x14ac:dyDescent="0.35">
      <c r="B446" s="3"/>
      <c r="G446" s="29"/>
      <c r="I446" s="3"/>
      <c r="J446" s="167"/>
    </row>
    <row r="447" spans="2:10" s="1" customFormat="1" ht="14.5" x14ac:dyDescent="0.35">
      <c r="B447" s="3"/>
      <c r="G447" s="29"/>
      <c r="I447" s="3"/>
      <c r="J447" s="167"/>
    </row>
    <row r="448" spans="2:10" s="1" customFormat="1" ht="14.5" x14ac:dyDescent="0.35">
      <c r="B448" s="3"/>
      <c r="G448" s="29"/>
      <c r="I448" s="3"/>
      <c r="J448" s="167"/>
    </row>
    <row r="449" spans="2:10" s="1" customFormat="1" ht="14.5" x14ac:dyDescent="0.35">
      <c r="B449" s="3"/>
      <c r="G449" s="29"/>
      <c r="I449" s="3"/>
      <c r="J449" s="167"/>
    </row>
    <row r="450" spans="2:10" s="1" customFormat="1" ht="14.5" x14ac:dyDescent="0.35">
      <c r="B450" s="3"/>
      <c r="G450" s="29"/>
      <c r="I450" s="3"/>
      <c r="J450" s="167"/>
    </row>
    <row r="451" spans="2:10" s="1" customFormat="1" ht="14.5" x14ac:dyDescent="0.35">
      <c r="B451" s="3"/>
      <c r="G451" s="29"/>
      <c r="I451" s="3"/>
      <c r="J451" s="167"/>
    </row>
    <row r="452" spans="2:10" s="1" customFormat="1" ht="14.5" x14ac:dyDescent="0.35">
      <c r="B452" s="3"/>
      <c r="G452" s="29"/>
      <c r="I452" s="3"/>
      <c r="J452" s="167"/>
    </row>
    <row r="453" spans="2:10" s="1" customFormat="1" ht="14.5" x14ac:dyDescent="0.35">
      <c r="B453" s="3"/>
      <c r="G453" s="29"/>
      <c r="I453" s="3"/>
      <c r="J453" s="167"/>
    </row>
    <row r="454" spans="2:10" s="1" customFormat="1" ht="14.5" x14ac:dyDescent="0.35">
      <c r="B454" s="3"/>
      <c r="G454" s="29"/>
      <c r="I454" s="3"/>
      <c r="J454" s="167"/>
    </row>
    <row r="455" spans="2:10" s="1" customFormat="1" ht="14.5" x14ac:dyDescent="0.35">
      <c r="B455" s="3"/>
      <c r="G455" s="29"/>
      <c r="I455" s="3"/>
      <c r="J455" s="167"/>
    </row>
    <row r="456" spans="2:10" s="1" customFormat="1" ht="14.5" x14ac:dyDescent="0.35">
      <c r="B456" s="3"/>
      <c r="G456" s="29"/>
      <c r="I456" s="3"/>
      <c r="J456" s="167"/>
    </row>
    <row r="457" spans="2:10" s="1" customFormat="1" ht="14.5" x14ac:dyDescent="0.35">
      <c r="B457" s="3"/>
      <c r="G457" s="29"/>
      <c r="I457" s="3"/>
      <c r="J457" s="167"/>
    </row>
    <row r="458" spans="2:10" s="1" customFormat="1" ht="14.5" x14ac:dyDescent="0.35">
      <c r="B458" s="3"/>
      <c r="G458" s="29"/>
      <c r="I458" s="3"/>
      <c r="J458" s="167"/>
    </row>
    <row r="459" spans="2:10" s="1" customFormat="1" ht="14.5" x14ac:dyDescent="0.35">
      <c r="B459" s="3"/>
      <c r="G459" s="29"/>
      <c r="I459" s="3"/>
      <c r="J459" s="167"/>
    </row>
    <row r="460" spans="2:10" s="1" customFormat="1" ht="14.5" x14ac:dyDescent="0.35">
      <c r="B460" s="3"/>
      <c r="G460" s="29"/>
      <c r="I460" s="3"/>
      <c r="J460" s="167"/>
    </row>
    <row r="461" spans="2:10" s="1" customFormat="1" ht="14.5" x14ac:dyDescent="0.35">
      <c r="B461" s="3"/>
      <c r="G461" s="29"/>
      <c r="I461" s="3"/>
      <c r="J461" s="167"/>
    </row>
    <row r="462" spans="2:10" s="1" customFormat="1" ht="14.5" x14ac:dyDescent="0.35">
      <c r="B462" s="3"/>
      <c r="G462" s="29"/>
      <c r="I462" s="3"/>
      <c r="J462" s="167"/>
    </row>
    <row r="463" spans="2:10" s="1" customFormat="1" ht="14.5" x14ac:dyDescent="0.35">
      <c r="B463" s="3"/>
      <c r="G463" s="29"/>
      <c r="I463" s="3"/>
      <c r="J463" s="167"/>
    </row>
    <row r="464" spans="2:10" s="1" customFormat="1" ht="14.5" x14ac:dyDescent="0.35">
      <c r="B464" s="3"/>
      <c r="G464" s="29"/>
      <c r="I464" s="3"/>
      <c r="J464" s="167"/>
    </row>
    <row r="465" spans="1:14" s="1" customFormat="1" ht="14.5" x14ac:dyDescent="0.35">
      <c r="B465" s="3"/>
      <c r="G465" s="29"/>
      <c r="I465" s="3"/>
      <c r="J465" s="167"/>
    </row>
    <row r="466" spans="1:14" s="1" customFormat="1" ht="14.5" x14ac:dyDescent="0.35">
      <c r="B466" s="3"/>
      <c r="G466" s="29"/>
      <c r="I466" s="3"/>
      <c r="J466" s="167"/>
    </row>
    <row r="467" spans="1:14" s="1" customFormat="1" ht="14.5" x14ac:dyDescent="0.35">
      <c r="B467" s="3"/>
      <c r="G467" s="29"/>
      <c r="I467" s="3"/>
      <c r="J467" s="167"/>
    </row>
    <row r="468" spans="1:14" s="1" customFormat="1" ht="14.5" x14ac:dyDescent="0.35">
      <c r="B468" s="3"/>
      <c r="G468" s="29"/>
      <c r="I468" s="3"/>
      <c r="J468" s="167"/>
    </row>
    <row r="469" spans="1:14" s="1" customFormat="1" ht="14.5" x14ac:dyDescent="0.35">
      <c r="B469" s="3"/>
      <c r="G469" s="29"/>
      <c r="I469" s="3"/>
      <c r="J469" s="167"/>
    </row>
    <row r="470" spans="1:14" s="1" customFormat="1" ht="14.5" x14ac:dyDescent="0.35">
      <c r="B470" s="3"/>
      <c r="G470" s="29"/>
      <c r="I470" s="3"/>
      <c r="J470" s="167"/>
    </row>
    <row r="471" spans="1:14" s="1" customFormat="1" ht="14.5" x14ac:dyDescent="0.35">
      <c r="B471" s="3"/>
      <c r="G471" s="29"/>
      <c r="I471" s="3"/>
      <c r="J471" s="167"/>
    </row>
    <row r="472" spans="1:14" s="1" customFormat="1" ht="14.5" x14ac:dyDescent="0.35">
      <c r="B472" s="3"/>
      <c r="G472" s="29"/>
      <c r="I472" s="3"/>
      <c r="J472" s="167"/>
    </row>
    <row r="473" spans="1:14" s="1" customFormat="1" ht="14.5" x14ac:dyDescent="0.35">
      <c r="B473" s="3"/>
      <c r="G473" s="29"/>
      <c r="I473" s="3"/>
      <c r="J473" s="167"/>
    </row>
    <row r="474" spans="1:14" s="1" customFormat="1" ht="14.5" x14ac:dyDescent="0.35">
      <c r="B474" s="3"/>
      <c r="G474" s="29"/>
      <c r="I474" s="3"/>
      <c r="J474" s="167"/>
    </row>
    <row r="475" spans="1:14" s="1" customFormat="1" ht="14.5" x14ac:dyDescent="0.35">
      <c r="B475" s="3"/>
      <c r="G475" s="29"/>
      <c r="I475" s="3"/>
      <c r="J475" s="167"/>
    </row>
    <row r="476" spans="1:14" s="1" customFormat="1" ht="14.5" x14ac:dyDescent="0.35">
      <c r="B476" s="3"/>
      <c r="G476" s="29"/>
      <c r="I476" s="3"/>
      <c r="J476" s="167"/>
    </row>
    <row r="477" spans="1:14" s="1" customFormat="1" ht="14.5" x14ac:dyDescent="0.35">
      <c r="B477" s="3"/>
      <c r="G477" s="29"/>
      <c r="I477" s="3"/>
      <c r="J477" s="167"/>
    </row>
    <row r="478" spans="1:14" s="1" customFormat="1" ht="14.5" x14ac:dyDescent="0.35">
      <c r="B478" s="3"/>
      <c r="G478" s="29"/>
      <c r="I478" s="3"/>
      <c r="J478" s="167"/>
    </row>
    <row r="479" spans="1:14" x14ac:dyDescent="0.35">
      <c r="A479" s="1"/>
      <c r="B479" s="3"/>
      <c r="C479" s="1"/>
      <c r="D479" s="1"/>
      <c r="E479" s="1"/>
      <c r="F479" s="1"/>
      <c r="G479" s="29"/>
      <c r="H479" s="1"/>
      <c r="I479" s="3"/>
      <c r="J479" s="167"/>
      <c r="K479" s="1"/>
      <c r="L479" s="1"/>
      <c r="M479" s="1"/>
      <c r="N479" s="1"/>
    </row>
    <row r="480" spans="1:14" x14ac:dyDescent="0.35">
      <c r="A480" s="1"/>
      <c r="B480" s="3"/>
      <c r="C480" s="1"/>
      <c r="D480" s="1"/>
      <c r="E480" s="1"/>
      <c r="F480" s="1"/>
      <c r="G480" s="29"/>
      <c r="H480" s="1"/>
      <c r="I480" s="3"/>
      <c r="J480" s="167"/>
      <c r="K480" s="1"/>
      <c r="L480" s="1"/>
      <c r="M480" s="1"/>
      <c r="N480" s="1"/>
    </row>
    <row r="481" spans="1:14" x14ac:dyDescent="0.35">
      <c r="A481" s="1"/>
      <c r="B481" s="3"/>
      <c r="C481" s="1"/>
      <c r="D481" s="1"/>
      <c r="E481" s="1"/>
      <c r="F481" s="1"/>
      <c r="G481" s="29"/>
      <c r="H481" s="1"/>
      <c r="I481" s="3"/>
      <c r="J481" s="167"/>
      <c r="K481" s="1"/>
      <c r="L481" s="1"/>
      <c r="M481" s="1"/>
      <c r="N481" s="1"/>
    </row>
    <row r="482" spans="1:14" x14ac:dyDescent="0.35">
      <c r="A482" s="1"/>
      <c r="B482" s="3"/>
      <c r="C482" s="1"/>
      <c r="D482" s="1"/>
      <c r="E482" s="1"/>
      <c r="F482" s="1"/>
      <c r="G482" s="29"/>
      <c r="H482" s="1"/>
      <c r="I482" s="3"/>
      <c r="J482" s="167"/>
      <c r="K482" s="1"/>
      <c r="L482" s="1"/>
      <c r="M482" s="1"/>
      <c r="N482" s="1"/>
    </row>
    <row r="483" spans="1:14" x14ac:dyDescent="0.35">
      <c r="A483" s="1"/>
      <c r="B483" s="3"/>
      <c r="C483" s="1"/>
      <c r="D483" s="1"/>
      <c r="E483" s="1"/>
      <c r="F483" s="1"/>
      <c r="G483" s="29"/>
      <c r="H483" s="1"/>
      <c r="I483" s="3"/>
      <c r="J483" s="167"/>
      <c r="K483" s="1"/>
      <c r="L483" s="1"/>
      <c r="M483" s="1"/>
      <c r="N483" s="1"/>
    </row>
    <row r="484" spans="1:14" x14ac:dyDescent="0.35">
      <c r="A484" s="1"/>
      <c r="B484" s="3"/>
      <c r="C484" s="1"/>
      <c r="D484" s="1"/>
      <c r="E484" s="1"/>
      <c r="F484" s="1"/>
      <c r="G484" s="29"/>
      <c r="H484" s="1"/>
      <c r="I484" s="3"/>
      <c r="J484" s="167"/>
      <c r="K484" s="1"/>
      <c r="L484" s="1"/>
      <c r="M484" s="1"/>
      <c r="N484" s="1"/>
    </row>
    <row r="485" spans="1:14" x14ac:dyDescent="0.35">
      <c r="A485" s="1"/>
      <c r="B485" s="3"/>
      <c r="C485" s="1"/>
      <c r="D485" s="1"/>
      <c r="E485" s="1"/>
      <c r="F485" s="1"/>
      <c r="G485" s="29"/>
      <c r="H485" s="1"/>
      <c r="I485" s="3"/>
      <c r="J485" s="167"/>
      <c r="K485" s="1"/>
      <c r="L485" s="1"/>
      <c r="M485" s="1"/>
      <c r="N485" s="1"/>
    </row>
    <row r="486" spans="1:14" x14ac:dyDescent="0.35">
      <c r="A486" s="1"/>
      <c r="B486" s="3"/>
      <c r="C486" s="1"/>
      <c r="D486" s="1"/>
      <c r="E486" s="1"/>
      <c r="F486" s="1"/>
      <c r="G486" s="29"/>
      <c r="H486" s="1"/>
      <c r="I486" s="3"/>
      <c r="J486" s="167"/>
      <c r="K486" s="1"/>
      <c r="L486" s="1"/>
      <c r="M486" s="1"/>
      <c r="N486" s="1"/>
    </row>
    <row r="487" spans="1:14" x14ac:dyDescent="0.35">
      <c r="A487" s="1"/>
      <c r="B487" s="3"/>
      <c r="C487" s="1"/>
      <c r="D487" s="1"/>
      <c r="E487" s="1"/>
      <c r="F487" s="1"/>
      <c r="G487" s="29"/>
      <c r="H487" s="1"/>
      <c r="I487" s="3"/>
      <c r="J487" s="167"/>
      <c r="K487" s="1"/>
      <c r="L487" s="1"/>
      <c r="M487" s="1"/>
      <c r="N487" s="1"/>
    </row>
    <row r="488" spans="1:14" x14ac:dyDescent="0.35">
      <c r="A488" s="1"/>
      <c r="B488" s="3"/>
      <c r="C488" s="1"/>
      <c r="D488" s="1"/>
      <c r="E488" s="1"/>
      <c r="F488" s="1"/>
      <c r="G488" s="29"/>
      <c r="H488" s="1"/>
      <c r="I488" s="3"/>
      <c r="J488" s="167"/>
      <c r="K488" s="1"/>
      <c r="L488" s="1"/>
      <c r="M488" s="1"/>
      <c r="N488" s="1"/>
    </row>
    <row r="489" spans="1:14" x14ac:dyDescent="0.35">
      <c r="A489" s="1"/>
      <c r="B489" s="3"/>
      <c r="C489" s="1"/>
      <c r="D489" s="1"/>
      <c r="E489" s="1"/>
      <c r="F489" s="1"/>
      <c r="G489" s="29"/>
      <c r="H489" s="1"/>
      <c r="I489" s="3"/>
      <c r="J489" s="167"/>
      <c r="K489" s="1"/>
      <c r="L489" s="1"/>
      <c r="M489" s="1"/>
      <c r="N489" s="1"/>
    </row>
    <row r="490" spans="1:14" x14ac:dyDescent="0.35">
      <c r="A490" s="1"/>
      <c r="B490" s="3"/>
      <c r="C490" s="1"/>
      <c r="D490" s="1"/>
      <c r="E490" s="1"/>
      <c r="F490" s="1"/>
      <c r="G490" s="29"/>
      <c r="H490" s="1"/>
      <c r="I490" s="3"/>
      <c r="J490" s="167"/>
      <c r="K490" s="1"/>
      <c r="L490" s="1"/>
      <c r="M490" s="1"/>
      <c r="N490" s="1"/>
    </row>
    <row r="491" spans="1:14" x14ac:dyDescent="0.35">
      <c r="A491" s="1"/>
      <c r="B491" s="3"/>
      <c r="C491" s="1"/>
      <c r="D491" s="1"/>
      <c r="E491" s="1"/>
      <c r="F491" s="1"/>
      <c r="G491" s="29"/>
      <c r="H491" s="1"/>
      <c r="I491" s="3"/>
      <c r="J491" s="167"/>
      <c r="K491" s="1"/>
      <c r="L491" s="1"/>
      <c r="M491" s="1"/>
      <c r="N491" s="1"/>
    </row>
  </sheetData>
  <mergeCells count="46">
    <mergeCell ref="B1:J1"/>
    <mergeCell ref="B2:J2"/>
    <mergeCell ref="F197:G197"/>
    <mergeCell ref="E99:F99"/>
    <mergeCell ref="E107:F107"/>
    <mergeCell ref="F108:G108"/>
    <mergeCell ref="E114:F114"/>
    <mergeCell ref="E122:F122"/>
    <mergeCell ref="F123:G123"/>
    <mergeCell ref="E129:F129"/>
    <mergeCell ref="E137:F137"/>
    <mergeCell ref="F138:G138"/>
    <mergeCell ref="F78:G78"/>
    <mergeCell ref="E84:F84"/>
    <mergeCell ref="E92:F92"/>
    <mergeCell ref="F93:G93"/>
    <mergeCell ref="E196:F196"/>
    <mergeCell ref="E54:F54"/>
    <mergeCell ref="E62:F62"/>
    <mergeCell ref="F63:G63"/>
    <mergeCell ref="E69:F69"/>
    <mergeCell ref="E77:F77"/>
    <mergeCell ref="E31:F31"/>
    <mergeCell ref="F32:G32"/>
    <mergeCell ref="F33:G33"/>
    <mergeCell ref="E47:F47"/>
    <mergeCell ref="F48:G48"/>
    <mergeCell ref="C14:D14"/>
    <mergeCell ref="C15:D15"/>
    <mergeCell ref="C16:D16"/>
    <mergeCell ref="C17:D17"/>
    <mergeCell ref="E23:F23"/>
    <mergeCell ref="E39:F39"/>
    <mergeCell ref="D205:E205"/>
    <mergeCell ref="E206:F206"/>
    <mergeCell ref="E144:F144"/>
    <mergeCell ref="E152:F152"/>
    <mergeCell ref="F153:G153"/>
    <mergeCell ref="E159:F159"/>
    <mergeCell ref="E167:F167"/>
    <mergeCell ref="F168:G168"/>
    <mergeCell ref="E174:F174"/>
    <mergeCell ref="E182:F182"/>
    <mergeCell ref="F183:G183"/>
    <mergeCell ref="E189:F189"/>
    <mergeCell ref="D4:G4"/>
  </mergeCells>
  <printOptions horizontalCentered="1"/>
  <pageMargins left="0.7" right="0.7" top="1" bottom="0.75" header="0.3" footer="0.3"/>
  <pageSetup scale="63" fitToHeight="4" orientation="landscape" r:id="rId1"/>
  <headerFooter>
    <oddFoote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A56ECB-1166-4A19-BAC2-1CAB016DEA29}">
  <sheetPr>
    <tabColor rgb="FF92D050"/>
    <pageSetUpPr fitToPage="1"/>
  </sheetPr>
  <dimension ref="A1:M29"/>
  <sheetViews>
    <sheetView showGridLines="0" topLeftCell="C1" workbookViewId="0">
      <selection activeCell="F4" sqref="F4"/>
    </sheetView>
  </sheetViews>
  <sheetFormatPr defaultRowHeight="15.5" x14ac:dyDescent="0.35"/>
  <cols>
    <col min="3" max="3" width="29.23046875" customWidth="1"/>
    <col min="4" max="4" width="19" customWidth="1"/>
    <col min="7" max="7" width="12.53515625" customWidth="1"/>
    <col min="10" max="10" width="6.84375" customWidth="1"/>
  </cols>
  <sheetData>
    <row r="1" spans="1:13" ht="18.5" x14ac:dyDescent="0.35">
      <c r="A1" s="500" t="s">
        <v>176</v>
      </c>
      <c r="B1" s="500"/>
      <c r="C1" s="500"/>
      <c r="D1" s="500"/>
      <c r="E1" s="500"/>
      <c r="F1" s="500"/>
      <c r="G1" s="500"/>
      <c r="H1" s="35"/>
      <c r="I1" s="46"/>
      <c r="J1" s="47"/>
      <c r="K1" s="35"/>
      <c r="L1" s="4"/>
      <c r="M1" s="4"/>
    </row>
    <row r="2" spans="1:13" x14ac:dyDescent="0.35">
      <c r="A2" s="263" t="s">
        <v>35</v>
      </c>
      <c r="B2" s="164"/>
      <c r="C2" s="164"/>
      <c r="D2" s="15"/>
      <c r="E2" s="164"/>
      <c r="F2" s="58"/>
      <c r="G2" s="3">
        <f>SAO!G48</f>
        <v>3246709.4783913521</v>
      </c>
      <c r="H2" s="35"/>
      <c r="I2" s="4"/>
      <c r="J2" s="35"/>
      <c r="K2" s="35"/>
      <c r="L2" s="4"/>
      <c r="M2" s="4"/>
    </row>
    <row r="3" spans="1:13" x14ac:dyDescent="0.35">
      <c r="A3" s="164" t="s">
        <v>19</v>
      </c>
      <c r="B3" s="164"/>
      <c r="C3" s="164" t="s">
        <v>143</v>
      </c>
      <c r="D3" s="15"/>
      <c r="E3" s="164"/>
      <c r="F3" s="58" t="str">
        <f>SAO!F55</f>
        <v>J</v>
      </c>
      <c r="G3" s="3">
        <f>'Debt Service'!M23</f>
        <v>563325</v>
      </c>
      <c r="H3" s="35"/>
      <c r="I3" s="4" t="s">
        <v>174</v>
      </c>
      <c r="J3" s="35"/>
      <c r="K3" s="35"/>
      <c r="L3" s="4" t="s">
        <v>372</v>
      </c>
      <c r="M3" s="4"/>
    </row>
    <row r="4" spans="1:13" ht="17" x14ac:dyDescent="0.5">
      <c r="A4" s="164"/>
      <c r="B4" s="15"/>
      <c r="C4" s="15" t="s">
        <v>144</v>
      </c>
      <c r="D4" s="15"/>
      <c r="E4" s="164"/>
      <c r="F4" s="58" t="str">
        <f>SAO!F56</f>
        <v>K</v>
      </c>
      <c r="G4" s="25">
        <f>'Debt Service'!M25</f>
        <v>112665</v>
      </c>
      <c r="H4" s="35"/>
      <c r="I4" s="4"/>
      <c r="J4" s="35"/>
      <c r="K4" s="35"/>
      <c r="L4" s="4" t="s">
        <v>373</v>
      </c>
      <c r="M4" s="4"/>
    </row>
    <row r="5" spans="1:13" x14ac:dyDescent="0.35">
      <c r="A5" s="263" t="s">
        <v>58</v>
      </c>
      <c r="B5" s="164"/>
      <c r="C5" s="164"/>
      <c r="D5" s="15"/>
      <c r="E5" s="164"/>
      <c r="F5" s="58"/>
      <c r="G5" s="3">
        <f>G2+G3+G4</f>
        <v>3922699.4783913521</v>
      </c>
      <c r="H5" s="35"/>
      <c r="I5" s="4"/>
      <c r="J5" s="35"/>
      <c r="K5" s="35"/>
      <c r="L5" s="4"/>
      <c r="M5" s="4"/>
    </row>
    <row r="6" spans="1:13" x14ac:dyDescent="0.35">
      <c r="A6" s="164" t="s">
        <v>20</v>
      </c>
      <c r="B6" s="164"/>
      <c r="C6" s="164" t="s">
        <v>21</v>
      </c>
      <c r="D6" s="15"/>
      <c r="E6" s="164"/>
      <c r="F6" s="58"/>
      <c r="G6" s="222">
        <f>SUM(SAO!G10:G12)</f>
        <v>206503</v>
      </c>
      <c r="H6" s="35"/>
      <c r="I6" s="4" t="s">
        <v>244</v>
      </c>
      <c r="J6" s="35"/>
      <c r="K6" s="35"/>
      <c r="L6" s="4"/>
      <c r="M6" s="4"/>
    </row>
    <row r="7" spans="1:13" x14ac:dyDescent="0.35">
      <c r="A7" s="164"/>
      <c r="B7" s="164"/>
      <c r="C7" s="4" t="s">
        <v>242</v>
      </c>
      <c r="D7" s="4"/>
      <c r="E7" s="164"/>
      <c r="F7" s="58"/>
      <c r="G7" s="222">
        <v>16331</v>
      </c>
      <c r="H7" s="35"/>
      <c r="I7" s="4" t="s">
        <v>244</v>
      </c>
      <c r="J7" s="35"/>
      <c r="K7" s="35"/>
      <c r="L7" s="4"/>
      <c r="M7" s="4"/>
    </row>
    <row r="8" spans="1:13" ht="17" x14ac:dyDescent="0.5">
      <c r="A8" s="164"/>
      <c r="B8" s="164"/>
      <c r="C8" s="164" t="s">
        <v>208</v>
      </c>
      <c r="D8" s="15"/>
      <c r="E8" s="300"/>
      <c r="F8" s="58"/>
      <c r="G8" s="257">
        <f>SAO!G60</f>
        <v>121752</v>
      </c>
      <c r="H8" s="238"/>
      <c r="I8" s="4" t="s">
        <v>244</v>
      </c>
      <c r="J8" s="35"/>
      <c r="K8" s="35"/>
      <c r="L8" s="205"/>
      <c r="M8" s="4"/>
    </row>
    <row r="9" spans="1:13" x14ac:dyDescent="0.35">
      <c r="A9" s="263" t="s">
        <v>56</v>
      </c>
      <c r="B9" s="164"/>
      <c r="C9" s="164"/>
      <c r="D9" s="15"/>
      <c r="E9" s="164"/>
      <c r="F9" s="58"/>
      <c r="G9" s="3">
        <f>G5-G6-G7-G8</f>
        <v>3578113.4783913521</v>
      </c>
      <c r="H9" s="35"/>
      <c r="I9" s="4"/>
      <c r="J9" s="35"/>
      <c r="K9" s="35"/>
      <c r="L9" s="4"/>
      <c r="M9" s="4"/>
    </row>
    <row r="10" spans="1:13" x14ac:dyDescent="0.35">
      <c r="A10" s="164" t="s">
        <v>20</v>
      </c>
      <c r="B10" s="164"/>
      <c r="C10" s="164" t="s">
        <v>322</v>
      </c>
      <c r="D10" s="15"/>
      <c r="E10" s="164"/>
      <c r="F10" s="58"/>
      <c r="G10" s="3">
        <f>SUM(SAO!G6:G8)</f>
        <v>3091187.49</v>
      </c>
      <c r="H10" s="35"/>
      <c r="I10" s="17"/>
      <c r="J10" s="35"/>
      <c r="K10" s="35"/>
      <c r="L10" s="4"/>
      <c r="M10" s="4"/>
    </row>
    <row r="11" spans="1:13" ht="17" x14ac:dyDescent="0.5">
      <c r="A11" s="164"/>
      <c r="B11" s="164"/>
      <c r="C11" s="164"/>
      <c r="D11" s="15"/>
      <c r="E11" s="164"/>
      <c r="F11" s="58"/>
      <c r="G11" s="25"/>
      <c r="H11" s="35"/>
      <c r="I11" s="17"/>
      <c r="J11" s="35"/>
      <c r="K11" s="35"/>
      <c r="L11" s="4"/>
      <c r="M11" s="4"/>
    </row>
    <row r="12" spans="1:13" x14ac:dyDescent="0.35">
      <c r="A12" s="263" t="s">
        <v>59</v>
      </c>
      <c r="B12" s="164"/>
      <c r="C12" s="164"/>
      <c r="D12" s="15"/>
      <c r="E12" s="164"/>
      <c r="F12" s="58"/>
      <c r="G12" s="164">
        <f>G9-G10-G11</f>
        <v>486925.98839135189</v>
      </c>
      <c r="H12" s="35"/>
      <c r="I12" s="35"/>
      <c r="J12" s="35"/>
      <c r="K12" s="35"/>
      <c r="L12" s="4"/>
      <c r="M12" s="4"/>
    </row>
    <row r="13" spans="1:13" x14ac:dyDescent="0.35">
      <c r="A13" s="263" t="s">
        <v>60</v>
      </c>
      <c r="B13" s="164"/>
      <c r="C13" s="164"/>
      <c r="D13" s="15"/>
      <c r="E13" s="164"/>
      <c r="F13" s="58"/>
      <c r="G13" s="51">
        <f>ROUND(G12/G10,4)</f>
        <v>0.1575</v>
      </c>
      <c r="H13" s="35"/>
      <c r="I13" s="35"/>
      <c r="J13" s="4"/>
      <c r="K13" s="35"/>
      <c r="L13" s="4"/>
      <c r="M13" s="4"/>
    </row>
    <row r="14" spans="1:13" x14ac:dyDescent="0.35">
      <c r="A14" s="42"/>
      <c r="B14" s="35"/>
      <c r="C14" s="35"/>
      <c r="D14" s="48"/>
      <c r="E14" s="35"/>
      <c r="F14" s="43"/>
      <c r="G14" s="49"/>
      <c r="H14" s="35"/>
      <c r="I14" s="35"/>
      <c r="J14" s="4"/>
      <c r="K14" s="35"/>
      <c r="L14" s="4"/>
      <c r="M14" s="4"/>
    </row>
    <row r="15" spans="1:13" x14ac:dyDescent="0.35">
      <c r="A15" s="42"/>
      <c r="B15" s="35"/>
      <c r="C15" s="35"/>
      <c r="D15" s="48"/>
      <c r="E15" s="35"/>
      <c r="F15" s="43"/>
      <c r="G15" s="49"/>
      <c r="H15" s="35"/>
      <c r="I15" s="35"/>
      <c r="J15" s="4"/>
      <c r="K15" s="35"/>
      <c r="L15" s="4"/>
      <c r="M15" s="4"/>
    </row>
    <row r="16" spans="1:13" x14ac:dyDescent="0.35">
      <c r="A16" s="4"/>
      <c r="B16" s="501" t="s">
        <v>216</v>
      </c>
      <c r="C16" s="501"/>
      <c r="D16" s="501"/>
      <c r="E16" s="501"/>
      <c r="F16" s="4"/>
      <c r="G16" s="4"/>
      <c r="H16" s="4"/>
      <c r="I16" s="4"/>
      <c r="J16" s="4"/>
      <c r="K16" s="4"/>
      <c r="L16" s="4"/>
      <c r="M16" s="4"/>
    </row>
    <row r="17" spans="1:13" ht="18.5" x14ac:dyDescent="0.35">
      <c r="A17" s="495" t="s">
        <v>177</v>
      </c>
      <c r="B17" s="495"/>
      <c r="C17" s="495"/>
      <c r="D17" s="495"/>
      <c r="E17" s="495"/>
      <c r="F17" s="495"/>
      <c r="G17" s="495"/>
      <c r="H17" s="4"/>
      <c r="I17" s="4"/>
      <c r="J17" s="4"/>
      <c r="K17" s="4"/>
      <c r="L17" s="4"/>
      <c r="M17" s="4"/>
    </row>
    <row r="18" spans="1:13" x14ac:dyDescent="0.35">
      <c r="A18" s="199" t="s">
        <v>35</v>
      </c>
      <c r="B18" s="200"/>
      <c r="C18" s="200"/>
      <c r="D18" s="48"/>
      <c r="E18" s="35"/>
      <c r="F18" s="43"/>
      <c r="G18" s="4">
        <f>SAO!G48</f>
        <v>3246709.4783913521</v>
      </c>
      <c r="H18" s="4"/>
      <c r="I18" s="4"/>
      <c r="J18" s="4"/>
      <c r="K18" s="4"/>
      <c r="L18" s="4"/>
      <c r="M18" s="4"/>
    </row>
    <row r="19" spans="1:13" x14ac:dyDescent="0.35">
      <c r="A19" s="200" t="s">
        <v>178</v>
      </c>
      <c r="B19" s="200"/>
      <c r="C19" s="200"/>
      <c r="D19" s="48"/>
      <c r="E19" s="35"/>
      <c r="F19" s="43"/>
      <c r="G19" s="156">
        <v>0.88</v>
      </c>
      <c r="H19" s="4"/>
      <c r="I19" s="4"/>
      <c r="J19" s="4"/>
      <c r="K19" s="4"/>
      <c r="L19" s="4"/>
      <c r="M19" s="4"/>
    </row>
    <row r="20" spans="1:13" x14ac:dyDescent="0.35">
      <c r="A20" s="200" t="s">
        <v>179</v>
      </c>
      <c r="B20" s="94"/>
      <c r="C20" s="94"/>
      <c r="D20" s="48"/>
      <c r="E20" s="35"/>
      <c r="F20" s="43"/>
      <c r="G20" s="4">
        <f>G18/G19</f>
        <v>3689442.589081082</v>
      </c>
      <c r="H20" s="4"/>
      <c r="I20" s="4"/>
      <c r="J20" s="4"/>
      <c r="K20" s="4"/>
      <c r="L20" s="4"/>
      <c r="M20" s="4"/>
    </row>
    <row r="21" spans="1:13" ht="17" x14ac:dyDescent="0.5">
      <c r="A21" s="200" t="s">
        <v>19</v>
      </c>
      <c r="B21" s="200"/>
      <c r="C21" s="200" t="s">
        <v>180</v>
      </c>
      <c r="D21" s="48"/>
      <c r="E21" s="35"/>
      <c r="F21" s="43"/>
      <c r="G21" s="169">
        <f>'Debt Service'!M30</f>
        <v>252970.4</v>
      </c>
      <c r="H21" s="4"/>
      <c r="I21" s="4" t="s">
        <v>182</v>
      </c>
      <c r="J21" s="35"/>
      <c r="K21" s="35"/>
      <c r="L21" s="4" t="s">
        <v>181</v>
      </c>
      <c r="M21" s="4"/>
    </row>
    <row r="22" spans="1:13" x14ac:dyDescent="0.35">
      <c r="A22" s="199" t="s">
        <v>58</v>
      </c>
      <c r="B22" s="200"/>
      <c r="C22" s="200"/>
      <c r="D22" s="48"/>
      <c r="E22" s="35"/>
      <c r="F22" s="43"/>
      <c r="G22" s="4">
        <f>G20+G21</f>
        <v>3942412.9890810819</v>
      </c>
      <c r="H22" s="4"/>
      <c r="I22" s="4"/>
      <c r="J22" s="4"/>
      <c r="K22" s="4"/>
      <c r="L22" s="4"/>
      <c r="M22" s="4"/>
    </row>
    <row r="23" spans="1:13" x14ac:dyDescent="0.35">
      <c r="A23" s="200" t="s">
        <v>20</v>
      </c>
      <c r="B23" s="200"/>
      <c r="C23" s="203" t="s">
        <v>21</v>
      </c>
      <c r="D23" s="48"/>
      <c r="E23" s="35"/>
      <c r="F23" s="43"/>
      <c r="G23" s="258">
        <f>SUM(SAO!G10:G12)</f>
        <v>206503</v>
      </c>
      <c r="H23" s="4"/>
      <c r="I23" s="4"/>
      <c r="J23" s="4"/>
      <c r="K23" s="4"/>
      <c r="L23" s="4"/>
      <c r="M23" s="4"/>
    </row>
    <row r="24" spans="1:13" ht="17" x14ac:dyDescent="0.5">
      <c r="A24" s="200"/>
      <c r="B24" s="200"/>
      <c r="C24" s="204" t="s">
        <v>163</v>
      </c>
      <c r="D24" s="48"/>
      <c r="E24" s="35"/>
      <c r="F24" s="43"/>
      <c r="G24" s="25">
        <f>G7+G8</f>
        <v>138083</v>
      </c>
      <c r="H24" s="4"/>
      <c r="I24" s="4"/>
      <c r="J24" s="4"/>
      <c r="K24" s="4"/>
      <c r="L24" s="4"/>
      <c r="M24" s="4"/>
    </row>
    <row r="25" spans="1:13" x14ac:dyDescent="0.35">
      <c r="A25" s="199" t="s">
        <v>56</v>
      </c>
      <c r="B25" s="200"/>
      <c r="C25" s="200"/>
      <c r="D25" s="48"/>
      <c r="E25" s="35"/>
      <c r="F25" s="43"/>
      <c r="G25" s="4">
        <f>G22-G23-G24</f>
        <v>3597826.9890810819</v>
      </c>
      <c r="H25" s="4"/>
      <c r="I25" s="4"/>
      <c r="J25" s="4"/>
      <c r="K25" s="4"/>
      <c r="L25" s="4"/>
      <c r="M25" s="4"/>
    </row>
    <row r="26" spans="1:13" x14ac:dyDescent="0.35">
      <c r="A26" s="200" t="s">
        <v>20</v>
      </c>
      <c r="B26" s="200"/>
      <c r="C26" s="407" t="str">
        <f>C10</f>
        <v>Revenue from Metered Sales with Present Rates</v>
      </c>
      <c r="D26" s="48"/>
      <c r="E26" s="35"/>
      <c r="F26" s="43"/>
      <c r="G26" s="3">
        <f>G10</f>
        <v>3091187.49</v>
      </c>
      <c r="H26" s="4"/>
      <c r="I26" s="4"/>
      <c r="J26" s="4"/>
      <c r="K26" s="4"/>
      <c r="L26" s="4"/>
      <c r="M26" s="4"/>
    </row>
    <row r="27" spans="1:13" ht="17" x14ac:dyDescent="0.5">
      <c r="A27" s="200"/>
      <c r="B27" s="200"/>
      <c r="C27" s="202"/>
      <c r="D27" s="48"/>
      <c r="E27" s="35"/>
      <c r="F27" s="43"/>
      <c r="G27" s="25"/>
      <c r="H27" s="4"/>
      <c r="I27" s="4"/>
      <c r="J27" s="4"/>
      <c r="K27" s="4"/>
      <c r="L27" s="4"/>
      <c r="M27" s="4"/>
    </row>
    <row r="28" spans="1:13" x14ac:dyDescent="0.35">
      <c r="A28" s="199" t="s">
        <v>59</v>
      </c>
      <c r="B28" s="200"/>
      <c r="C28" s="200"/>
      <c r="D28" s="48"/>
      <c r="E28" s="35"/>
      <c r="F28" s="43"/>
      <c r="G28" s="3">
        <f>G25-G26</f>
        <v>506639.49908108171</v>
      </c>
      <c r="H28" s="4"/>
      <c r="I28" s="4"/>
      <c r="J28" s="4"/>
      <c r="K28" s="4"/>
      <c r="L28" s="4"/>
      <c r="M28" s="4"/>
    </row>
    <row r="29" spans="1:13" x14ac:dyDescent="0.35">
      <c r="A29" s="199" t="s">
        <v>60</v>
      </c>
      <c r="B29" s="200"/>
      <c r="C29" s="200"/>
      <c r="D29" s="4"/>
      <c r="E29" s="4"/>
      <c r="F29" s="4"/>
      <c r="G29" s="49">
        <f>G28/G26</f>
        <v>0.16389801677189167</v>
      </c>
      <c r="H29" s="4"/>
      <c r="I29" s="156"/>
      <c r="J29" s="4"/>
      <c r="K29" s="4"/>
      <c r="L29" s="4"/>
      <c r="M29" s="4"/>
    </row>
  </sheetData>
  <mergeCells count="3">
    <mergeCell ref="A1:G1"/>
    <mergeCell ref="A17:G17"/>
    <mergeCell ref="B16:E16"/>
  </mergeCells>
  <printOptions horizontalCentered="1" verticalCentered="1"/>
  <pageMargins left="0.7" right="0.7" top="0.75" bottom="0.75" header="0.3" footer="0.3"/>
  <pageSetup orientation="portrait" horizontalDpi="4294967293"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6A0393-D2CF-4D21-9B7A-5D1DCEEBF31D}">
  <sheetPr>
    <tabColor rgb="FF92D050"/>
  </sheetPr>
  <dimension ref="B2:D29"/>
  <sheetViews>
    <sheetView showGridLines="0" workbookViewId="0">
      <selection activeCell="G23" sqref="G23"/>
    </sheetView>
  </sheetViews>
  <sheetFormatPr defaultRowHeight="15.5" x14ac:dyDescent="0.35"/>
  <cols>
    <col min="2" max="2" width="2.3046875" bestFit="1" customWidth="1"/>
    <col min="3" max="3" width="78.15234375" customWidth="1"/>
    <col min="4" max="4" width="2" bestFit="1" customWidth="1"/>
  </cols>
  <sheetData>
    <row r="2" spans="2:4" x14ac:dyDescent="0.35">
      <c r="B2" s="216"/>
      <c r="C2" s="430" t="s">
        <v>190</v>
      </c>
    </row>
    <row r="3" spans="2:4" x14ac:dyDescent="0.35">
      <c r="B3" s="217" t="s">
        <v>175</v>
      </c>
      <c r="C3" s="218" t="s">
        <v>191</v>
      </c>
      <c r="D3" s="219"/>
    </row>
    <row r="4" spans="2:4" x14ac:dyDescent="0.35">
      <c r="B4" s="217"/>
      <c r="C4" s="218"/>
      <c r="D4" s="219"/>
    </row>
    <row r="5" spans="2:4" ht="31" x14ac:dyDescent="0.35">
      <c r="B5" s="217" t="s">
        <v>199</v>
      </c>
      <c r="C5" s="218" t="s">
        <v>371</v>
      </c>
    </row>
    <row r="6" spans="2:4" x14ac:dyDescent="0.35">
      <c r="B6" s="217"/>
      <c r="C6" s="218"/>
    </row>
    <row r="7" spans="2:4" ht="62" x14ac:dyDescent="0.35">
      <c r="B7" s="217" t="s">
        <v>200</v>
      </c>
      <c r="C7" s="218" t="s">
        <v>374</v>
      </c>
    </row>
    <row r="8" spans="2:4" x14ac:dyDescent="0.35">
      <c r="B8" s="217"/>
      <c r="C8" s="218"/>
    </row>
    <row r="9" spans="2:4" x14ac:dyDescent="0.35">
      <c r="B9" s="217" t="s">
        <v>209</v>
      </c>
      <c r="C9" s="218" t="s">
        <v>385</v>
      </c>
    </row>
    <row r="10" spans="2:4" x14ac:dyDescent="0.35">
      <c r="B10" s="216"/>
      <c r="C10" s="220"/>
    </row>
    <row r="11" spans="2:4" x14ac:dyDescent="0.35">
      <c r="B11" s="217" t="s">
        <v>210</v>
      </c>
      <c r="C11" s="218" t="s">
        <v>386</v>
      </c>
    </row>
    <row r="12" spans="2:4" x14ac:dyDescent="0.35">
      <c r="B12" s="216"/>
      <c r="C12" s="220"/>
    </row>
    <row r="13" spans="2:4" ht="46.5" x14ac:dyDescent="0.35">
      <c r="B13" s="217" t="s">
        <v>211</v>
      </c>
      <c r="C13" s="218" t="s">
        <v>397</v>
      </c>
    </row>
    <row r="14" spans="2:4" x14ac:dyDescent="0.35">
      <c r="B14" s="217"/>
      <c r="C14" s="218"/>
    </row>
    <row r="15" spans="2:4" ht="31" x14ac:dyDescent="0.35">
      <c r="B15" s="217" t="s">
        <v>212</v>
      </c>
      <c r="C15" s="218" t="s">
        <v>395</v>
      </c>
    </row>
    <row r="16" spans="2:4" x14ac:dyDescent="0.35">
      <c r="B16" s="216"/>
      <c r="C16" s="220"/>
    </row>
    <row r="17" spans="2:3" ht="62" x14ac:dyDescent="0.35">
      <c r="B17" s="217" t="s">
        <v>213</v>
      </c>
      <c r="C17" s="218" t="s">
        <v>375</v>
      </c>
    </row>
    <row r="18" spans="2:3" x14ac:dyDescent="0.35">
      <c r="B18" s="216"/>
      <c r="C18" s="220"/>
    </row>
    <row r="19" spans="2:3" x14ac:dyDescent="0.35">
      <c r="B19" s="217" t="s">
        <v>214</v>
      </c>
      <c r="C19" s="218" t="s">
        <v>387</v>
      </c>
    </row>
    <row r="20" spans="2:3" x14ac:dyDescent="0.35">
      <c r="B20" s="216"/>
      <c r="C20" s="220"/>
    </row>
    <row r="21" spans="2:3" ht="46.5" x14ac:dyDescent="0.35">
      <c r="B21" s="217" t="s">
        <v>215</v>
      </c>
      <c r="C21" s="218" t="s">
        <v>376</v>
      </c>
    </row>
    <row r="22" spans="2:3" x14ac:dyDescent="0.35">
      <c r="B22" s="216"/>
      <c r="C22" s="220"/>
    </row>
    <row r="23" spans="2:3" ht="46.5" x14ac:dyDescent="0.35">
      <c r="B23" s="217" t="s">
        <v>396</v>
      </c>
      <c r="C23" s="218" t="s">
        <v>377</v>
      </c>
    </row>
    <row r="24" spans="2:3" x14ac:dyDescent="0.35">
      <c r="B24" s="216"/>
      <c r="C24" s="220"/>
    </row>
    <row r="25" spans="2:3" x14ac:dyDescent="0.35">
      <c r="B25" s="217"/>
      <c r="C25" s="218"/>
    </row>
    <row r="26" spans="2:3" x14ac:dyDescent="0.35">
      <c r="B26" s="216"/>
      <c r="C26" s="220"/>
    </row>
    <row r="27" spans="2:3" x14ac:dyDescent="0.35">
      <c r="B27" s="217"/>
      <c r="C27" s="218"/>
    </row>
    <row r="28" spans="2:3" x14ac:dyDescent="0.35">
      <c r="B28" s="216"/>
      <c r="C28" s="220"/>
    </row>
    <row r="29" spans="2:3" x14ac:dyDescent="0.35">
      <c r="B29" s="217"/>
      <c r="C29" s="218"/>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2423B5-3C4F-4A66-BDCE-8C5FC4A546FE}">
  <sheetPr>
    <tabColor rgb="FF92D050"/>
  </sheetPr>
  <dimension ref="A1:I27"/>
  <sheetViews>
    <sheetView topLeftCell="A7" workbookViewId="0">
      <selection activeCell="J20" sqref="J20"/>
    </sheetView>
  </sheetViews>
  <sheetFormatPr defaultColWidth="8.84375" defaultRowHeight="14.5" x14ac:dyDescent="0.35"/>
  <cols>
    <col min="1" max="1" width="18.69140625" style="1" customWidth="1"/>
    <col min="2" max="2" width="9.84375" style="4" bestFit="1" customWidth="1"/>
    <col min="3" max="3" width="9.921875" style="1" customWidth="1"/>
    <col min="4" max="4" width="9.07421875" style="1" bestFit="1" customWidth="1"/>
    <col min="5" max="6" width="8.84375" style="1"/>
    <col min="7" max="8" width="9.53515625" style="1" bestFit="1" customWidth="1"/>
    <col min="9" max="9" width="9.3828125" style="1" bestFit="1" customWidth="1"/>
    <col min="10" max="16384" width="8.84375" style="1"/>
  </cols>
  <sheetData>
    <row r="1" spans="1:9" x14ac:dyDescent="0.35">
      <c r="A1" s="1" t="s">
        <v>240</v>
      </c>
      <c r="I1" s="9"/>
    </row>
    <row r="2" spans="1:9" x14ac:dyDescent="0.35">
      <c r="A2" s="1" t="s">
        <v>147</v>
      </c>
      <c r="C2" s="4">
        <v>481353</v>
      </c>
      <c r="G2" s="214"/>
      <c r="H2" s="214"/>
      <c r="I2" s="214"/>
    </row>
    <row r="3" spans="1:9" x14ac:dyDescent="0.35">
      <c r="A3" s="1" t="s">
        <v>148</v>
      </c>
      <c r="C3" s="205">
        <v>410585</v>
      </c>
    </row>
    <row r="4" spans="1:9" x14ac:dyDescent="0.35">
      <c r="A4" s="1" t="s">
        <v>149</v>
      </c>
    </row>
    <row r="5" spans="1:9" x14ac:dyDescent="0.35">
      <c r="A5" s="1" t="s">
        <v>150</v>
      </c>
      <c r="B5" s="4">
        <v>21186</v>
      </c>
    </row>
    <row r="6" spans="1:9" x14ac:dyDescent="0.35">
      <c r="A6" s="1" t="s">
        <v>151</v>
      </c>
      <c r="B6" s="4">
        <v>5897</v>
      </c>
    </row>
    <row r="7" spans="1:9" x14ac:dyDescent="0.35">
      <c r="A7" s="1" t="s">
        <v>152</v>
      </c>
      <c r="B7" s="4">
        <v>888</v>
      </c>
    </row>
    <row r="8" spans="1:9" x14ac:dyDescent="0.35">
      <c r="A8" s="1" t="s">
        <v>218</v>
      </c>
      <c r="B8" s="4">
        <v>21</v>
      </c>
    </row>
    <row r="9" spans="1:9" x14ac:dyDescent="0.35">
      <c r="A9" s="71" t="s">
        <v>219</v>
      </c>
      <c r="C9" s="94">
        <f>B5+B6+B7+B8</f>
        <v>27992</v>
      </c>
    </row>
    <row r="10" spans="1:9" x14ac:dyDescent="0.35">
      <c r="A10" s="1" t="s">
        <v>153</v>
      </c>
      <c r="B10" s="4">
        <v>0</v>
      </c>
    </row>
    <row r="11" spans="1:9" x14ac:dyDescent="0.35">
      <c r="A11" s="1" t="s">
        <v>154</v>
      </c>
    </row>
    <row r="12" spans="1:9" x14ac:dyDescent="0.35">
      <c r="A12" s="1" t="s">
        <v>155</v>
      </c>
      <c r="B12" s="4">
        <v>42776</v>
      </c>
    </row>
    <row r="13" spans="1:9" x14ac:dyDescent="0.35">
      <c r="A13" s="1" t="s">
        <v>159</v>
      </c>
    </row>
    <row r="14" spans="1:9" x14ac:dyDescent="0.35">
      <c r="C14" s="94">
        <f>B10+B11+B12+B13</f>
        <v>42776</v>
      </c>
      <c r="D14" s="157">
        <f>C14/C2</f>
        <v>8.8866175135503461E-2</v>
      </c>
      <c r="E14" s="1" t="s">
        <v>156</v>
      </c>
    </row>
    <row r="15" spans="1:9" x14ac:dyDescent="0.35">
      <c r="C15" s="94"/>
      <c r="D15" s="157">
        <v>0.15</v>
      </c>
      <c r="E15" s="1" t="s">
        <v>157</v>
      </c>
    </row>
    <row r="16" spans="1:9" x14ac:dyDescent="0.35">
      <c r="D16" s="163">
        <f>IF(D14&gt;D15,D14-D15,0)</f>
        <v>0</v>
      </c>
      <c r="E16" s="1" t="s">
        <v>158</v>
      </c>
      <c r="G16" s="9"/>
    </row>
    <row r="17" spans="1:5" x14ac:dyDescent="0.35">
      <c r="B17" s="3"/>
    </row>
    <row r="18" spans="1:5" x14ac:dyDescent="0.35">
      <c r="A18" s="86"/>
      <c r="B18" s="473"/>
      <c r="C18" s="86"/>
      <c r="D18" s="86"/>
    </row>
    <row r="19" spans="1:5" x14ac:dyDescent="0.35">
      <c r="B19" s="155"/>
      <c r="D19" s="474"/>
      <c r="E19" s="9"/>
    </row>
    <row r="20" spans="1:5" x14ac:dyDescent="0.35">
      <c r="B20" s="155"/>
      <c r="D20" s="474"/>
      <c r="E20" s="9"/>
    </row>
    <row r="21" spans="1:5" x14ac:dyDescent="0.35">
      <c r="B21" s="155"/>
      <c r="D21" s="474"/>
    </row>
    <row r="22" spans="1:5" x14ac:dyDescent="0.35">
      <c r="B22" s="155"/>
      <c r="D22" s="474"/>
    </row>
    <row r="24" spans="1:5" x14ac:dyDescent="0.35">
      <c r="B24" s="224"/>
    </row>
    <row r="25" spans="1:5" x14ac:dyDescent="0.35">
      <c r="B25" s="224"/>
      <c r="D25" s="305"/>
    </row>
    <row r="26" spans="1:5" x14ac:dyDescent="0.35">
      <c r="B26" s="224"/>
      <c r="D26" s="94"/>
    </row>
    <row r="27" spans="1:5" x14ac:dyDescent="0.35">
      <c r="B27" s="224"/>
      <c r="D27" s="29"/>
    </row>
  </sheetData>
  <pageMargins left="0.7" right="0.7" top="0.75" bottom="0.75" header="0.3" footer="0.3"/>
  <pageSetup orientation="portrait" horizontalDpi="4294967293"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sheetPr>
  <dimension ref="A1:N120"/>
  <sheetViews>
    <sheetView topLeftCell="A40" workbookViewId="0">
      <selection activeCell="G23" sqref="G23"/>
    </sheetView>
  </sheetViews>
  <sheetFormatPr defaultColWidth="8.84375" defaultRowHeight="14.5" x14ac:dyDescent="0.35"/>
  <cols>
    <col min="1" max="1" width="17.921875" style="1" customWidth="1"/>
    <col min="2" max="2" width="9.84375" style="1" customWidth="1"/>
    <col min="3" max="3" width="12.4609375" style="1" customWidth="1"/>
    <col min="4" max="5" width="9.765625" style="1" customWidth="1"/>
    <col min="6" max="6" width="10.69140625" style="1" customWidth="1"/>
    <col min="7" max="7" width="10.07421875" style="151" customWidth="1"/>
    <col min="8" max="8" width="8.3828125" style="1" customWidth="1"/>
    <col min="9" max="9" width="6.3828125" style="1" customWidth="1"/>
    <col min="10" max="10" width="8.84375" style="1"/>
    <col min="11" max="11" width="2.61328125" style="1" customWidth="1"/>
    <col min="12" max="12" width="3.23046875" style="1" customWidth="1"/>
    <col min="13" max="13" width="16.53515625" style="1" bestFit="1" customWidth="1"/>
    <col min="14" max="14" width="12.765625" style="1" customWidth="1"/>
    <col min="15" max="16384" width="8.84375" style="1"/>
  </cols>
  <sheetData>
    <row r="1" spans="1:14" x14ac:dyDescent="0.35">
      <c r="A1" s="86" t="s">
        <v>73</v>
      </c>
    </row>
    <row r="2" spans="1:14" x14ac:dyDescent="0.35">
      <c r="M2" s="1" t="s">
        <v>305</v>
      </c>
      <c r="N2" s="4">
        <v>326342.71999999997</v>
      </c>
    </row>
    <row r="3" spans="1:14" x14ac:dyDescent="0.35">
      <c r="A3" s="181" t="s">
        <v>170</v>
      </c>
      <c r="C3" s="9" t="s">
        <v>68</v>
      </c>
      <c r="F3" s="9" t="s">
        <v>145</v>
      </c>
      <c r="H3" s="9"/>
      <c r="J3" s="12"/>
      <c r="K3" s="12"/>
      <c r="M3" s="1" t="s">
        <v>308</v>
      </c>
      <c r="N3" s="4">
        <v>49169.09</v>
      </c>
    </row>
    <row r="4" spans="1:14" x14ac:dyDescent="0.35">
      <c r="B4" s="9" t="s">
        <v>68</v>
      </c>
      <c r="C4" s="9" t="s">
        <v>69</v>
      </c>
      <c r="D4" s="9" t="s">
        <v>69</v>
      </c>
      <c r="E4" s="9" t="s">
        <v>70</v>
      </c>
      <c r="F4" s="9" t="s">
        <v>72</v>
      </c>
      <c r="H4" s="9"/>
      <c r="M4" s="1" t="s">
        <v>306</v>
      </c>
      <c r="N4" s="4">
        <v>2895.73</v>
      </c>
    </row>
    <row r="5" spans="1:14" x14ac:dyDescent="0.35">
      <c r="A5" s="10" t="s">
        <v>230</v>
      </c>
      <c r="B5" s="10" t="s">
        <v>71</v>
      </c>
      <c r="C5" s="10" t="s">
        <v>74</v>
      </c>
      <c r="D5" s="10" t="s">
        <v>75</v>
      </c>
      <c r="E5" s="10" t="s">
        <v>75</v>
      </c>
      <c r="F5" s="27" t="s">
        <v>71</v>
      </c>
      <c r="G5" s="152"/>
      <c r="H5" s="27"/>
      <c r="M5" s="198" t="s">
        <v>307</v>
      </c>
      <c r="N5" s="2">
        <v>25075.8</v>
      </c>
    </row>
    <row r="6" spans="1:14" x14ac:dyDescent="0.35">
      <c r="A6" s="9">
        <v>1</v>
      </c>
      <c r="B6" s="24">
        <v>334.06</v>
      </c>
      <c r="C6" s="24">
        <v>0</v>
      </c>
      <c r="D6" s="28">
        <f>IF(B6&gt;0,C6/B6,0)</f>
        <v>0</v>
      </c>
      <c r="E6" s="28">
        <f>1-D6</f>
        <v>1</v>
      </c>
      <c r="F6" s="29">
        <f>B6*E6*12</f>
        <v>4008.7200000000003</v>
      </c>
      <c r="G6" s="252"/>
      <c r="H6" s="29"/>
      <c r="K6" s="29"/>
      <c r="M6" s="1" t="s">
        <v>309</v>
      </c>
      <c r="N6" s="4">
        <f>SUM(N2:N5)</f>
        <v>403483.33999999991</v>
      </c>
    </row>
    <row r="7" spans="1:14" x14ac:dyDescent="0.35">
      <c r="A7" s="9">
        <v>2</v>
      </c>
      <c r="B7" s="24">
        <v>334.06</v>
      </c>
      <c r="C7" s="24">
        <v>0</v>
      </c>
      <c r="D7" s="28">
        <f t="shared" ref="D7:D13" si="0">IF(B7&gt;0,C7/B7,0)</f>
        <v>0</v>
      </c>
      <c r="E7" s="28">
        <f t="shared" ref="E7:E13" si="1">1-D7</f>
        <v>1</v>
      </c>
      <c r="F7" s="29">
        <f t="shared" ref="F7:F13" si="2">B7*E7*12</f>
        <v>4008.7200000000003</v>
      </c>
      <c r="G7" s="252"/>
      <c r="H7" s="29"/>
    </row>
    <row r="8" spans="1:14" x14ac:dyDescent="0.35">
      <c r="A8" s="9">
        <v>3</v>
      </c>
      <c r="B8" s="24">
        <v>334.06</v>
      </c>
      <c r="C8" s="24">
        <v>0</v>
      </c>
      <c r="D8" s="28">
        <f t="shared" si="0"/>
        <v>0</v>
      </c>
      <c r="E8" s="28">
        <f t="shared" si="1"/>
        <v>1</v>
      </c>
      <c r="F8" s="29">
        <f t="shared" si="2"/>
        <v>4008.7200000000003</v>
      </c>
      <c r="G8" s="252"/>
      <c r="H8" s="29"/>
    </row>
    <row r="9" spans="1:14" x14ac:dyDescent="0.35">
      <c r="A9" s="9">
        <v>4</v>
      </c>
      <c r="B9" s="24">
        <v>351.52</v>
      </c>
      <c r="C9" s="24">
        <v>0</v>
      </c>
      <c r="D9" s="28">
        <f t="shared" si="0"/>
        <v>0</v>
      </c>
      <c r="E9" s="28">
        <f t="shared" si="1"/>
        <v>1</v>
      </c>
      <c r="F9" s="29">
        <f t="shared" si="2"/>
        <v>4218.24</v>
      </c>
      <c r="G9" s="252"/>
      <c r="H9" s="29"/>
    </row>
    <row r="10" spans="1:14" x14ac:dyDescent="0.35">
      <c r="A10" s="9">
        <v>5</v>
      </c>
      <c r="B10" s="24">
        <v>351.52</v>
      </c>
      <c r="C10" s="24">
        <v>0</v>
      </c>
      <c r="D10" s="28">
        <f t="shared" si="0"/>
        <v>0</v>
      </c>
      <c r="E10" s="28">
        <f t="shared" si="1"/>
        <v>1</v>
      </c>
      <c r="F10" s="29">
        <f t="shared" si="2"/>
        <v>4218.24</v>
      </c>
      <c r="G10" s="252"/>
      <c r="H10" s="29"/>
    </row>
    <row r="11" spans="1:14" x14ac:dyDescent="0.35">
      <c r="A11" s="9">
        <v>6</v>
      </c>
      <c r="B11" s="24">
        <v>351.52</v>
      </c>
      <c r="C11" s="24">
        <v>0</v>
      </c>
      <c r="D11" s="28">
        <f t="shared" si="0"/>
        <v>0</v>
      </c>
      <c r="E11" s="28">
        <f t="shared" si="1"/>
        <v>1</v>
      </c>
      <c r="F11" s="29">
        <f t="shared" si="2"/>
        <v>4218.24</v>
      </c>
      <c r="G11" s="252"/>
      <c r="H11" s="29"/>
    </row>
    <row r="12" spans="1:14" x14ac:dyDescent="0.35">
      <c r="A12" s="9">
        <v>7</v>
      </c>
      <c r="B12" s="24">
        <v>1979.97</v>
      </c>
      <c r="C12" s="24">
        <v>0</v>
      </c>
      <c r="D12" s="28">
        <f t="shared" si="0"/>
        <v>0</v>
      </c>
      <c r="E12" s="28">
        <f t="shared" si="1"/>
        <v>1</v>
      </c>
      <c r="F12" s="29">
        <f t="shared" si="2"/>
        <v>23759.64</v>
      </c>
      <c r="G12" s="252"/>
      <c r="H12" s="29"/>
    </row>
    <row r="13" spans="1:14" x14ac:dyDescent="0.35">
      <c r="A13" s="9">
        <v>8</v>
      </c>
      <c r="B13" s="24">
        <v>2261.4</v>
      </c>
      <c r="C13" s="24">
        <v>0</v>
      </c>
      <c r="D13" s="28">
        <f t="shared" si="0"/>
        <v>0</v>
      </c>
      <c r="E13" s="28">
        <f t="shared" si="1"/>
        <v>1</v>
      </c>
      <c r="F13" s="29">
        <f t="shared" si="2"/>
        <v>27136.800000000003</v>
      </c>
      <c r="G13" s="252"/>
      <c r="H13" s="29"/>
    </row>
    <row r="14" spans="1:14" x14ac:dyDescent="0.35">
      <c r="A14" s="9">
        <v>9</v>
      </c>
      <c r="B14" s="24">
        <f>5148.22/2</f>
        <v>2574.11</v>
      </c>
      <c r="C14" s="24">
        <v>0</v>
      </c>
      <c r="D14" s="28">
        <f t="shared" ref="D14" si="3">IF(B14&gt;0,C14/B14,0)</f>
        <v>0</v>
      </c>
      <c r="E14" s="28">
        <f t="shared" ref="E14" si="4">1-D14</f>
        <v>1</v>
      </c>
      <c r="F14" s="29">
        <f t="shared" ref="F14" si="5">B14*E14*12</f>
        <v>30889.32</v>
      </c>
      <c r="G14" s="252"/>
      <c r="H14" s="29"/>
    </row>
    <row r="15" spans="1:14" x14ac:dyDescent="0.35">
      <c r="A15" s="9">
        <v>10</v>
      </c>
      <c r="B15" s="24">
        <f>5148.22/2</f>
        <v>2574.11</v>
      </c>
      <c r="C15" s="24">
        <v>0</v>
      </c>
      <c r="D15" s="28">
        <f t="shared" ref="D15:D19" si="6">IF(B15&gt;0,C15/B15,0)</f>
        <v>0</v>
      </c>
      <c r="E15" s="28">
        <f t="shared" ref="E15:E19" si="7">1-D15</f>
        <v>1</v>
      </c>
      <c r="F15" s="29">
        <f t="shared" ref="F15:F19" si="8">B15*E15*12</f>
        <v>30889.32</v>
      </c>
      <c r="G15" s="252"/>
      <c r="H15" s="29"/>
    </row>
    <row r="16" spans="1:14" x14ac:dyDescent="0.35">
      <c r="A16" s="9">
        <v>11</v>
      </c>
      <c r="B16" s="24">
        <f>2168.54/2</f>
        <v>1084.27</v>
      </c>
      <c r="C16" s="24">
        <v>0</v>
      </c>
      <c r="D16" s="28">
        <f t="shared" si="6"/>
        <v>0</v>
      </c>
      <c r="E16" s="28">
        <f t="shared" si="7"/>
        <v>1</v>
      </c>
      <c r="F16" s="29">
        <f t="shared" si="8"/>
        <v>13011.24</v>
      </c>
      <c r="G16" s="252"/>
      <c r="H16" s="29"/>
    </row>
    <row r="17" spans="1:10" x14ac:dyDescent="0.35">
      <c r="A17" s="9">
        <v>12</v>
      </c>
      <c r="B17" s="24">
        <f>2168.54/2</f>
        <v>1084.27</v>
      </c>
      <c r="C17" s="24">
        <v>0</v>
      </c>
      <c r="D17" s="28">
        <f t="shared" si="6"/>
        <v>0</v>
      </c>
      <c r="E17" s="28">
        <f t="shared" si="7"/>
        <v>1</v>
      </c>
      <c r="F17" s="29">
        <f t="shared" si="8"/>
        <v>13011.24</v>
      </c>
      <c r="G17" s="252"/>
      <c r="H17" s="29"/>
    </row>
    <row r="18" spans="1:10" x14ac:dyDescent="0.35">
      <c r="A18" s="9">
        <v>13</v>
      </c>
      <c r="B18" s="24">
        <v>2155.25</v>
      </c>
      <c r="C18" s="24">
        <v>0</v>
      </c>
      <c r="D18" s="28">
        <f t="shared" si="6"/>
        <v>0</v>
      </c>
      <c r="E18" s="28">
        <f t="shared" si="7"/>
        <v>1</v>
      </c>
      <c r="F18" s="29">
        <f t="shared" si="8"/>
        <v>25863</v>
      </c>
      <c r="G18" s="252"/>
      <c r="H18" s="29"/>
    </row>
    <row r="19" spans="1:10" x14ac:dyDescent="0.35">
      <c r="A19" s="9">
        <v>14</v>
      </c>
      <c r="B19" s="24">
        <v>2895.93</v>
      </c>
      <c r="C19" s="24">
        <v>0</v>
      </c>
      <c r="D19" s="28">
        <f t="shared" si="6"/>
        <v>0</v>
      </c>
      <c r="E19" s="28">
        <f t="shared" si="7"/>
        <v>1</v>
      </c>
      <c r="F19" s="29">
        <f t="shared" si="8"/>
        <v>34751.159999999996</v>
      </c>
      <c r="G19" s="252"/>
      <c r="H19" s="29"/>
    </row>
    <row r="20" spans="1:10" x14ac:dyDescent="0.35">
      <c r="A20" s="9">
        <v>15</v>
      </c>
      <c r="B20" s="24">
        <f>2207.8/2</f>
        <v>1103.9000000000001</v>
      </c>
      <c r="C20" s="24">
        <v>0</v>
      </c>
      <c r="D20" s="28">
        <f t="shared" ref="D20:D21" si="9">IF(B20&gt;0,C20/B20,0)</f>
        <v>0</v>
      </c>
      <c r="E20" s="28">
        <f t="shared" ref="E20:E21" si="10">1-D20</f>
        <v>1</v>
      </c>
      <c r="F20" s="29">
        <f t="shared" ref="F20:F21" si="11">B20*E20*12</f>
        <v>13246.800000000001</v>
      </c>
      <c r="G20" s="252"/>
      <c r="H20" s="29"/>
    </row>
    <row r="21" spans="1:10" x14ac:dyDescent="0.35">
      <c r="A21" s="9">
        <v>16</v>
      </c>
      <c r="B21" s="24">
        <f>2207.8/2</f>
        <v>1103.9000000000001</v>
      </c>
      <c r="C21" s="24">
        <v>0</v>
      </c>
      <c r="D21" s="28">
        <f t="shared" si="9"/>
        <v>0</v>
      </c>
      <c r="E21" s="28">
        <f t="shared" si="10"/>
        <v>1</v>
      </c>
      <c r="F21" s="29">
        <f t="shared" si="11"/>
        <v>13246.800000000001</v>
      </c>
      <c r="G21" s="252"/>
      <c r="H21" s="29"/>
    </row>
    <row r="22" spans="1:10" x14ac:dyDescent="0.35">
      <c r="A22" s="9">
        <v>17</v>
      </c>
      <c r="B22" s="24">
        <v>2194.52</v>
      </c>
      <c r="C22" s="24">
        <v>0</v>
      </c>
      <c r="D22" s="28">
        <f t="shared" ref="D22:D24" si="12">IF(B22&gt;0,C22/B22,0)</f>
        <v>0</v>
      </c>
      <c r="E22" s="28">
        <f t="shared" ref="E22:E24" si="13">1-D22</f>
        <v>1</v>
      </c>
      <c r="F22" s="29">
        <f t="shared" ref="F22:F24" si="14">B22*E22*12</f>
        <v>26334.239999999998</v>
      </c>
      <c r="G22" s="252"/>
      <c r="H22" s="29"/>
    </row>
    <row r="23" spans="1:10" x14ac:dyDescent="0.35">
      <c r="A23" s="9">
        <v>18</v>
      </c>
      <c r="B23" s="24">
        <v>2935.19</v>
      </c>
      <c r="C23" s="24">
        <v>0</v>
      </c>
      <c r="D23" s="28">
        <f t="shared" si="12"/>
        <v>0</v>
      </c>
      <c r="E23" s="28">
        <f t="shared" si="13"/>
        <v>1</v>
      </c>
      <c r="F23" s="29">
        <f t="shared" si="14"/>
        <v>35222.28</v>
      </c>
      <c r="G23" s="469"/>
      <c r="H23" s="29"/>
    </row>
    <row r="24" spans="1:10" x14ac:dyDescent="0.35">
      <c r="A24" s="9" t="s">
        <v>284</v>
      </c>
      <c r="B24" s="24">
        <v>334.06</v>
      </c>
      <c r="C24" s="24">
        <v>0</v>
      </c>
      <c r="D24" s="28">
        <f t="shared" si="12"/>
        <v>0</v>
      </c>
      <c r="E24" s="28">
        <f t="shared" si="13"/>
        <v>1</v>
      </c>
      <c r="F24" s="29">
        <f t="shared" si="14"/>
        <v>4008.7200000000003</v>
      </c>
      <c r="G24" s="252"/>
      <c r="H24" s="29"/>
      <c r="J24" s="1" t="s">
        <v>285</v>
      </c>
    </row>
    <row r="25" spans="1:10" x14ac:dyDescent="0.35">
      <c r="A25" s="9"/>
      <c r="B25" s="182"/>
      <c r="C25" s="24"/>
      <c r="D25" s="28"/>
      <c r="E25" s="28"/>
      <c r="F25" s="180"/>
      <c r="G25" s="252"/>
      <c r="H25" s="29"/>
    </row>
    <row r="26" spans="1:10" x14ac:dyDescent="0.35">
      <c r="A26" s="1" t="s">
        <v>383</v>
      </c>
      <c r="B26" s="29">
        <f>SUM(B6:B25)</f>
        <v>26337.620000000006</v>
      </c>
      <c r="C26" s="4"/>
      <c r="D26" s="28"/>
      <c r="E26" s="28"/>
      <c r="F26" s="29">
        <f>SUM(F6:F25)</f>
        <v>316051.43999999994</v>
      </c>
      <c r="H26" s="29"/>
    </row>
    <row r="27" spans="1:10" x14ac:dyDescent="0.35">
      <c r="A27" s="448" t="s">
        <v>384</v>
      </c>
      <c r="B27" s="449"/>
      <c r="C27" s="450"/>
      <c r="D27" s="451"/>
      <c r="E27" s="451"/>
      <c r="F27" s="449"/>
      <c r="H27" s="29"/>
    </row>
    <row r="28" spans="1:10" x14ac:dyDescent="0.35">
      <c r="A28" s="448"/>
      <c r="B28" s="448"/>
      <c r="C28" s="452" t="s">
        <v>380</v>
      </c>
      <c r="D28" s="448"/>
      <c r="E28" s="448"/>
      <c r="F28" s="452" t="s">
        <v>145</v>
      </c>
      <c r="H28" s="9"/>
    </row>
    <row r="29" spans="1:10" x14ac:dyDescent="0.35">
      <c r="A29" s="453" t="s">
        <v>171</v>
      </c>
      <c r="B29" s="452" t="s">
        <v>68</v>
      </c>
      <c r="C29" s="452" t="s">
        <v>69</v>
      </c>
      <c r="D29" s="452" t="s">
        <v>69</v>
      </c>
      <c r="E29" s="452" t="s">
        <v>70</v>
      </c>
      <c r="F29" s="452" t="s">
        <v>72</v>
      </c>
      <c r="H29" s="9"/>
    </row>
    <row r="30" spans="1:10" x14ac:dyDescent="0.35">
      <c r="A30" s="454" t="s">
        <v>230</v>
      </c>
      <c r="B30" s="454" t="s">
        <v>71</v>
      </c>
      <c r="C30" s="454" t="s">
        <v>74</v>
      </c>
      <c r="D30" s="454" t="s">
        <v>75</v>
      </c>
      <c r="E30" s="454" t="s">
        <v>75</v>
      </c>
      <c r="F30" s="455" t="s">
        <v>71</v>
      </c>
      <c r="G30" s="152"/>
      <c r="H30" s="27"/>
    </row>
    <row r="31" spans="1:10" x14ac:dyDescent="0.35">
      <c r="A31" s="448">
        <v>1</v>
      </c>
      <c r="B31" s="456">
        <v>83.8</v>
      </c>
      <c r="C31" s="456">
        <f>B31*12</f>
        <v>1005.5999999999999</v>
      </c>
      <c r="D31" s="451">
        <v>1</v>
      </c>
      <c r="E31" s="451">
        <f t="shared" ref="E31:E34" si="15">1-D31</f>
        <v>0</v>
      </c>
      <c r="F31" s="449">
        <f>B31*E31*12</f>
        <v>0</v>
      </c>
      <c r="G31" s="153"/>
      <c r="H31" s="29"/>
    </row>
    <row r="32" spans="1:10" x14ac:dyDescent="0.35">
      <c r="A32" s="448">
        <v>10</v>
      </c>
      <c r="B32" s="456">
        <v>303.2</v>
      </c>
      <c r="C32" s="456">
        <f t="shared" ref="C32:C34" si="16">B32*12</f>
        <v>3638.3999999999996</v>
      </c>
      <c r="D32" s="451">
        <v>1</v>
      </c>
      <c r="E32" s="451">
        <f t="shared" si="15"/>
        <v>0</v>
      </c>
      <c r="F32" s="449">
        <f t="shared" ref="F32:F34" si="17">B32*E32*12</f>
        <v>0</v>
      </c>
      <c r="G32" s="153"/>
      <c r="H32" s="29"/>
    </row>
    <row r="33" spans="1:10" x14ac:dyDescent="0.35">
      <c r="A33" s="448">
        <v>2</v>
      </c>
      <c r="B33" s="456">
        <v>120.32</v>
      </c>
      <c r="C33" s="456">
        <f t="shared" si="16"/>
        <v>1443.84</v>
      </c>
      <c r="D33" s="451">
        <v>1</v>
      </c>
      <c r="E33" s="451">
        <f t="shared" si="15"/>
        <v>0</v>
      </c>
      <c r="F33" s="449">
        <f t="shared" si="17"/>
        <v>0</v>
      </c>
      <c r="G33" s="153"/>
      <c r="H33" s="29"/>
    </row>
    <row r="34" spans="1:10" x14ac:dyDescent="0.35">
      <c r="A34" s="448">
        <v>1</v>
      </c>
      <c r="B34" s="456">
        <v>128.80000000000001</v>
      </c>
      <c r="C34" s="456">
        <f t="shared" si="16"/>
        <v>1545.6000000000001</v>
      </c>
      <c r="D34" s="451">
        <v>1</v>
      </c>
      <c r="E34" s="451">
        <f t="shared" si="15"/>
        <v>0</v>
      </c>
      <c r="F34" s="449">
        <f t="shared" si="17"/>
        <v>0</v>
      </c>
      <c r="G34" s="153"/>
      <c r="H34" s="29"/>
    </row>
    <row r="35" spans="1:10" x14ac:dyDescent="0.35">
      <c r="A35" s="448"/>
      <c r="B35" s="456"/>
      <c r="C35" s="456"/>
      <c r="D35" s="451"/>
      <c r="E35" s="451"/>
      <c r="F35" s="449"/>
      <c r="G35" s="153"/>
      <c r="H35" s="29"/>
    </row>
    <row r="36" spans="1:10" x14ac:dyDescent="0.35">
      <c r="A36" s="448"/>
      <c r="B36" s="456"/>
      <c r="C36" s="456"/>
      <c r="D36" s="451"/>
      <c r="E36" s="451"/>
      <c r="F36" s="449"/>
      <c r="G36" s="153"/>
      <c r="H36" s="29"/>
    </row>
    <row r="37" spans="1:10" x14ac:dyDescent="0.35">
      <c r="A37" s="448"/>
      <c r="B37" s="456"/>
      <c r="C37" s="456"/>
      <c r="D37" s="451"/>
      <c r="E37" s="451"/>
      <c r="F37" s="449"/>
      <c r="G37" s="153"/>
      <c r="H37" s="29"/>
    </row>
    <row r="38" spans="1:10" x14ac:dyDescent="0.35">
      <c r="A38" s="448"/>
      <c r="B38" s="456"/>
      <c r="C38" s="456"/>
      <c r="D38" s="451"/>
      <c r="E38" s="451"/>
      <c r="F38" s="449"/>
      <c r="G38" s="153"/>
      <c r="H38" s="29"/>
    </row>
    <row r="39" spans="1:10" x14ac:dyDescent="0.35">
      <c r="A39" s="448"/>
      <c r="B39" s="456"/>
      <c r="C39" s="456"/>
      <c r="D39" s="451"/>
      <c r="E39" s="451"/>
      <c r="F39" s="449"/>
      <c r="G39" s="153"/>
      <c r="H39" s="29"/>
    </row>
    <row r="40" spans="1:10" x14ac:dyDescent="0.35">
      <c r="A40" s="448"/>
      <c r="B40" s="456"/>
      <c r="C40" s="456"/>
      <c r="D40" s="451"/>
      <c r="E40" s="451"/>
      <c r="F40" s="449"/>
      <c r="G40" s="153"/>
      <c r="H40" s="29"/>
    </row>
    <row r="41" spans="1:10" x14ac:dyDescent="0.35">
      <c r="A41" s="448"/>
      <c r="B41" s="457"/>
      <c r="C41" s="457"/>
      <c r="D41" s="458"/>
      <c r="E41" s="458"/>
      <c r="F41" s="459"/>
      <c r="G41" s="153"/>
      <c r="H41" s="29"/>
    </row>
    <row r="42" spans="1:10" x14ac:dyDescent="0.35">
      <c r="A42" s="448" t="s">
        <v>50</v>
      </c>
      <c r="B42" s="449">
        <f>SUM(B31:B41)</f>
        <v>636.12</v>
      </c>
      <c r="C42" s="449">
        <f>SUM(C31:C41)</f>
        <v>7633.4400000000005</v>
      </c>
      <c r="D42" s="449"/>
      <c r="E42" s="448"/>
      <c r="F42" s="449">
        <f>F31+F40+F41</f>
        <v>0</v>
      </c>
      <c r="H42" s="29"/>
    </row>
    <row r="43" spans="1:10" x14ac:dyDescent="0.35">
      <c r="B43" s="29"/>
      <c r="F43" s="29"/>
      <c r="H43" s="29"/>
    </row>
    <row r="44" spans="1:10" x14ac:dyDescent="0.35">
      <c r="A44" s="460" t="s">
        <v>359</v>
      </c>
      <c r="B44" s="461"/>
      <c r="C44" s="460"/>
      <c r="D44" s="460"/>
      <c r="E44" s="460"/>
      <c r="F44" s="461"/>
      <c r="G44" s="462"/>
      <c r="H44" s="461"/>
      <c r="I44" s="460"/>
      <c r="J44" s="460"/>
    </row>
    <row r="45" spans="1:10" x14ac:dyDescent="0.35">
      <c r="A45" s="460" t="s">
        <v>362</v>
      </c>
      <c r="B45" s="461"/>
      <c r="C45" s="460"/>
      <c r="D45" s="460"/>
      <c r="E45" s="460"/>
      <c r="F45" s="461"/>
      <c r="G45" s="462"/>
      <c r="H45" s="461"/>
      <c r="I45" s="460"/>
      <c r="J45" s="460"/>
    </row>
    <row r="46" spans="1:10" x14ac:dyDescent="0.35">
      <c r="A46" s="460"/>
      <c r="B46" s="460"/>
      <c r="C46" s="463">
        <v>2025</v>
      </c>
      <c r="D46" s="463">
        <v>2024</v>
      </c>
      <c r="E46" s="460"/>
      <c r="F46" s="461"/>
      <c r="G46" s="462"/>
      <c r="H46" s="461"/>
      <c r="I46" s="460"/>
      <c r="J46" s="460"/>
    </row>
    <row r="47" spans="1:10" x14ac:dyDescent="0.35">
      <c r="A47" s="460" t="s">
        <v>360</v>
      </c>
      <c r="B47" s="460"/>
      <c r="C47" s="461">
        <v>6643.68</v>
      </c>
      <c r="D47" s="460">
        <v>6592.18</v>
      </c>
      <c r="E47" s="460"/>
      <c r="F47" s="461"/>
      <c r="G47" s="462"/>
      <c r="H47" s="461"/>
      <c r="I47" s="460"/>
      <c r="J47" s="460"/>
    </row>
    <row r="48" spans="1:10" x14ac:dyDescent="0.35">
      <c r="A48" s="460" t="s">
        <v>363</v>
      </c>
      <c r="B48" s="461"/>
      <c r="C48" s="460">
        <v>-309.12</v>
      </c>
      <c r="D48" s="460">
        <v>-309.12</v>
      </c>
      <c r="E48" s="460"/>
      <c r="F48" s="461"/>
      <c r="G48" s="462"/>
      <c r="H48" s="461"/>
      <c r="I48" s="460"/>
      <c r="J48" s="460"/>
    </row>
    <row r="49" spans="1:11" x14ac:dyDescent="0.35">
      <c r="A49" s="460" t="s">
        <v>361</v>
      </c>
      <c r="B49" s="461"/>
      <c r="C49" s="464">
        <v>2259.36</v>
      </c>
      <c r="D49" s="464">
        <v>2196.6</v>
      </c>
      <c r="E49" s="460"/>
      <c r="F49" s="461"/>
      <c r="G49" s="462"/>
      <c r="H49" s="461"/>
      <c r="I49" s="460"/>
      <c r="J49" s="460"/>
    </row>
    <row r="50" spans="1:11" x14ac:dyDescent="0.35">
      <c r="A50" s="460"/>
      <c r="B50" s="461"/>
      <c r="C50" s="461">
        <f>SUM(C47:C49)</f>
        <v>8593.92</v>
      </c>
      <c r="D50" s="461">
        <f>SUM(D47:D49)</f>
        <v>8479.66</v>
      </c>
      <c r="E50" s="460"/>
      <c r="F50" s="461"/>
      <c r="G50" s="462"/>
      <c r="H50" s="461"/>
      <c r="I50" s="460"/>
      <c r="J50" s="460"/>
    </row>
    <row r="51" spans="1:11" x14ac:dyDescent="0.35">
      <c r="F51" s="29"/>
      <c r="H51" s="29"/>
    </row>
    <row r="52" spans="1:11" x14ac:dyDescent="0.35">
      <c r="A52" s="86" t="s">
        <v>388</v>
      </c>
      <c r="F52" s="29">
        <f>F26+F42+C50</f>
        <v>324645.35999999993</v>
      </c>
      <c r="H52" s="29"/>
    </row>
    <row r="53" spans="1:11" x14ac:dyDescent="0.35">
      <c r="A53" s="86"/>
      <c r="F53" s="29"/>
      <c r="H53" s="29"/>
    </row>
    <row r="54" spans="1:11" x14ac:dyDescent="0.35">
      <c r="A54" s="1" t="s">
        <v>381</v>
      </c>
      <c r="C54" s="467">
        <f>F52</f>
        <v>324645.35999999993</v>
      </c>
      <c r="H54" s="29"/>
    </row>
    <row r="55" spans="1:11" x14ac:dyDescent="0.35">
      <c r="A55" s="1" t="s">
        <v>382</v>
      </c>
      <c r="C55" s="161">
        <f>N2</f>
        <v>326342.71999999997</v>
      </c>
      <c r="H55" s="29"/>
    </row>
    <row r="56" spans="1:11" x14ac:dyDescent="0.35">
      <c r="C56" s="260"/>
      <c r="D56" s="90"/>
      <c r="E56" s="90"/>
      <c r="G56" s="152"/>
      <c r="H56" s="27"/>
      <c r="J56" s="91"/>
      <c r="K56" s="91"/>
    </row>
    <row r="57" spans="1:11" x14ac:dyDescent="0.35">
      <c r="A57" s="1" t="s">
        <v>108</v>
      </c>
      <c r="C57" s="162">
        <f>C54-C55</f>
        <v>-1697.3600000000442</v>
      </c>
      <c r="D57" s="92" t="s">
        <v>209</v>
      </c>
      <c r="E57" s="87"/>
      <c r="F57" s="71"/>
      <c r="G57" s="159"/>
      <c r="H57" s="87"/>
    </row>
    <row r="58" spans="1:11" ht="17" x14ac:dyDescent="0.5">
      <c r="C58" s="89"/>
      <c r="D58" s="88"/>
      <c r="E58" s="88"/>
      <c r="F58" s="149"/>
      <c r="G58" s="160"/>
      <c r="H58" s="88"/>
    </row>
    <row r="59" spans="1:11" ht="15.5" x14ac:dyDescent="0.35">
      <c r="C59" s="89"/>
      <c r="D59" s="87"/>
      <c r="E59" s="87"/>
      <c r="F59" s="149"/>
      <c r="G59" s="159"/>
      <c r="H59" s="87"/>
    </row>
    <row r="60" spans="1:11" x14ac:dyDescent="0.35">
      <c r="B60" s="86"/>
    </row>
    <row r="61" spans="1:11" x14ac:dyDescent="0.35">
      <c r="B61" s="229"/>
      <c r="C61" s="9"/>
    </row>
    <row r="73" spans="2:3" x14ac:dyDescent="0.35">
      <c r="B73" s="198"/>
      <c r="C73" s="198"/>
    </row>
    <row r="75" spans="2:3" x14ac:dyDescent="0.35">
      <c r="B75" s="86"/>
    </row>
    <row r="76" spans="2:3" x14ac:dyDescent="0.35">
      <c r="B76" s="229"/>
      <c r="C76" s="9"/>
    </row>
    <row r="88" spans="2:5" x14ac:dyDescent="0.35">
      <c r="B88" s="198"/>
      <c r="C88" s="198"/>
    </row>
    <row r="91" spans="2:5" x14ac:dyDescent="0.35">
      <c r="B91" s="86"/>
    </row>
    <row r="92" spans="2:5" x14ac:dyDescent="0.35">
      <c r="B92" s="229"/>
      <c r="C92" s="9"/>
      <c r="E92" s="234"/>
    </row>
    <row r="102" spans="2:5" x14ac:dyDescent="0.35">
      <c r="E102" s="198"/>
    </row>
    <row r="104" spans="2:5" x14ac:dyDescent="0.35">
      <c r="C104" s="198"/>
    </row>
    <row r="107" spans="2:5" x14ac:dyDescent="0.35">
      <c r="B107" s="86"/>
    </row>
    <row r="108" spans="2:5" x14ac:dyDescent="0.35">
      <c r="B108" s="229"/>
      <c r="C108" s="9"/>
    </row>
    <row r="120" spans="2:3" x14ac:dyDescent="0.35">
      <c r="B120" s="198"/>
      <c r="C120" s="198"/>
    </row>
  </sheetData>
  <phoneticPr fontId="26" type="noConversion"/>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893153-D18D-47C6-A731-B4659C25EE06}">
  <sheetPr>
    <tabColor rgb="FF92D050"/>
  </sheetPr>
  <dimension ref="B1:W66"/>
  <sheetViews>
    <sheetView topLeftCell="C34" zoomScale="98" zoomScaleNormal="98" workbookViewId="0">
      <selection activeCell="L47" sqref="L47"/>
    </sheetView>
  </sheetViews>
  <sheetFormatPr defaultColWidth="8.84375" defaultRowHeight="14.5" x14ac:dyDescent="0.35"/>
  <cols>
    <col min="1" max="1" width="8.84375" style="1"/>
    <col min="2" max="2" width="3.3046875" style="1" customWidth="1"/>
    <col min="3" max="3" width="39.61328125" style="1" customWidth="1"/>
    <col min="4" max="6" width="8.84375" style="1"/>
    <col min="7" max="7" width="9.84375" style="1" bestFit="1" customWidth="1"/>
    <col min="8" max="8" width="10.84375" style="1" bestFit="1" customWidth="1"/>
    <col min="9" max="9" width="10.61328125" style="1" bestFit="1" customWidth="1"/>
    <col min="10" max="10" width="8.84375" style="1"/>
    <col min="11" max="11" width="11.3828125" style="1" bestFit="1" customWidth="1"/>
    <col min="12" max="12" width="12.765625" style="72" customWidth="1"/>
    <col min="13" max="14" width="8.84375" style="1"/>
    <col min="15" max="15" width="23.3046875" style="1" customWidth="1"/>
    <col min="16" max="16" width="11.3046875" style="1" bestFit="1" customWidth="1"/>
    <col min="17" max="17" width="8.84375" style="1"/>
    <col min="18" max="18" width="16.15234375" style="1" customWidth="1"/>
    <col min="19" max="19" width="31.921875" style="1" customWidth="1"/>
    <col min="20" max="16384" width="8.84375" style="1"/>
  </cols>
  <sheetData>
    <row r="1" spans="2:19" x14ac:dyDescent="0.35">
      <c r="C1" s="113" t="s">
        <v>80</v>
      </c>
    </row>
    <row r="2" spans="2:19" x14ac:dyDescent="0.35">
      <c r="D2" s="229">
        <v>2024</v>
      </c>
      <c r="E2" s="229">
        <v>2024</v>
      </c>
      <c r="F2" s="229">
        <v>2024</v>
      </c>
      <c r="G2" s="229">
        <v>2025</v>
      </c>
      <c r="K2" s="9" t="s">
        <v>11</v>
      </c>
      <c r="L2" s="9" t="s">
        <v>81</v>
      </c>
    </row>
    <row r="3" spans="2:19" x14ac:dyDescent="0.35">
      <c r="D3" s="9"/>
      <c r="E3" s="9"/>
      <c r="F3" s="9" t="s">
        <v>351</v>
      </c>
      <c r="G3" s="9" t="s">
        <v>82</v>
      </c>
      <c r="H3" s="9" t="s">
        <v>81</v>
      </c>
      <c r="I3" s="9" t="s">
        <v>81</v>
      </c>
      <c r="J3" s="9" t="s">
        <v>351</v>
      </c>
      <c r="K3" s="9" t="s">
        <v>81</v>
      </c>
      <c r="L3" s="9" t="s">
        <v>204</v>
      </c>
      <c r="O3" s="9" t="s">
        <v>201</v>
      </c>
      <c r="P3" s="9"/>
      <c r="S3" s="4"/>
    </row>
    <row r="4" spans="2:19" x14ac:dyDescent="0.35">
      <c r="C4" s="10" t="s">
        <v>83</v>
      </c>
      <c r="D4" s="10" t="s">
        <v>84</v>
      </c>
      <c r="E4" s="10" t="s">
        <v>85</v>
      </c>
      <c r="F4" s="10" t="s">
        <v>221</v>
      </c>
      <c r="G4" s="10" t="s">
        <v>86</v>
      </c>
      <c r="H4" s="10" t="s">
        <v>87</v>
      </c>
      <c r="I4" s="10" t="s">
        <v>88</v>
      </c>
      <c r="J4" s="10" t="s">
        <v>89</v>
      </c>
      <c r="K4" s="10" t="s">
        <v>89</v>
      </c>
      <c r="L4" s="10" t="s">
        <v>205</v>
      </c>
      <c r="O4" s="10" t="s">
        <v>202</v>
      </c>
      <c r="P4" s="10" t="s">
        <v>203</v>
      </c>
      <c r="S4" s="4"/>
    </row>
    <row r="5" spans="2:19" x14ac:dyDescent="0.35">
      <c r="B5" s="9">
        <v>1</v>
      </c>
      <c r="C5" s="1" t="s">
        <v>335</v>
      </c>
      <c r="D5" s="66">
        <v>2160</v>
      </c>
      <c r="E5" s="205"/>
      <c r="F5" s="205"/>
      <c r="G5" s="66" t="s">
        <v>336</v>
      </c>
      <c r="H5" s="7">
        <v>64670.32</v>
      </c>
      <c r="I5" s="7"/>
      <c r="J5" s="7"/>
      <c r="K5" s="7">
        <f>H5+I5+J5</f>
        <v>64670.32</v>
      </c>
      <c r="L5" s="254">
        <f>K5*0.1862</f>
        <v>12041.613584000001</v>
      </c>
      <c r="O5" s="9"/>
      <c r="P5" s="9"/>
      <c r="S5" s="4"/>
    </row>
    <row r="6" spans="2:19" x14ac:dyDescent="0.35">
      <c r="B6" s="9">
        <v>2</v>
      </c>
      <c r="C6" s="1" t="s">
        <v>338</v>
      </c>
      <c r="D6" s="66">
        <v>2080</v>
      </c>
      <c r="E6" s="205"/>
      <c r="F6" s="205">
        <v>120</v>
      </c>
      <c r="G6" s="66" t="s">
        <v>336</v>
      </c>
      <c r="H6" s="7">
        <v>76090.559999999998</v>
      </c>
      <c r="I6" s="7"/>
      <c r="J6" s="66">
        <f>(H6/D6)*F6</f>
        <v>4389.84</v>
      </c>
      <c r="K6" s="7">
        <f t="shared" ref="K6:K25" si="0">H6+I6+J6</f>
        <v>80480.399999999994</v>
      </c>
      <c r="L6" s="254">
        <f t="shared" ref="L6:L25" si="1">K6*0.1862</f>
        <v>14985.45048</v>
      </c>
      <c r="O6" s="9" t="s">
        <v>354</v>
      </c>
      <c r="P6" s="9">
        <v>0.1862</v>
      </c>
      <c r="R6" s="198"/>
      <c r="S6" s="2"/>
    </row>
    <row r="7" spans="2:19" x14ac:dyDescent="0.35">
      <c r="B7" s="9">
        <v>3</v>
      </c>
      <c r="C7" s="1" t="s">
        <v>337</v>
      </c>
      <c r="D7" s="66">
        <v>2272</v>
      </c>
      <c r="E7" s="205">
        <v>766.94</v>
      </c>
      <c r="F7" s="205"/>
      <c r="G7" s="66">
        <v>29.03</v>
      </c>
      <c r="H7" s="7">
        <f t="shared" ref="H7:H24" si="2">D7*G7</f>
        <v>65956.160000000003</v>
      </c>
      <c r="I7" s="7">
        <f t="shared" ref="I7:I24" si="3">E7*G7*1.5</f>
        <v>33396.402300000002</v>
      </c>
      <c r="J7" s="66">
        <f>F7*(G7)</f>
        <v>0</v>
      </c>
      <c r="K7" s="7">
        <f t="shared" si="0"/>
        <v>99352.562300000005</v>
      </c>
      <c r="L7" s="254">
        <f t="shared" si="1"/>
        <v>18499.44710026</v>
      </c>
      <c r="S7" s="4"/>
    </row>
    <row r="8" spans="2:19" x14ac:dyDescent="0.35">
      <c r="B8" s="9">
        <v>4</v>
      </c>
      <c r="C8" s="1" t="s">
        <v>339</v>
      </c>
      <c r="D8" s="66">
        <v>2080</v>
      </c>
      <c r="E8" s="205">
        <v>123.22</v>
      </c>
      <c r="F8" s="205">
        <f>2123.27-2080</f>
        <v>43.269999999999982</v>
      </c>
      <c r="G8" s="66">
        <v>21.74</v>
      </c>
      <c r="H8" s="7">
        <f t="shared" si="2"/>
        <v>45219.199999999997</v>
      </c>
      <c r="I8" s="7">
        <f t="shared" si="3"/>
        <v>4018.2042000000001</v>
      </c>
      <c r="J8" s="66">
        <f t="shared" ref="J8:J24" si="4">F8*(G8)</f>
        <v>940.68979999999954</v>
      </c>
      <c r="K8" s="7">
        <f t="shared" si="0"/>
        <v>50178.093999999997</v>
      </c>
      <c r="L8" s="254">
        <f t="shared" si="1"/>
        <v>9343.1611027999988</v>
      </c>
    </row>
    <row r="9" spans="2:19" x14ac:dyDescent="0.35">
      <c r="B9" s="9">
        <v>5</v>
      </c>
      <c r="C9" s="1" t="s">
        <v>340</v>
      </c>
      <c r="D9" s="66">
        <v>2080</v>
      </c>
      <c r="E9" s="224">
        <v>156.80000000000001</v>
      </c>
      <c r="F9" s="224">
        <f>2151.25-2080</f>
        <v>71.25</v>
      </c>
      <c r="G9" s="66">
        <v>23.79</v>
      </c>
      <c r="H9" s="7">
        <f t="shared" si="2"/>
        <v>49483.199999999997</v>
      </c>
      <c r="I9" s="7">
        <f t="shared" si="3"/>
        <v>5595.4079999999994</v>
      </c>
      <c r="J9" s="66">
        <f t="shared" si="4"/>
        <v>1695.0374999999999</v>
      </c>
      <c r="K9" s="7">
        <f t="shared" si="0"/>
        <v>56773.645499999991</v>
      </c>
      <c r="L9" s="254">
        <f t="shared" si="1"/>
        <v>10571.252792099998</v>
      </c>
    </row>
    <row r="10" spans="2:19" x14ac:dyDescent="0.35">
      <c r="B10" s="9">
        <v>6</v>
      </c>
      <c r="C10" s="1" t="s">
        <v>341</v>
      </c>
      <c r="D10" s="66">
        <v>2080</v>
      </c>
      <c r="E10" s="224"/>
      <c r="F10" s="224">
        <f>2120-2080</f>
        <v>40</v>
      </c>
      <c r="G10" s="66" t="s">
        <v>336</v>
      </c>
      <c r="H10" s="7">
        <v>107812.6</v>
      </c>
      <c r="I10" s="7"/>
      <c r="J10" s="66">
        <f>(H10/D10)*F10</f>
        <v>2073.3192307692307</v>
      </c>
      <c r="K10" s="7">
        <f t="shared" si="0"/>
        <v>109885.91923076924</v>
      </c>
      <c r="L10" s="254">
        <f t="shared" si="1"/>
        <v>20460.758160769234</v>
      </c>
    </row>
    <row r="11" spans="2:19" x14ac:dyDescent="0.35">
      <c r="B11" s="9">
        <v>7</v>
      </c>
      <c r="C11" s="1" t="s">
        <v>344</v>
      </c>
      <c r="D11" s="66">
        <v>2080</v>
      </c>
      <c r="E11" s="224">
        <v>13.83</v>
      </c>
      <c r="F11" s="224">
        <f>2082.93-2080</f>
        <v>2.9299999999998363</v>
      </c>
      <c r="G11" s="66">
        <v>23.01</v>
      </c>
      <c r="H11" s="7">
        <f t="shared" si="2"/>
        <v>47860.800000000003</v>
      </c>
      <c r="I11" s="7">
        <f t="shared" si="3"/>
        <v>477.3424500000001</v>
      </c>
      <c r="J11" s="66">
        <f t="shared" si="4"/>
        <v>67.419299999996241</v>
      </c>
      <c r="K11" s="7">
        <f t="shared" si="0"/>
        <v>48405.561749999993</v>
      </c>
      <c r="L11" s="254">
        <f t="shared" si="1"/>
        <v>9013.1155978499992</v>
      </c>
    </row>
    <row r="12" spans="2:19" x14ac:dyDescent="0.35">
      <c r="B12" s="9">
        <v>8</v>
      </c>
      <c r="C12" s="1" t="s">
        <v>343</v>
      </c>
      <c r="D12" s="66">
        <v>2034</v>
      </c>
      <c r="E12" s="224">
        <v>25.54</v>
      </c>
      <c r="F12" s="224"/>
      <c r="G12" s="66">
        <v>21</v>
      </c>
      <c r="H12" s="7">
        <f t="shared" si="2"/>
        <v>42714</v>
      </c>
      <c r="I12" s="7">
        <f t="shared" si="3"/>
        <v>804.51</v>
      </c>
      <c r="J12" s="66">
        <f t="shared" si="4"/>
        <v>0</v>
      </c>
      <c r="K12" s="7">
        <f t="shared" si="0"/>
        <v>43518.51</v>
      </c>
      <c r="L12" s="254">
        <f t="shared" si="1"/>
        <v>8103.1465620000008</v>
      </c>
    </row>
    <row r="13" spans="2:19" x14ac:dyDescent="0.35">
      <c r="B13" s="9">
        <v>9</v>
      </c>
      <c r="C13" s="1" t="s">
        <v>342</v>
      </c>
      <c r="D13" s="66">
        <v>2080</v>
      </c>
      <c r="E13" s="224">
        <v>12.07</v>
      </c>
      <c r="F13" s="224">
        <f>2122.77-2080</f>
        <v>42.769999999999982</v>
      </c>
      <c r="G13" s="66">
        <v>21.01</v>
      </c>
      <c r="H13" s="7">
        <f t="shared" si="2"/>
        <v>43700.800000000003</v>
      </c>
      <c r="I13" s="7">
        <f t="shared" si="3"/>
        <v>380.38605000000007</v>
      </c>
      <c r="J13" s="66">
        <f t="shared" si="4"/>
        <v>898.59769999999969</v>
      </c>
      <c r="K13" s="7">
        <f t="shared" si="0"/>
        <v>44979.783750000002</v>
      </c>
      <c r="L13" s="254">
        <f t="shared" si="1"/>
        <v>8375.23573425</v>
      </c>
    </row>
    <row r="14" spans="2:19" x14ac:dyDescent="0.35">
      <c r="B14" s="9">
        <v>10</v>
      </c>
      <c r="C14" s="1" t="s">
        <v>345</v>
      </c>
      <c r="D14" s="4">
        <v>2080</v>
      </c>
      <c r="E14" s="205">
        <v>85.16</v>
      </c>
      <c r="F14" s="205">
        <v>3.75</v>
      </c>
      <c r="G14" s="4">
        <v>17.73</v>
      </c>
      <c r="H14" s="7">
        <f t="shared" si="2"/>
        <v>36878.400000000001</v>
      </c>
      <c r="I14" s="7">
        <f t="shared" si="3"/>
        <v>2264.8301999999999</v>
      </c>
      <c r="J14" s="66">
        <f t="shared" si="4"/>
        <v>66.487499999999997</v>
      </c>
      <c r="K14" s="7">
        <f t="shared" si="0"/>
        <v>39209.717700000001</v>
      </c>
      <c r="L14" s="254">
        <f t="shared" si="1"/>
        <v>7300.8494357400004</v>
      </c>
    </row>
    <row r="15" spans="2:19" x14ac:dyDescent="0.35">
      <c r="B15" s="9">
        <v>11</v>
      </c>
      <c r="C15" s="1" t="s">
        <v>343</v>
      </c>
      <c r="D15" s="66">
        <v>2080</v>
      </c>
      <c r="E15" s="224">
        <v>419.41</v>
      </c>
      <c r="F15" s="224">
        <f>2192-2080</f>
        <v>112</v>
      </c>
      <c r="G15" s="66">
        <v>26.08</v>
      </c>
      <c r="H15" s="7">
        <f t="shared" si="2"/>
        <v>54246.399999999994</v>
      </c>
      <c r="I15" s="7">
        <f t="shared" si="3"/>
        <v>16407.319199999998</v>
      </c>
      <c r="J15" s="66">
        <f t="shared" si="4"/>
        <v>2920.96</v>
      </c>
      <c r="K15" s="7">
        <f t="shared" si="0"/>
        <v>73574.679199999999</v>
      </c>
      <c r="L15" s="254">
        <f t="shared" si="1"/>
        <v>13699.60526704</v>
      </c>
    </row>
    <row r="16" spans="2:19" x14ac:dyDescent="0.35">
      <c r="B16" s="9">
        <v>12</v>
      </c>
      <c r="C16" s="1" t="s">
        <v>339</v>
      </c>
      <c r="D16" s="4">
        <v>2080</v>
      </c>
      <c r="E16" s="1">
        <v>119.73</v>
      </c>
      <c r="F16" s="1">
        <f>2156.02-2080</f>
        <v>76.019999999999982</v>
      </c>
      <c r="G16" s="1">
        <v>26.45</v>
      </c>
      <c r="H16" s="7">
        <f t="shared" si="2"/>
        <v>55016</v>
      </c>
      <c r="I16" s="7">
        <f t="shared" si="3"/>
        <v>4750.2877499999995</v>
      </c>
      <c r="J16" s="66">
        <f t="shared" si="4"/>
        <v>2010.7289999999994</v>
      </c>
      <c r="K16" s="7">
        <f t="shared" si="0"/>
        <v>61777.016750000003</v>
      </c>
      <c r="L16" s="254">
        <f t="shared" si="1"/>
        <v>11502.880518850001</v>
      </c>
    </row>
    <row r="17" spans="2:16" x14ac:dyDescent="0.35">
      <c r="B17" s="9">
        <v>13</v>
      </c>
      <c r="C17" s="1" t="s">
        <v>343</v>
      </c>
      <c r="D17" s="4">
        <v>2080</v>
      </c>
      <c r="E17" s="1">
        <v>19.82</v>
      </c>
      <c r="F17" s="1">
        <f>2200.8-2080</f>
        <v>120.80000000000018</v>
      </c>
      <c r="G17" s="1">
        <v>24.85</v>
      </c>
      <c r="H17" s="7">
        <f t="shared" si="2"/>
        <v>51688</v>
      </c>
      <c r="I17" s="7">
        <f t="shared" si="3"/>
        <v>738.79050000000007</v>
      </c>
      <c r="J17" s="66">
        <f t="shared" si="4"/>
        <v>3001.8800000000047</v>
      </c>
      <c r="K17" s="7">
        <f t="shared" si="0"/>
        <v>55428.670500000007</v>
      </c>
      <c r="L17" s="254">
        <f t="shared" si="1"/>
        <v>10320.818447100002</v>
      </c>
    </row>
    <row r="18" spans="2:16" x14ac:dyDescent="0.35">
      <c r="B18" s="9">
        <v>14</v>
      </c>
      <c r="C18" s="1" t="s">
        <v>346</v>
      </c>
      <c r="D18" s="4">
        <v>1020.21</v>
      </c>
      <c r="G18" s="1">
        <v>20.7</v>
      </c>
      <c r="H18" s="7">
        <f t="shared" si="2"/>
        <v>21118.347000000002</v>
      </c>
      <c r="I18" s="7">
        <f t="shared" si="3"/>
        <v>0</v>
      </c>
      <c r="J18" s="66">
        <f t="shared" si="4"/>
        <v>0</v>
      </c>
      <c r="K18" s="7">
        <f t="shared" si="0"/>
        <v>21118.347000000002</v>
      </c>
      <c r="L18" s="254"/>
    </row>
    <row r="19" spans="2:16" x14ac:dyDescent="0.35">
      <c r="B19" s="9">
        <v>15</v>
      </c>
      <c r="C19" s="1" t="s">
        <v>347</v>
      </c>
      <c r="D19" s="4">
        <v>569.07000000000005</v>
      </c>
      <c r="G19" s="1">
        <v>15.53</v>
      </c>
      <c r="H19" s="7">
        <f t="shared" si="2"/>
        <v>8837.6571000000004</v>
      </c>
      <c r="I19" s="7">
        <f t="shared" si="3"/>
        <v>0</v>
      </c>
      <c r="J19" s="66">
        <f t="shared" si="4"/>
        <v>0</v>
      </c>
      <c r="K19" s="7">
        <f t="shared" si="0"/>
        <v>8837.6571000000004</v>
      </c>
      <c r="L19" s="254"/>
    </row>
    <row r="20" spans="2:16" x14ac:dyDescent="0.35">
      <c r="B20" s="9">
        <v>16</v>
      </c>
      <c r="C20" s="1" t="s">
        <v>348</v>
      </c>
      <c r="D20" s="4">
        <v>2080</v>
      </c>
      <c r="E20" s="1">
        <v>6.02</v>
      </c>
      <c r="F20" s="1">
        <f>2082.78-2080</f>
        <v>2.7800000000002001</v>
      </c>
      <c r="G20" s="1">
        <v>19.14</v>
      </c>
      <c r="H20" s="7">
        <f t="shared" si="2"/>
        <v>39811.200000000004</v>
      </c>
      <c r="I20" s="7">
        <f t="shared" si="3"/>
        <v>172.83419999999998</v>
      </c>
      <c r="J20" s="66">
        <f t="shared" si="4"/>
        <v>53.209200000003833</v>
      </c>
      <c r="K20" s="7">
        <f t="shared" si="0"/>
        <v>40037.243400000007</v>
      </c>
      <c r="L20" s="254">
        <f t="shared" si="1"/>
        <v>7454.9347210800015</v>
      </c>
    </row>
    <row r="21" spans="2:16" x14ac:dyDescent="0.35">
      <c r="B21" s="9">
        <v>17</v>
      </c>
      <c r="C21" s="1" t="s">
        <v>339</v>
      </c>
      <c r="D21" s="4">
        <v>2080</v>
      </c>
      <c r="E21" s="1">
        <v>143.69999999999999</v>
      </c>
      <c r="F21" s="1">
        <f>2124.78-2080</f>
        <v>44.7800000000002</v>
      </c>
      <c r="G21" s="1">
        <v>24.9</v>
      </c>
      <c r="H21" s="7">
        <f t="shared" si="2"/>
        <v>51792</v>
      </c>
      <c r="I21" s="7">
        <f t="shared" si="3"/>
        <v>5367.1949999999997</v>
      </c>
      <c r="J21" s="66">
        <f t="shared" si="4"/>
        <v>1115.0220000000049</v>
      </c>
      <c r="K21" s="7">
        <f t="shared" si="0"/>
        <v>58274.217000000004</v>
      </c>
      <c r="L21" s="254">
        <f t="shared" si="1"/>
        <v>10850.659205400001</v>
      </c>
    </row>
    <row r="22" spans="2:16" x14ac:dyDescent="0.35">
      <c r="B22" s="9">
        <v>18</v>
      </c>
      <c r="C22" s="1" t="s">
        <v>343</v>
      </c>
      <c r="D22" s="4">
        <v>2080</v>
      </c>
      <c r="E22" s="1">
        <v>64.09</v>
      </c>
      <c r="F22" s="1">
        <f>2113.79-2080</f>
        <v>33.789999999999964</v>
      </c>
      <c r="G22" s="1">
        <v>21</v>
      </c>
      <c r="H22" s="7">
        <f t="shared" si="2"/>
        <v>43680</v>
      </c>
      <c r="I22" s="7">
        <f t="shared" si="3"/>
        <v>2018.835</v>
      </c>
      <c r="J22" s="66">
        <f t="shared" si="4"/>
        <v>709.58999999999924</v>
      </c>
      <c r="K22" s="7">
        <f t="shared" si="0"/>
        <v>46408.424999999996</v>
      </c>
      <c r="L22" s="254">
        <f t="shared" si="1"/>
        <v>8641.2487349999992</v>
      </c>
    </row>
    <row r="23" spans="2:16" x14ac:dyDescent="0.35">
      <c r="B23" s="9">
        <v>19</v>
      </c>
      <c r="C23" s="1" t="s">
        <v>349</v>
      </c>
      <c r="D23" s="4">
        <v>2080</v>
      </c>
      <c r="E23" s="1">
        <v>52.11</v>
      </c>
      <c r="F23" s="1">
        <f>2136.85-2080</f>
        <v>56.849999999999909</v>
      </c>
      <c r="G23" s="1">
        <v>20.11</v>
      </c>
      <c r="H23" s="7">
        <f t="shared" si="2"/>
        <v>41828.799999999996</v>
      </c>
      <c r="I23" s="7">
        <f t="shared" si="3"/>
        <v>1571.89815</v>
      </c>
      <c r="J23" s="66">
        <f t="shared" si="4"/>
        <v>1143.2534999999982</v>
      </c>
      <c r="K23" s="7">
        <f t="shared" si="0"/>
        <v>44543.951649999995</v>
      </c>
      <c r="L23" s="254">
        <f t="shared" si="1"/>
        <v>8294.0837972299996</v>
      </c>
    </row>
    <row r="24" spans="2:16" x14ac:dyDescent="0.35">
      <c r="B24" s="9">
        <v>20</v>
      </c>
      <c r="C24" s="1" t="s">
        <v>339</v>
      </c>
      <c r="D24" s="4">
        <v>1967</v>
      </c>
      <c r="E24" s="1">
        <v>73.91</v>
      </c>
      <c r="G24" s="1">
        <v>21</v>
      </c>
      <c r="H24" s="7">
        <f t="shared" si="2"/>
        <v>41307</v>
      </c>
      <c r="I24" s="7">
        <f t="shared" si="3"/>
        <v>2328.165</v>
      </c>
      <c r="J24" s="66">
        <f t="shared" si="4"/>
        <v>0</v>
      </c>
      <c r="K24" s="7">
        <f t="shared" si="0"/>
        <v>43635.165000000001</v>
      </c>
      <c r="L24" s="254">
        <f t="shared" si="1"/>
        <v>8124.8677230000003</v>
      </c>
    </row>
    <row r="25" spans="2:16" x14ac:dyDescent="0.35">
      <c r="B25" s="9">
        <v>21</v>
      </c>
      <c r="C25" s="1" t="s">
        <v>350</v>
      </c>
      <c r="D25" s="4">
        <v>2080</v>
      </c>
      <c r="F25" s="1">
        <f>2098.75-2080</f>
        <v>18.75</v>
      </c>
      <c r="G25" s="1" t="s">
        <v>336</v>
      </c>
      <c r="H25" s="7">
        <v>92066</v>
      </c>
      <c r="I25" s="7"/>
      <c r="J25" s="66">
        <f>(H25/D25)*F25</f>
        <v>829.921875</v>
      </c>
      <c r="K25" s="7">
        <f t="shared" si="0"/>
        <v>92895.921875</v>
      </c>
      <c r="L25" s="254">
        <f t="shared" si="1"/>
        <v>17297.220653125001</v>
      </c>
    </row>
    <row r="26" spans="2:16" x14ac:dyDescent="0.35">
      <c r="B26" s="9">
        <v>22</v>
      </c>
      <c r="C26" s="9" t="s">
        <v>355</v>
      </c>
      <c r="D26" s="205">
        <v>2080</v>
      </c>
      <c r="G26" s="1">
        <v>16.5</v>
      </c>
      <c r="H26" s="7">
        <f t="shared" ref="H26" si="5">D26*G26</f>
        <v>34320</v>
      </c>
      <c r="I26" s="7">
        <f t="shared" ref="I26" si="6">E26*G26*1.5</f>
        <v>0</v>
      </c>
      <c r="J26" s="66">
        <f t="shared" ref="J26" si="7">F26*(G26)</f>
        <v>0</v>
      </c>
      <c r="K26" s="7">
        <f t="shared" ref="K26" si="8">H26+I26+J26</f>
        <v>34320</v>
      </c>
      <c r="L26" s="254">
        <f t="shared" ref="L26" si="9">K26*0.1862</f>
        <v>6390.384</v>
      </c>
    </row>
    <row r="27" spans="2:16" x14ac:dyDescent="0.35">
      <c r="B27" s="86"/>
      <c r="D27" s="198"/>
      <c r="E27" s="198"/>
      <c r="F27" s="198"/>
      <c r="G27" s="198"/>
      <c r="H27" s="198"/>
      <c r="I27" s="198"/>
      <c r="J27" s="198"/>
      <c r="K27" s="198"/>
      <c r="L27" s="468"/>
    </row>
    <row r="28" spans="2:16" x14ac:dyDescent="0.35">
      <c r="C28" s="1" t="s">
        <v>146</v>
      </c>
      <c r="D28" s="11">
        <f>SUM(D5:D27)</f>
        <v>43302.28</v>
      </c>
      <c r="E28" s="13">
        <f t="shared" ref="E28:J28" si="10">SUM(E5:E27)</f>
        <v>2082.35</v>
      </c>
      <c r="F28" s="13"/>
      <c r="G28" s="11"/>
      <c r="H28" s="11">
        <f t="shared" si="10"/>
        <v>1116097.4441</v>
      </c>
      <c r="I28" s="11">
        <f t="shared" si="10"/>
        <v>80292.407999999996</v>
      </c>
      <c r="J28" s="11">
        <f t="shared" si="10"/>
        <v>21915.956605769235</v>
      </c>
      <c r="K28" s="11">
        <f>SUM(K5:K27)</f>
        <v>1218305.8087057692</v>
      </c>
      <c r="L28" s="11">
        <f>SUM(L5:L27)</f>
        <v>221270.73361759423</v>
      </c>
      <c r="P28" s="1">
        <v>0.1971</v>
      </c>
    </row>
    <row r="29" spans="2:16" x14ac:dyDescent="0.35">
      <c r="D29" s="7"/>
      <c r="E29" s="7"/>
      <c r="F29" s="7"/>
      <c r="G29" s="7"/>
      <c r="H29" s="11"/>
      <c r="I29" s="11"/>
      <c r="J29" s="11"/>
      <c r="K29" s="11"/>
    </row>
    <row r="30" spans="2:16" x14ac:dyDescent="0.35">
      <c r="C30" s="1" t="s">
        <v>391</v>
      </c>
      <c r="D30" s="7"/>
      <c r="E30" s="7"/>
      <c r="F30" s="7"/>
      <c r="G30" s="7"/>
      <c r="H30" s="11"/>
      <c r="I30" s="11"/>
      <c r="J30" s="11"/>
      <c r="K30" s="155">
        <f>K28-K18-K19-J28</f>
        <v>1166433.848</v>
      </c>
      <c r="L30" s="255">
        <f>K30*0.1862</f>
        <v>217189.98249759999</v>
      </c>
      <c r="M30" s="214" t="s">
        <v>356</v>
      </c>
    </row>
    <row r="31" spans="2:16" x14ac:dyDescent="0.35">
      <c r="C31" s="7"/>
      <c r="D31" s="7"/>
      <c r="E31" s="7"/>
      <c r="F31" s="7"/>
      <c r="K31" s="54"/>
    </row>
    <row r="32" spans="2:16" x14ac:dyDescent="0.35">
      <c r="C32" s="55"/>
      <c r="D32" s="7"/>
      <c r="E32" s="7"/>
      <c r="F32" s="7"/>
      <c r="K32" s="54" t="s">
        <v>29</v>
      </c>
    </row>
    <row r="33" spans="3:23" x14ac:dyDescent="0.35">
      <c r="C33" s="7"/>
      <c r="D33" s="7"/>
      <c r="E33" s="7"/>
      <c r="F33" s="7"/>
      <c r="G33" s="1" t="s">
        <v>90</v>
      </c>
      <c r="K33" s="56">
        <f>K28</f>
        <v>1218305.8087057692</v>
      </c>
    </row>
    <row r="34" spans="3:23" ht="16" x14ac:dyDescent="0.5">
      <c r="C34" s="7"/>
      <c r="D34" s="7"/>
      <c r="E34" s="7"/>
      <c r="F34" s="7"/>
      <c r="G34" s="1" t="s">
        <v>91</v>
      </c>
      <c r="K34" s="415">
        <f>-SAO!D17</f>
        <v>-1117626</v>
      </c>
      <c r="L34" s="72" t="s">
        <v>232</v>
      </c>
    </row>
    <row r="35" spans="3:23" ht="15" thickBot="1" x14ac:dyDescent="0.4">
      <c r="C35" s="7"/>
      <c r="D35" s="7"/>
      <c r="E35" s="7"/>
      <c r="F35" s="7"/>
      <c r="G35" s="26" t="s">
        <v>92</v>
      </c>
      <c r="H35" s="26"/>
      <c r="I35" s="26"/>
      <c r="J35" s="26"/>
      <c r="K35" s="57">
        <f>K33+K34</f>
        <v>100679.80870576925</v>
      </c>
      <c r="L35" s="9" t="s">
        <v>199</v>
      </c>
    </row>
    <row r="36" spans="3:23" ht="15" thickTop="1" x14ac:dyDescent="0.35">
      <c r="C36" s="7"/>
      <c r="D36" s="7"/>
      <c r="E36" s="7"/>
      <c r="F36" s="7"/>
      <c r="K36" s="1" t="s">
        <v>93</v>
      </c>
      <c r="L36" s="9"/>
    </row>
    <row r="37" spans="3:23" x14ac:dyDescent="0.35">
      <c r="C37" s="7"/>
      <c r="D37" s="7"/>
      <c r="E37" s="7"/>
      <c r="F37" s="7"/>
      <c r="G37" s="1" t="s">
        <v>94</v>
      </c>
      <c r="K37" s="16">
        <f>K28</f>
        <v>1218305.8087057692</v>
      </c>
      <c r="L37" s="9"/>
    </row>
    <row r="38" spans="3:23" x14ac:dyDescent="0.35">
      <c r="C38" s="7"/>
      <c r="D38" s="7"/>
      <c r="E38" s="7"/>
      <c r="F38" s="7"/>
      <c r="G38" s="1" t="s">
        <v>206</v>
      </c>
      <c r="K38" s="416">
        <f>K62</f>
        <v>30000</v>
      </c>
      <c r="L38" s="9"/>
    </row>
    <row r="39" spans="3:23" x14ac:dyDescent="0.35">
      <c r="C39" s="7"/>
      <c r="D39" s="7"/>
      <c r="E39" s="7"/>
      <c r="F39" s="7"/>
      <c r="H39" s="1" t="s">
        <v>207</v>
      </c>
      <c r="K39" s="16">
        <f>SUM(K37:K38)</f>
        <v>1248305.8087057692</v>
      </c>
      <c r="L39" s="9"/>
    </row>
    <row r="40" spans="3:23" ht="15" thickBot="1" x14ac:dyDescent="0.4">
      <c r="C40" s="7"/>
      <c r="D40" s="7"/>
      <c r="E40" s="7"/>
      <c r="F40" s="7"/>
      <c r="G40" s="1" t="s">
        <v>95</v>
      </c>
      <c r="K40" s="225">
        <v>7.6499999999999999E-2</v>
      </c>
      <c r="L40" s="9"/>
    </row>
    <row r="41" spans="3:23" ht="15.5" x14ac:dyDescent="0.35">
      <c r="C41" s="7"/>
      <c r="D41" s="7"/>
      <c r="E41" s="7"/>
      <c r="F41" s="7"/>
      <c r="G41" s="1" t="s">
        <v>96</v>
      </c>
      <c r="K41" s="7">
        <f>+K39*K40</f>
        <v>95495.394365991349</v>
      </c>
      <c r="L41" s="9"/>
      <c r="N41" s="440"/>
      <c r="O41" s="441"/>
      <c r="P41" s="441"/>
      <c r="Q41" s="188"/>
      <c r="R41" s="188"/>
      <c r="S41" s="188"/>
      <c r="T41" s="188"/>
      <c r="U41" s="188"/>
      <c r="V41" s="188"/>
      <c r="W41" s="192"/>
    </row>
    <row r="42" spans="3:23" x14ac:dyDescent="0.35">
      <c r="C42" s="7"/>
      <c r="D42" s="7"/>
      <c r="E42" s="7"/>
      <c r="F42" s="7"/>
      <c r="G42" s="1" t="s">
        <v>97</v>
      </c>
      <c r="K42" s="417">
        <f>-SAO!D47</f>
        <v>-89326</v>
      </c>
      <c r="L42" s="9"/>
      <c r="N42" s="433"/>
      <c r="O42" s="435"/>
      <c r="P42" s="436"/>
      <c r="W42" s="189"/>
    </row>
    <row r="43" spans="3:23" ht="15" thickBot="1" x14ac:dyDescent="0.4">
      <c r="C43" s="7"/>
      <c r="D43" s="7"/>
      <c r="E43" s="7"/>
      <c r="F43" s="7"/>
      <c r="G43" s="26" t="s">
        <v>98</v>
      </c>
      <c r="H43" s="26"/>
      <c r="I43" s="26"/>
      <c r="J43" s="26"/>
      <c r="K43" s="57">
        <f>K41+K42</f>
        <v>6169.3943659913493</v>
      </c>
      <c r="L43" s="9" t="s">
        <v>213</v>
      </c>
      <c r="N43" s="433"/>
      <c r="O43" s="435"/>
      <c r="P43" s="436"/>
      <c r="W43" s="189"/>
    </row>
    <row r="44" spans="3:23" ht="15" thickTop="1" x14ac:dyDescent="0.35">
      <c r="C44" s="7"/>
      <c r="D44" s="7"/>
      <c r="E44" s="7"/>
      <c r="F44" s="7"/>
      <c r="L44" s="9"/>
      <c r="N44" s="442"/>
      <c r="O44" s="443"/>
      <c r="P44" s="447"/>
      <c r="W44" s="189"/>
    </row>
    <row r="45" spans="3:23" x14ac:dyDescent="0.35">
      <c r="C45" s="7"/>
      <c r="D45" s="7"/>
      <c r="E45" s="7"/>
      <c r="F45" s="7"/>
      <c r="G45" s="1" t="s">
        <v>99</v>
      </c>
      <c r="K45" s="7">
        <f>L30</f>
        <v>217189.98249759999</v>
      </c>
      <c r="L45" s="9"/>
      <c r="N45" s="444"/>
      <c r="W45" s="189"/>
    </row>
    <row r="46" spans="3:23" ht="15.5" x14ac:dyDescent="0.35">
      <c r="C46" s="7"/>
      <c r="D46" s="7"/>
      <c r="E46" s="7"/>
      <c r="F46" s="7"/>
      <c r="G46" s="1" t="s">
        <v>100</v>
      </c>
      <c r="K46" s="470">
        <f>P48+P65</f>
        <v>228130.09</v>
      </c>
      <c r="L46" s="9"/>
      <c r="N46" s="432" t="s">
        <v>333</v>
      </c>
      <c r="O46"/>
      <c r="P46"/>
      <c r="W46" s="189"/>
    </row>
    <row r="47" spans="3:23" ht="15" thickBot="1" x14ac:dyDescent="0.4">
      <c r="C47" s="7"/>
      <c r="D47" s="7"/>
      <c r="E47" s="7"/>
      <c r="F47" s="7"/>
      <c r="G47" s="86" t="s">
        <v>101</v>
      </c>
      <c r="H47" s="86"/>
      <c r="I47" s="86"/>
      <c r="J47" s="86"/>
      <c r="K47" s="158">
        <f>+K45-K46</f>
        <v>-10940.107502400002</v>
      </c>
      <c r="L47" s="9" t="s">
        <v>210</v>
      </c>
      <c r="N47" s="433"/>
      <c r="O47" s="1" t="s">
        <v>305</v>
      </c>
      <c r="P47" s="205">
        <v>326342.71999999997</v>
      </c>
      <c r="Q47" s="434"/>
      <c r="W47" s="189"/>
    </row>
    <row r="48" spans="3:23" ht="17" thickTop="1" x14ac:dyDescent="0.45">
      <c r="C48" s="7"/>
      <c r="D48" s="7"/>
      <c r="E48" s="7"/>
      <c r="F48" s="7"/>
      <c r="G48" s="86"/>
      <c r="H48" s="86"/>
      <c r="I48" s="86"/>
      <c r="J48" s="86"/>
      <c r="K48" s="146"/>
      <c r="L48" s="9"/>
      <c r="N48" s="433"/>
      <c r="O48" s="1" t="s">
        <v>308</v>
      </c>
      <c r="P48" s="205">
        <v>49169.09</v>
      </c>
      <c r="R48" s="445"/>
      <c r="S48" s="446"/>
      <c r="W48" s="189"/>
    </row>
    <row r="49" spans="3:23" ht="15.5" x14ac:dyDescent="0.35">
      <c r="C49" s="7"/>
      <c r="D49" s="7"/>
      <c r="E49" s="7"/>
      <c r="F49" s="7"/>
      <c r="H49" s="86"/>
      <c r="I49" s="86"/>
      <c r="J49" s="86"/>
      <c r="K49" s="256"/>
      <c r="L49" s="9"/>
      <c r="N49" s="433"/>
      <c r="O49" s="1" t="s">
        <v>306</v>
      </c>
      <c r="P49" s="205">
        <v>2895.73</v>
      </c>
      <c r="R49"/>
      <c r="S49" s="446"/>
      <c r="W49" s="189"/>
    </row>
    <row r="50" spans="3:23" ht="15.5" x14ac:dyDescent="0.35">
      <c r="C50" s="7"/>
      <c r="D50" s="7"/>
      <c r="E50" s="7"/>
      <c r="F50" s="7"/>
      <c r="H50" s="86"/>
      <c r="I50" s="86"/>
      <c r="J50" s="86"/>
      <c r="K50" s="256"/>
      <c r="L50" s="9"/>
      <c r="N50" s="433"/>
      <c r="O50" s="198" t="s">
        <v>307</v>
      </c>
      <c r="P50" s="426">
        <v>25075.8</v>
      </c>
      <c r="R50"/>
      <c r="S50" s="446"/>
      <c r="W50" s="189"/>
    </row>
    <row r="51" spans="3:23" x14ac:dyDescent="0.35">
      <c r="C51" s="7"/>
      <c r="D51" s="7"/>
      <c r="E51" s="7"/>
      <c r="F51" s="7"/>
      <c r="H51" s="86"/>
      <c r="I51" s="86"/>
      <c r="J51" s="86"/>
      <c r="K51" s="256"/>
      <c r="L51" s="9"/>
      <c r="N51" s="433"/>
      <c r="O51" s="435"/>
      <c r="P51" s="436"/>
      <c r="S51" s="214"/>
      <c r="W51" s="189"/>
    </row>
    <row r="52" spans="3:23" ht="15" thickBot="1" x14ac:dyDescent="0.4">
      <c r="G52" s="86"/>
      <c r="K52" s="236"/>
      <c r="N52" s="437"/>
      <c r="O52" s="438" t="s">
        <v>357</v>
      </c>
      <c r="P52" s="439">
        <f>SUM(P47:P51)</f>
        <v>403483.33999999991</v>
      </c>
      <c r="Q52" s="191"/>
      <c r="R52" s="191"/>
      <c r="S52" s="191"/>
      <c r="T52" s="191"/>
      <c r="U52" s="191"/>
      <c r="V52" s="191"/>
      <c r="W52" s="193"/>
    </row>
    <row r="53" spans="3:23" x14ac:dyDescent="0.35">
      <c r="G53" s="86"/>
      <c r="K53" s="236"/>
    </row>
    <row r="54" spans="3:23" x14ac:dyDescent="0.35">
      <c r="G54" s="183" t="s">
        <v>327</v>
      </c>
      <c r="K54" s="9" t="s">
        <v>11</v>
      </c>
    </row>
    <row r="55" spans="3:23" x14ac:dyDescent="0.35">
      <c r="G55" s="9" t="s">
        <v>82</v>
      </c>
      <c r="K55" s="9" t="s">
        <v>81</v>
      </c>
      <c r="O55" s="1" t="s">
        <v>379</v>
      </c>
    </row>
    <row r="56" spans="3:23" x14ac:dyDescent="0.35">
      <c r="C56" s="183" t="s">
        <v>195</v>
      </c>
      <c r="G56" s="10" t="s">
        <v>86</v>
      </c>
      <c r="K56" s="10" t="s">
        <v>89</v>
      </c>
      <c r="O56" s="1" t="s">
        <v>364</v>
      </c>
      <c r="P56" s="431">
        <f>SAO!D47</f>
        <v>89326</v>
      </c>
    </row>
    <row r="57" spans="3:23" ht="16" x14ac:dyDescent="0.5">
      <c r="C57" s="1" t="s">
        <v>231</v>
      </c>
      <c r="D57" s="321">
        <v>12</v>
      </c>
      <c r="E57" s="224" t="s">
        <v>194</v>
      </c>
      <c r="F57" s="224"/>
      <c r="G57" s="205">
        <v>500</v>
      </c>
      <c r="H57" s="235">
        <f>D57*G57</f>
        <v>6000</v>
      </c>
      <c r="I57" s="11"/>
      <c r="J57" s="68"/>
      <c r="K57" s="7">
        <f>H57+I57</f>
        <v>6000</v>
      </c>
      <c r="Q57" s="431"/>
    </row>
    <row r="58" spans="3:23" ht="16" x14ac:dyDescent="0.5">
      <c r="C58" s="1" t="s">
        <v>231</v>
      </c>
      <c r="D58" s="321">
        <v>12</v>
      </c>
      <c r="E58" s="224" t="s">
        <v>194</v>
      </c>
      <c r="F58" s="224"/>
      <c r="G58" s="205">
        <v>500</v>
      </c>
      <c r="H58" s="235">
        <f>D58*G58</f>
        <v>6000</v>
      </c>
      <c r="I58" s="11"/>
      <c r="J58" s="68"/>
      <c r="K58" s="7">
        <f>H58+I58</f>
        <v>6000</v>
      </c>
      <c r="Q58" s="431"/>
    </row>
    <row r="59" spans="3:23" ht="16" x14ac:dyDescent="0.5">
      <c r="C59" s="1" t="s">
        <v>231</v>
      </c>
      <c r="D59" s="321">
        <v>12</v>
      </c>
      <c r="E59" s="224" t="s">
        <v>194</v>
      </c>
      <c r="F59" s="224"/>
      <c r="G59" s="205">
        <v>500</v>
      </c>
      <c r="H59" s="235">
        <f>D59*G59</f>
        <v>6000</v>
      </c>
      <c r="I59" s="11"/>
      <c r="J59" s="68"/>
      <c r="K59" s="7">
        <f>H59+I59</f>
        <v>6000</v>
      </c>
    </row>
    <row r="60" spans="3:23" x14ac:dyDescent="0.35">
      <c r="C60" s="1" t="s">
        <v>231</v>
      </c>
      <c r="D60" s="316">
        <v>12</v>
      </c>
      <c r="E60" s="224" t="s">
        <v>194</v>
      </c>
      <c r="F60" s="224"/>
      <c r="G60" s="66">
        <v>500</v>
      </c>
      <c r="H60" s="235">
        <f>D60*G60</f>
        <v>6000</v>
      </c>
      <c r="I60" s="11"/>
      <c r="J60" s="11"/>
      <c r="K60" s="7">
        <f>H60+I60</f>
        <v>6000</v>
      </c>
      <c r="O60" s="1" t="s">
        <v>333</v>
      </c>
    </row>
    <row r="61" spans="3:23" x14ac:dyDescent="0.35">
      <c r="C61" s="1" t="s">
        <v>328</v>
      </c>
      <c r="D61" s="316">
        <v>12</v>
      </c>
      <c r="E61" s="224" t="s">
        <v>194</v>
      </c>
      <c r="F61" s="224"/>
      <c r="G61" s="66">
        <v>500</v>
      </c>
      <c r="H61" s="235">
        <f>D61*G61</f>
        <v>6000</v>
      </c>
      <c r="I61" s="11"/>
      <c r="J61" s="11"/>
      <c r="K61" s="237">
        <f>H61+I61</f>
        <v>6000</v>
      </c>
      <c r="Q61" s="431"/>
    </row>
    <row r="62" spans="3:23" x14ac:dyDescent="0.35">
      <c r="K62" s="4">
        <f>SUM(K57:K61)</f>
        <v>30000</v>
      </c>
      <c r="O62" s="1" t="s">
        <v>365</v>
      </c>
    </row>
    <row r="63" spans="3:23" x14ac:dyDescent="0.35">
      <c r="K63" s="2">
        <f>SAO!D20</f>
        <v>30000</v>
      </c>
      <c r="L63" s="1" t="s">
        <v>329</v>
      </c>
      <c r="O63" s="1" t="s">
        <v>366</v>
      </c>
      <c r="P63" s="431">
        <v>42570</v>
      </c>
    </row>
    <row r="64" spans="3:23" x14ac:dyDescent="0.35">
      <c r="K64" s="4">
        <f>K62-K63</f>
        <v>0</v>
      </c>
      <c r="L64" s="1" t="s">
        <v>63</v>
      </c>
      <c r="O64" s="1" t="s">
        <v>367</v>
      </c>
      <c r="P64" s="431">
        <v>136391</v>
      </c>
    </row>
    <row r="65" spans="11:17" x14ac:dyDescent="0.35">
      <c r="K65" s="4"/>
      <c r="P65" s="431">
        <f>SUM(P63:P64)</f>
        <v>178961</v>
      </c>
    </row>
    <row r="66" spans="11:17" x14ac:dyDescent="0.35">
      <c r="Q66" s="431"/>
    </row>
  </sheetData>
  <pageMargins left="0.7" right="0.7" top="0.75" bottom="0.75" header="0.3" footer="0.3"/>
  <pageSetup orientation="portrait" horizontalDpi="4294967293" r:id="rId1"/>
  <ignoredErrors>
    <ignoredError sqref="J10" 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522560-BCBA-4E1A-B857-28CEC711D8C3}">
  <sheetPr>
    <tabColor rgb="FF92D050"/>
  </sheetPr>
  <dimension ref="A1:I6"/>
  <sheetViews>
    <sheetView workbookViewId="0">
      <selection activeCell="D5" sqref="D5"/>
    </sheetView>
  </sheetViews>
  <sheetFormatPr defaultRowHeight="15.5" x14ac:dyDescent="0.35"/>
  <cols>
    <col min="8" max="8" width="11.23046875" bestFit="1" customWidth="1"/>
    <col min="9" max="9" width="13.3046875" bestFit="1" customWidth="1"/>
  </cols>
  <sheetData>
    <row r="1" spans="1:9" x14ac:dyDescent="0.35">
      <c r="A1" s="1" t="s">
        <v>286</v>
      </c>
      <c r="B1" s="1"/>
      <c r="C1" s="1"/>
      <c r="D1" s="1"/>
      <c r="G1" t="s">
        <v>291</v>
      </c>
      <c r="H1" t="s">
        <v>292</v>
      </c>
      <c r="I1" t="s">
        <v>293</v>
      </c>
    </row>
    <row r="2" spans="1:9" x14ac:dyDescent="0.35">
      <c r="A2" s="1"/>
      <c r="B2" s="1"/>
      <c r="C2" s="1"/>
      <c r="D2" s="1"/>
      <c r="G2" t="s">
        <v>290</v>
      </c>
      <c r="H2">
        <v>44</v>
      </c>
      <c r="I2" s="355">
        <f>H2*1007</f>
        <v>44308</v>
      </c>
    </row>
    <row r="3" spans="1:9" x14ac:dyDescent="0.35">
      <c r="A3" s="1" t="s">
        <v>287</v>
      </c>
      <c r="B3" s="1"/>
      <c r="C3" s="353"/>
      <c r="D3" s="1"/>
      <c r="G3">
        <v>2</v>
      </c>
      <c r="H3">
        <v>2</v>
      </c>
      <c r="I3" s="356">
        <f>6373.42+5966</f>
        <v>12339.42</v>
      </c>
    </row>
    <row r="4" spans="1:9" x14ac:dyDescent="0.35">
      <c r="A4" s="1"/>
      <c r="B4" s="1"/>
      <c r="C4" s="1"/>
      <c r="D4" s="1"/>
      <c r="I4" s="77">
        <f>SUM(I2:I3)</f>
        <v>56647.42</v>
      </c>
    </row>
    <row r="5" spans="1:9" x14ac:dyDescent="0.35">
      <c r="A5" s="1" t="s">
        <v>288</v>
      </c>
      <c r="B5" s="354">
        <v>0.3</v>
      </c>
      <c r="C5" s="353">
        <f>B5*I4</f>
        <v>16994.225999999999</v>
      </c>
      <c r="D5" s="9" t="s">
        <v>200</v>
      </c>
    </row>
    <row r="6" spans="1:9" x14ac:dyDescent="0.35">
      <c r="A6" s="1" t="s">
        <v>289</v>
      </c>
      <c r="B6" s="354">
        <v>0.7</v>
      </c>
      <c r="C6" s="353">
        <f>B6*I4</f>
        <v>39653.193999999996</v>
      </c>
      <c r="D6" s="1"/>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558E55-8DC2-4CD5-8872-149491EA390B}">
  <sheetPr>
    <tabColor rgb="FF92D050"/>
    <pageSetUpPr fitToPage="1"/>
  </sheetPr>
  <dimension ref="B1:X46"/>
  <sheetViews>
    <sheetView showGridLines="0" workbookViewId="0">
      <selection activeCell="B2" sqref="B2:M26"/>
    </sheetView>
  </sheetViews>
  <sheetFormatPr defaultRowHeight="15.5" x14ac:dyDescent="0.35"/>
  <cols>
    <col min="1" max="1" width="1.765625" customWidth="1"/>
    <col min="2" max="2" width="17.765625" customWidth="1"/>
    <col min="3" max="3" width="8.69140625" customWidth="1"/>
    <col min="4" max="4" width="8.53515625" customWidth="1"/>
    <col min="5" max="5" width="11.15234375" bestFit="1" customWidth="1"/>
    <col min="6" max="12" width="7.765625" customWidth="1"/>
    <col min="13" max="13" width="10.61328125" customWidth="1"/>
    <col min="14" max="14" width="2.3046875" customWidth="1"/>
    <col min="15" max="15" width="11.4609375" style="201" customWidth="1"/>
    <col min="16" max="16" width="11.4609375" bestFit="1" customWidth="1"/>
    <col min="17" max="17" width="10.07421875" bestFit="1" customWidth="1"/>
    <col min="18" max="18" width="10.69140625" bestFit="1" customWidth="1"/>
    <col min="19" max="19" width="12.69140625" bestFit="1" customWidth="1"/>
    <col min="20" max="20" width="10.61328125" bestFit="1" customWidth="1"/>
  </cols>
  <sheetData>
    <row r="1" spans="2:24" x14ac:dyDescent="0.35">
      <c r="B1" s="7"/>
      <c r="C1" s="7"/>
      <c r="D1" s="7"/>
      <c r="E1" s="7"/>
      <c r="F1" s="7"/>
      <c r="G1" s="7"/>
      <c r="H1" s="7"/>
      <c r="I1" s="7"/>
      <c r="J1" s="7"/>
      <c r="K1" s="7"/>
      <c r="L1" s="7"/>
      <c r="M1" s="7"/>
      <c r="N1" s="7"/>
      <c r="O1" s="248"/>
      <c r="P1" s="7"/>
    </row>
    <row r="2" spans="2:24" ht="13.5" customHeight="1" x14ac:dyDescent="0.35">
      <c r="B2" s="120"/>
      <c r="C2" s="121"/>
      <c r="D2" s="121"/>
      <c r="E2" s="121"/>
      <c r="F2" s="121"/>
      <c r="G2" s="121"/>
      <c r="H2" s="121"/>
      <c r="I2" s="121"/>
      <c r="J2" s="121"/>
      <c r="K2" s="121"/>
      <c r="L2" s="121"/>
      <c r="M2" s="122"/>
      <c r="N2" s="11"/>
      <c r="O2" s="248"/>
      <c r="P2" s="7"/>
    </row>
    <row r="3" spans="2:24" ht="15" customHeight="1" x14ac:dyDescent="0.45">
      <c r="B3" s="123" t="s">
        <v>135</v>
      </c>
      <c r="C3" s="268"/>
      <c r="D3" s="268"/>
      <c r="E3" s="268"/>
      <c r="F3" s="268"/>
      <c r="G3" s="268"/>
      <c r="H3" s="268"/>
      <c r="I3" s="268"/>
      <c r="J3" s="268"/>
      <c r="K3" s="268"/>
      <c r="L3" s="268"/>
      <c r="M3" s="272"/>
      <c r="N3" s="11"/>
      <c r="O3" s="248"/>
      <c r="P3" s="7"/>
    </row>
    <row r="4" spans="2:24" ht="18.5" x14ac:dyDescent="0.45">
      <c r="B4" s="124" t="s">
        <v>136</v>
      </c>
      <c r="C4" s="269"/>
      <c r="D4" s="269"/>
      <c r="E4" s="269"/>
      <c r="F4" s="269"/>
      <c r="G4" s="269"/>
      <c r="H4" s="269"/>
      <c r="I4" s="269"/>
      <c r="J4" s="269"/>
      <c r="K4" s="269"/>
      <c r="L4" s="269"/>
      <c r="M4" s="273"/>
      <c r="N4" s="11"/>
      <c r="O4" s="248"/>
      <c r="P4" s="7"/>
    </row>
    <row r="5" spans="2:24" x14ac:dyDescent="0.35">
      <c r="B5" s="125" t="str">
        <f>SAO!A2</f>
        <v>Laurel County Water District #2</v>
      </c>
      <c r="C5" s="268"/>
      <c r="D5" s="268"/>
      <c r="E5" s="268"/>
      <c r="F5" s="268"/>
      <c r="G5" s="268"/>
      <c r="H5" s="268"/>
      <c r="I5" s="268"/>
      <c r="J5" s="268"/>
      <c r="K5" s="268"/>
      <c r="L5" s="268"/>
      <c r="M5" s="272"/>
      <c r="N5" s="11"/>
      <c r="O5" s="248"/>
      <c r="P5" s="7"/>
    </row>
    <row r="6" spans="2:24" x14ac:dyDescent="0.35">
      <c r="B6" s="126" t="s">
        <v>280</v>
      </c>
      <c r="C6" s="270"/>
      <c r="D6" s="270"/>
      <c r="E6" s="270"/>
      <c r="F6" s="270"/>
      <c r="G6" s="270"/>
      <c r="H6" s="270"/>
      <c r="I6" s="270"/>
      <c r="J6" s="270"/>
      <c r="K6" s="270"/>
      <c r="L6" s="270"/>
      <c r="M6" s="274"/>
      <c r="N6" s="11"/>
      <c r="O6" s="248"/>
      <c r="P6" s="7"/>
    </row>
    <row r="7" spans="2:24" x14ac:dyDescent="0.35">
      <c r="B7" s="127"/>
      <c r="C7" s="270"/>
      <c r="D7" s="270"/>
      <c r="E7" s="270"/>
      <c r="F7" s="270"/>
      <c r="G7" s="270"/>
      <c r="H7" s="270"/>
      <c r="I7" s="270"/>
      <c r="J7" s="270"/>
      <c r="K7" s="270"/>
      <c r="L7" s="270"/>
      <c r="M7" s="274"/>
      <c r="N7" s="11"/>
      <c r="O7" s="248"/>
      <c r="P7" s="7"/>
    </row>
    <row r="8" spans="2:24" x14ac:dyDescent="0.35">
      <c r="B8" s="128"/>
      <c r="C8" s="129"/>
      <c r="D8" s="130"/>
      <c r="E8" s="129"/>
      <c r="F8" s="131"/>
      <c r="G8" s="129"/>
      <c r="H8" s="131"/>
      <c r="I8" s="129"/>
      <c r="J8" s="131"/>
      <c r="K8" s="129"/>
      <c r="L8" s="131"/>
      <c r="M8" s="131"/>
      <c r="N8" s="11"/>
      <c r="O8" s="248"/>
      <c r="P8" s="7"/>
      <c r="Q8" s="241"/>
      <c r="R8" s="241"/>
    </row>
    <row r="9" spans="2:24" ht="16" x14ac:dyDescent="0.35">
      <c r="B9" s="132"/>
      <c r="C9" s="503" t="s">
        <v>137</v>
      </c>
      <c r="D9" s="504"/>
      <c r="E9" s="505" t="s">
        <v>196</v>
      </c>
      <c r="F9" s="506"/>
      <c r="G9" s="505" t="s">
        <v>220</v>
      </c>
      <c r="H9" s="506"/>
      <c r="I9" s="505" t="s">
        <v>271</v>
      </c>
      <c r="J9" s="506"/>
      <c r="K9" s="505" t="s">
        <v>272</v>
      </c>
      <c r="L9" s="506"/>
      <c r="M9" s="53"/>
      <c r="N9" s="11"/>
      <c r="O9" s="248"/>
      <c r="P9" s="7"/>
      <c r="Q9" s="502"/>
      <c r="R9" s="502"/>
      <c r="U9" s="247"/>
    </row>
    <row r="10" spans="2:24" ht="16" x14ac:dyDescent="0.35">
      <c r="B10" s="132"/>
      <c r="C10" s="137"/>
      <c r="D10" s="134" t="s">
        <v>138</v>
      </c>
      <c r="E10" s="250"/>
      <c r="F10" s="134" t="s">
        <v>138</v>
      </c>
      <c r="G10" s="250"/>
      <c r="H10" s="134" t="s">
        <v>138</v>
      </c>
      <c r="I10" s="250"/>
      <c r="J10" s="134" t="s">
        <v>138</v>
      </c>
      <c r="K10" s="250"/>
      <c r="L10" s="134" t="s">
        <v>138</v>
      </c>
      <c r="M10" s="53"/>
      <c r="N10" s="11"/>
      <c r="O10" s="359" t="s">
        <v>298</v>
      </c>
      <c r="P10" s="7"/>
      <c r="Q10" s="135"/>
      <c r="R10" s="250"/>
      <c r="S10" s="134" t="s">
        <v>138</v>
      </c>
    </row>
    <row r="11" spans="2:24" ht="17" x14ac:dyDescent="0.5">
      <c r="B11" s="132"/>
      <c r="C11" s="137" t="s">
        <v>139</v>
      </c>
      <c r="D11" s="136" t="s">
        <v>140</v>
      </c>
      <c r="E11" s="137" t="s">
        <v>139</v>
      </c>
      <c r="F11" s="136" t="s">
        <v>140</v>
      </c>
      <c r="G11" s="137" t="s">
        <v>139</v>
      </c>
      <c r="H11" s="136" t="s">
        <v>140</v>
      </c>
      <c r="I11" s="137" t="s">
        <v>139</v>
      </c>
      <c r="J11" s="136" t="s">
        <v>140</v>
      </c>
      <c r="K11" s="137" t="s">
        <v>139</v>
      </c>
      <c r="L11" s="136" t="s">
        <v>140</v>
      </c>
      <c r="M11" s="136" t="s">
        <v>76</v>
      </c>
      <c r="N11" s="11"/>
      <c r="O11" s="331" t="s">
        <v>198</v>
      </c>
      <c r="P11" s="332" t="s">
        <v>273</v>
      </c>
      <c r="Q11" s="133"/>
      <c r="R11" s="137" t="s">
        <v>139</v>
      </c>
      <c r="S11" s="136" t="s">
        <v>140</v>
      </c>
    </row>
    <row r="12" spans="2:24" ht="16" x14ac:dyDescent="0.35">
      <c r="B12" s="132" t="s">
        <v>281</v>
      </c>
      <c r="C12" s="343">
        <v>9398</v>
      </c>
      <c r="D12" s="344">
        <v>85</v>
      </c>
      <c r="E12" s="137"/>
      <c r="F12" s="136"/>
      <c r="G12" s="137"/>
      <c r="H12" s="136"/>
      <c r="I12" s="137"/>
      <c r="J12" s="136"/>
      <c r="K12" s="137"/>
      <c r="L12" s="136"/>
      <c r="M12" s="275">
        <f t="shared" ref="M12:M18" si="0">SUM(C12:L12)</f>
        <v>9483</v>
      </c>
      <c r="N12" s="11"/>
      <c r="O12" s="262" t="s">
        <v>299</v>
      </c>
      <c r="P12" s="347">
        <v>450000</v>
      </c>
      <c r="Q12" s="133"/>
      <c r="R12" s="165">
        <v>297531</v>
      </c>
      <c r="S12" s="351">
        <v>273540</v>
      </c>
    </row>
    <row r="13" spans="2:24" x14ac:dyDescent="0.35">
      <c r="B13" s="249" t="s">
        <v>274</v>
      </c>
      <c r="C13" s="333">
        <v>14133</v>
      </c>
      <c r="D13" s="334">
        <v>2602</v>
      </c>
      <c r="E13" s="333">
        <v>14204</v>
      </c>
      <c r="F13" s="335">
        <v>2503</v>
      </c>
      <c r="G13" s="333">
        <v>14274</v>
      </c>
      <c r="H13" s="335">
        <v>2405</v>
      </c>
      <c r="I13" s="333">
        <v>14346</v>
      </c>
      <c r="J13" s="335">
        <v>2305</v>
      </c>
      <c r="K13" s="333">
        <v>14418</v>
      </c>
      <c r="L13" s="335">
        <v>2203</v>
      </c>
      <c r="M13" s="345">
        <f t="shared" si="0"/>
        <v>83393</v>
      </c>
      <c r="N13" s="11"/>
      <c r="O13" s="357" t="s">
        <v>303</v>
      </c>
      <c r="P13" s="347">
        <v>445000</v>
      </c>
      <c r="Q13" s="243"/>
      <c r="R13" s="4">
        <v>296704</v>
      </c>
      <c r="S13" s="351">
        <v>263609</v>
      </c>
      <c r="T13" s="7"/>
      <c r="V13" s="7"/>
      <c r="X13" s="7"/>
    </row>
    <row r="14" spans="2:24" x14ac:dyDescent="0.35">
      <c r="B14" s="295" t="s">
        <v>275</v>
      </c>
      <c r="C14" s="333">
        <v>160000</v>
      </c>
      <c r="D14" s="334">
        <v>148812</v>
      </c>
      <c r="E14" s="333">
        <v>165000</v>
      </c>
      <c r="F14" s="335">
        <v>141906</v>
      </c>
      <c r="G14" s="333">
        <v>175000</v>
      </c>
      <c r="H14" s="335">
        <v>134681</v>
      </c>
      <c r="I14" s="333">
        <v>180000</v>
      </c>
      <c r="J14" s="335">
        <v>127137</v>
      </c>
      <c r="K14" s="333">
        <v>190000</v>
      </c>
      <c r="L14" s="335">
        <v>119268</v>
      </c>
      <c r="M14" s="346">
        <f t="shared" si="0"/>
        <v>1541804</v>
      </c>
      <c r="N14" s="11"/>
      <c r="O14" s="358" t="s">
        <v>302</v>
      </c>
      <c r="P14" s="347">
        <v>5815000</v>
      </c>
      <c r="Q14" s="243"/>
      <c r="R14" s="4">
        <v>309274</v>
      </c>
      <c r="S14" s="351">
        <v>253353</v>
      </c>
      <c r="T14" s="7"/>
      <c r="V14" s="7"/>
      <c r="X14" s="7"/>
    </row>
    <row r="15" spans="2:24" x14ac:dyDescent="0.35">
      <c r="B15" s="249" t="s">
        <v>276</v>
      </c>
      <c r="C15" s="333">
        <v>48000</v>
      </c>
      <c r="D15" s="334">
        <v>54450</v>
      </c>
      <c r="E15" s="333">
        <v>50000</v>
      </c>
      <c r="F15" s="335">
        <v>53010</v>
      </c>
      <c r="G15" s="333">
        <v>51500</v>
      </c>
      <c r="H15" s="335">
        <v>51510</v>
      </c>
      <c r="I15" s="333">
        <v>53000</v>
      </c>
      <c r="J15" s="335">
        <v>49965</v>
      </c>
      <c r="K15" s="333">
        <v>55000</v>
      </c>
      <c r="L15" s="335">
        <v>48375</v>
      </c>
      <c r="M15" s="346">
        <f t="shared" si="0"/>
        <v>514810</v>
      </c>
      <c r="N15" s="11"/>
      <c r="O15" s="262" t="s">
        <v>300</v>
      </c>
      <c r="P15" s="347">
        <v>2320000</v>
      </c>
      <c r="Q15" s="243"/>
      <c r="R15" s="4">
        <v>317346</v>
      </c>
      <c r="S15" s="351">
        <v>242701</v>
      </c>
      <c r="T15" s="7"/>
      <c r="V15" s="7"/>
      <c r="X15" s="7"/>
    </row>
    <row r="16" spans="2:24" x14ac:dyDescent="0.35">
      <c r="B16" s="249" t="s">
        <v>277</v>
      </c>
      <c r="C16" s="333">
        <v>24000</v>
      </c>
      <c r="D16" s="334">
        <v>32574</v>
      </c>
      <c r="E16" s="333">
        <v>24500</v>
      </c>
      <c r="F16" s="335">
        <v>31907</v>
      </c>
      <c r="G16" s="333">
        <v>25000</v>
      </c>
      <c r="H16" s="335">
        <v>31226</v>
      </c>
      <c r="I16" s="333">
        <v>26000</v>
      </c>
      <c r="J16" s="335">
        <v>30525</v>
      </c>
      <c r="K16" s="333">
        <v>26500</v>
      </c>
      <c r="L16" s="335">
        <v>29803</v>
      </c>
      <c r="M16" s="346">
        <f t="shared" si="0"/>
        <v>282035</v>
      </c>
      <c r="N16" s="11"/>
      <c r="O16" s="262" t="s">
        <v>301</v>
      </c>
      <c r="P16" s="347">
        <v>1365000</v>
      </c>
      <c r="Q16" s="243"/>
      <c r="R16" s="2">
        <v>330918</v>
      </c>
      <c r="S16" s="240">
        <v>231648</v>
      </c>
      <c r="T16" s="7"/>
      <c r="V16" s="7"/>
      <c r="X16" s="7"/>
    </row>
    <row r="17" spans="2:24" x14ac:dyDescent="0.35">
      <c r="B17" s="249" t="s">
        <v>278</v>
      </c>
      <c r="C17" s="333">
        <v>35500</v>
      </c>
      <c r="D17" s="334">
        <v>29444</v>
      </c>
      <c r="E17" s="333">
        <v>36000</v>
      </c>
      <c r="F17" s="334">
        <v>28823</v>
      </c>
      <c r="G17" s="333">
        <v>36500</v>
      </c>
      <c r="H17" s="334">
        <v>28193</v>
      </c>
      <c r="I17" s="333">
        <v>37000</v>
      </c>
      <c r="J17" s="334">
        <v>27554</v>
      </c>
      <c r="K17" s="333">
        <v>38000</v>
      </c>
      <c r="L17" s="335">
        <v>26906</v>
      </c>
      <c r="M17" s="346">
        <f t="shared" si="0"/>
        <v>323920</v>
      </c>
      <c r="N17" s="11"/>
      <c r="O17" s="262" t="s">
        <v>304</v>
      </c>
      <c r="P17" s="347">
        <v>1850000</v>
      </c>
      <c r="Q17" s="243"/>
      <c r="R17" s="4">
        <f>SUM(R12:R16)</f>
        <v>1551773</v>
      </c>
      <c r="S17" s="351">
        <f>SUM(S12:S16)</f>
        <v>1264851</v>
      </c>
      <c r="T17" s="7">
        <f>SUM(R17:S17)</f>
        <v>2816624</v>
      </c>
      <c r="V17" s="7"/>
      <c r="X17" s="7"/>
    </row>
    <row r="18" spans="2:24" x14ac:dyDescent="0.35">
      <c r="B18" s="249" t="s">
        <v>279</v>
      </c>
      <c r="C18" s="333">
        <v>6500</v>
      </c>
      <c r="D18" s="334">
        <v>5574</v>
      </c>
      <c r="E18" s="333">
        <v>7000</v>
      </c>
      <c r="F18" s="334">
        <v>5460</v>
      </c>
      <c r="G18" s="333">
        <v>7000</v>
      </c>
      <c r="H18" s="334">
        <v>5338</v>
      </c>
      <c r="I18" s="333">
        <v>7000</v>
      </c>
      <c r="J18" s="334">
        <v>5215</v>
      </c>
      <c r="K18" s="333">
        <v>7000</v>
      </c>
      <c r="L18" s="335">
        <v>5093</v>
      </c>
      <c r="M18" s="346">
        <f t="shared" si="0"/>
        <v>61180</v>
      </c>
      <c r="N18" s="11"/>
      <c r="O18" s="262" t="s">
        <v>304</v>
      </c>
      <c r="P18" s="347">
        <v>350000</v>
      </c>
      <c r="R18" s="7"/>
      <c r="T18" s="7"/>
      <c r="V18" s="7"/>
      <c r="X18" s="7"/>
    </row>
    <row r="19" spans="2:24" x14ac:dyDescent="0.35">
      <c r="B19" s="138"/>
      <c r="C19" s="336"/>
      <c r="D19" s="337"/>
      <c r="E19" s="336"/>
      <c r="F19" s="337"/>
      <c r="G19" s="336"/>
      <c r="H19" s="337"/>
      <c r="I19" s="336"/>
      <c r="J19" s="337"/>
      <c r="K19" s="336"/>
      <c r="L19" s="349"/>
      <c r="M19" s="276"/>
      <c r="N19" s="11"/>
      <c r="O19" s="248"/>
      <c r="P19" s="347"/>
    </row>
    <row r="20" spans="2:24" x14ac:dyDescent="0.35">
      <c r="B20" s="93" t="s">
        <v>76</v>
      </c>
      <c r="C20" s="338">
        <f>SUM(C12:C19)</f>
        <v>297531</v>
      </c>
      <c r="D20" s="405">
        <f t="shared" ref="D20:M20" si="1">SUM(D12:D19)</f>
        <v>273541</v>
      </c>
      <c r="E20" s="338">
        <f t="shared" si="1"/>
        <v>296704</v>
      </c>
      <c r="F20" s="338">
        <f t="shared" si="1"/>
        <v>263609</v>
      </c>
      <c r="G20" s="338">
        <f t="shared" si="1"/>
        <v>309274</v>
      </c>
      <c r="H20" s="338">
        <f t="shared" si="1"/>
        <v>253353</v>
      </c>
      <c r="I20" s="338">
        <f t="shared" si="1"/>
        <v>317346</v>
      </c>
      <c r="J20" s="338">
        <f t="shared" si="1"/>
        <v>242701</v>
      </c>
      <c r="K20" s="338">
        <f t="shared" si="1"/>
        <v>330918</v>
      </c>
      <c r="L20" s="338">
        <f t="shared" si="1"/>
        <v>231648</v>
      </c>
      <c r="M20" s="350">
        <f t="shared" si="1"/>
        <v>2816625</v>
      </c>
      <c r="N20" s="11"/>
      <c r="O20" s="248"/>
      <c r="P20" s="347">
        <f>SUM(P12:P19)</f>
        <v>12595000</v>
      </c>
    </row>
    <row r="21" spans="2:24" x14ac:dyDescent="0.35">
      <c r="B21" s="139"/>
      <c r="C21" s="339"/>
      <c r="D21" s="340"/>
      <c r="E21" s="339"/>
      <c r="F21" s="341"/>
      <c r="G21" s="339"/>
      <c r="H21" s="341"/>
      <c r="I21" s="339"/>
      <c r="J21" s="342"/>
      <c r="K21" s="339"/>
      <c r="L21" s="341"/>
      <c r="M21" s="140"/>
      <c r="N21" s="11"/>
      <c r="O21" s="248"/>
      <c r="P21" s="7"/>
    </row>
    <row r="22" spans="2:24" x14ac:dyDescent="0.35">
      <c r="B22" s="142"/>
      <c r="C22" s="271"/>
      <c r="D22" s="271"/>
      <c r="E22" s="271"/>
      <c r="F22" s="271"/>
      <c r="G22" s="271"/>
      <c r="H22" s="271"/>
      <c r="I22" s="271"/>
      <c r="J22" s="143"/>
      <c r="K22" s="143"/>
      <c r="L22" s="143"/>
      <c r="M22" s="141"/>
      <c r="N22" s="11"/>
      <c r="O22" s="248"/>
      <c r="P22" s="7"/>
    </row>
    <row r="23" spans="2:24" x14ac:dyDescent="0.35">
      <c r="B23" s="144"/>
      <c r="C23" s="146"/>
      <c r="D23" s="145"/>
      <c r="E23" s="146"/>
      <c r="F23" s="146"/>
      <c r="G23" s="146"/>
      <c r="H23" s="146"/>
      <c r="I23" s="145" t="s">
        <v>141</v>
      </c>
      <c r="J23" s="11"/>
      <c r="K23" s="145"/>
      <c r="L23" s="146"/>
      <c r="M23" s="277">
        <f>M20/5</f>
        <v>563325</v>
      </c>
      <c r="N23" s="11"/>
      <c r="O23" s="466" t="str">
        <f>'Revenue Requirements'!F3</f>
        <v>J</v>
      </c>
      <c r="P23" s="7"/>
    </row>
    <row r="24" spans="2:24" x14ac:dyDescent="0.35">
      <c r="B24" s="8"/>
      <c r="C24" s="145"/>
      <c r="D24" s="11"/>
      <c r="E24" s="145"/>
      <c r="F24" s="145"/>
      <c r="G24" s="145"/>
      <c r="H24" s="145"/>
      <c r="I24" s="145"/>
      <c r="J24" s="11"/>
      <c r="K24" s="11"/>
      <c r="L24" s="145"/>
      <c r="M24" s="278"/>
      <c r="N24" s="11"/>
      <c r="O24" s="262"/>
      <c r="P24" s="7"/>
    </row>
    <row r="25" spans="2:24" x14ac:dyDescent="0.35">
      <c r="B25" s="144"/>
      <c r="C25" s="145"/>
      <c r="D25" s="145"/>
      <c r="E25" s="145"/>
      <c r="F25" s="145"/>
      <c r="G25" s="145"/>
      <c r="H25" s="145"/>
      <c r="I25" s="145" t="s">
        <v>142</v>
      </c>
      <c r="J25" s="11"/>
      <c r="K25" s="145"/>
      <c r="L25" s="145"/>
      <c r="M25" s="277">
        <f>M23*0.2</f>
        <v>112665</v>
      </c>
      <c r="N25" s="11"/>
      <c r="O25" s="465" t="str">
        <f>'Revenue Requirements'!F4</f>
        <v>K</v>
      </c>
      <c r="P25" s="7">
        <f>M25+M23</f>
        <v>675990</v>
      </c>
    </row>
    <row r="26" spans="2:24" x14ac:dyDescent="0.35">
      <c r="B26" s="147"/>
      <c r="C26" s="148"/>
      <c r="D26" s="148"/>
      <c r="E26" s="148"/>
      <c r="F26" s="148"/>
      <c r="G26" s="148"/>
      <c r="H26" s="148"/>
      <c r="I26" s="148"/>
      <c r="J26" s="148"/>
      <c r="K26" s="148"/>
      <c r="L26" s="148"/>
      <c r="M26" s="279"/>
      <c r="N26" s="11"/>
      <c r="O26" s="248"/>
      <c r="P26" s="7"/>
    </row>
    <row r="27" spans="2:24" x14ac:dyDescent="0.35">
      <c r="B27" s="201"/>
      <c r="C27" s="201"/>
      <c r="D27" s="201"/>
      <c r="E27" s="201"/>
      <c r="F27" s="201"/>
      <c r="G27" s="201"/>
      <c r="H27" s="201"/>
      <c r="I27" s="201"/>
      <c r="J27" s="201"/>
      <c r="K27" s="201"/>
      <c r="L27" s="201"/>
      <c r="M27" s="201"/>
      <c r="N27" s="201"/>
      <c r="P27" s="201"/>
    </row>
    <row r="28" spans="2:24" x14ac:dyDescent="0.35">
      <c r="B28" s="201"/>
      <c r="C28" s="201"/>
      <c r="D28" s="201"/>
      <c r="E28" s="201"/>
      <c r="F28" s="201"/>
      <c r="G28" s="201"/>
      <c r="H28" s="201"/>
      <c r="I28" s="201" t="s">
        <v>358</v>
      </c>
      <c r="J28" s="201"/>
      <c r="K28" s="201"/>
      <c r="L28" s="201"/>
      <c r="M28" s="348">
        <f>D20+F20+H20+J20+L20</f>
        <v>1264852</v>
      </c>
      <c r="N28" s="201"/>
      <c r="P28" s="201"/>
    </row>
    <row r="29" spans="2:24" x14ac:dyDescent="0.35">
      <c r="B29" s="201"/>
      <c r="C29" s="201"/>
      <c r="D29" s="201"/>
      <c r="E29" s="201"/>
      <c r="F29" s="201"/>
      <c r="G29" s="201"/>
      <c r="H29" s="201"/>
      <c r="I29" s="201"/>
      <c r="J29" s="201"/>
      <c r="K29" s="201"/>
      <c r="L29" s="201"/>
      <c r="M29" s="348"/>
      <c r="N29" s="201"/>
      <c r="P29" s="201"/>
    </row>
    <row r="30" spans="2:24" x14ac:dyDescent="0.35">
      <c r="B30" s="201"/>
      <c r="C30" s="201"/>
      <c r="D30" s="201"/>
      <c r="E30" s="201"/>
      <c r="F30" s="201"/>
      <c r="G30" s="201"/>
      <c r="H30" s="201"/>
      <c r="I30" s="201" t="s">
        <v>197</v>
      </c>
      <c r="J30" s="201"/>
      <c r="K30" s="201"/>
      <c r="L30" s="201"/>
      <c r="M30" s="348">
        <f>M28/5</f>
        <v>252970.4</v>
      </c>
      <c r="N30" s="201"/>
      <c r="P30" s="201"/>
    </row>
    <row r="31" spans="2:24" x14ac:dyDescent="0.35">
      <c r="B31" s="201"/>
      <c r="C31" s="201"/>
      <c r="D31" s="201"/>
      <c r="E31" s="201"/>
      <c r="F31" s="201"/>
      <c r="G31" s="201"/>
      <c r="H31" s="201"/>
      <c r="I31" s="201"/>
      <c r="J31" s="201"/>
      <c r="K31" s="201"/>
      <c r="L31" s="201"/>
      <c r="M31" s="201"/>
      <c r="N31" s="201"/>
      <c r="P31" s="201"/>
    </row>
    <row r="32" spans="2:24" x14ac:dyDescent="0.35">
      <c r="B32" s="201"/>
      <c r="C32" s="201"/>
      <c r="D32" s="201"/>
      <c r="E32" s="201"/>
      <c r="F32" s="201"/>
      <c r="G32" s="201"/>
      <c r="H32" s="201"/>
      <c r="I32" s="201"/>
      <c r="J32" s="201"/>
      <c r="K32" s="201"/>
      <c r="L32" s="201"/>
      <c r="M32" s="201"/>
      <c r="N32" s="201"/>
      <c r="P32" s="201"/>
    </row>
    <row r="33" spans="2:16" x14ac:dyDescent="0.35">
      <c r="B33" s="201"/>
      <c r="C33" s="201"/>
      <c r="D33" s="201"/>
      <c r="E33" s="201"/>
      <c r="F33" s="201"/>
      <c r="G33" s="201"/>
      <c r="H33" s="201"/>
      <c r="I33" s="201"/>
      <c r="J33" s="201"/>
      <c r="K33" s="201"/>
      <c r="L33" s="201"/>
      <c r="M33" s="201"/>
      <c r="N33" s="201"/>
      <c r="P33" s="201"/>
    </row>
    <row r="34" spans="2:16" x14ac:dyDescent="0.35">
      <c r="B34" s="201"/>
      <c r="C34" s="201"/>
      <c r="D34" s="201"/>
      <c r="E34" s="201"/>
      <c r="F34" s="201"/>
      <c r="G34" s="201"/>
      <c r="H34" s="201"/>
      <c r="I34" s="201"/>
      <c r="J34" s="201"/>
      <c r="K34" s="201"/>
      <c r="L34" s="201"/>
      <c r="M34" s="201"/>
      <c r="N34" s="201"/>
      <c r="P34" s="201"/>
    </row>
    <row r="35" spans="2:16" x14ac:dyDescent="0.35">
      <c r="B35" s="201"/>
      <c r="C35" s="251"/>
      <c r="D35" s="251"/>
      <c r="E35" s="251"/>
      <c r="F35" s="201"/>
      <c r="G35" s="201"/>
      <c r="H35" s="201"/>
      <c r="I35" s="201"/>
      <c r="J35" s="201"/>
      <c r="K35" s="201"/>
      <c r="L35" s="201"/>
      <c r="M35" s="201"/>
      <c r="N35" s="201"/>
      <c r="P35" s="201"/>
    </row>
    <row r="36" spans="2:16" x14ac:dyDescent="0.35">
      <c r="B36" s="241"/>
      <c r="C36" s="242"/>
      <c r="D36" s="242"/>
      <c r="E36" s="242"/>
      <c r="F36" s="241"/>
      <c r="G36" s="201"/>
      <c r="H36" s="201"/>
      <c r="I36" s="201"/>
      <c r="J36" s="201"/>
      <c r="K36" s="201"/>
      <c r="L36" s="201"/>
      <c r="M36" s="201"/>
      <c r="N36" s="201"/>
      <c r="P36" s="201"/>
    </row>
    <row r="37" spans="2:16" x14ac:dyDescent="0.35">
      <c r="B37" s="241"/>
      <c r="C37" s="243"/>
      <c r="D37" s="243"/>
      <c r="E37" s="242"/>
      <c r="F37" s="241"/>
    </row>
    <row r="38" spans="2:16" x14ac:dyDescent="0.35">
      <c r="B38" s="241"/>
      <c r="C38" s="243"/>
      <c r="D38" s="243"/>
      <c r="E38" s="242"/>
      <c r="F38" s="241"/>
    </row>
    <row r="39" spans="2:16" x14ac:dyDescent="0.35">
      <c r="B39" s="241"/>
      <c r="C39" s="243"/>
      <c r="D39" s="243"/>
      <c r="E39" s="242"/>
      <c r="F39" s="241"/>
    </row>
    <row r="40" spans="2:16" x14ac:dyDescent="0.35">
      <c r="B40" s="241"/>
      <c r="C40" s="243"/>
      <c r="D40" s="243"/>
      <c r="E40" s="242"/>
      <c r="F40" s="241"/>
    </row>
    <row r="41" spans="2:16" x14ac:dyDescent="0.35">
      <c r="B41" s="241"/>
      <c r="C41" s="243"/>
      <c r="D41" s="243"/>
      <c r="E41" s="242"/>
      <c r="F41" s="241"/>
    </row>
    <row r="42" spans="2:16" x14ac:dyDescent="0.35">
      <c r="B42" s="241"/>
      <c r="C42" s="241"/>
      <c r="D42" s="241"/>
      <c r="E42" s="244"/>
      <c r="F42" s="245"/>
    </row>
    <row r="44" spans="2:16" x14ac:dyDescent="0.35">
      <c r="B44" s="219"/>
      <c r="E44" s="246"/>
    </row>
    <row r="46" spans="2:16" x14ac:dyDescent="0.35">
      <c r="B46" s="219"/>
      <c r="C46" s="219"/>
      <c r="E46" s="77"/>
    </row>
  </sheetData>
  <mergeCells count="6">
    <mergeCell ref="Q9:R9"/>
    <mergeCell ref="C9:D9"/>
    <mergeCell ref="E9:F9"/>
    <mergeCell ref="G9:H9"/>
    <mergeCell ref="I9:J9"/>
    <mergeCell ref="K9:L9"/>
  </mergeCells>
  <pageMargins left="0.7" right="0.7" top="0.75" bottom="0.75" header="0.3" footer="0.3"/>
  <pageSetup scale="92" orientation="landscape" horizontalDpi="4294967293"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334C12-8B08-4347-8810-FE79CDF4480C}">
  <sheetPr>
    <tabColor rgb="FF92D050"/>
    <pageSetUpPr fitToPage="1"/>
  </sheetPr>
  <dimension ref="A1:N51"/>
  <sheetViews>
    <sheetView showGridLines="0" workbookViewId="0">
      <selection activeCell="B2" sqref="B2:L46"/>
    </sheetView>
  </sheetViews>
  <sheetFormatPr defaultRowHeight="15.5" x14ac:dyDescent="0.35"/>
  <cols>
    <col min="1" max="1" width="2" customWidth="1"/>
    <col min="2" max="2" width="1.84375" customWidth="1"/>
    <col min="3" max="3" width="1.765625" customWidth="1"/>
    <col min="4" max="4" width="27.4609375" customWidth="1"/>
    <col min="5" max="5" width="8.3046875" customWidth="1"/>
    <col min="6" max="6" width="11.69140625" style="228" customWidth="1"/>
    <col min="7" max="7" width="6.07421875" customWidth="1"/>
    <col min="8" max="8" width="10.15234375" customWidth="1"/>
    <col min="9" max="9" width="6.07421875" customWidth="1"/>
    <col min="10" max="10" width="9.3046875" customWidth="1"/>
    <col min="11" max="11" width="10.69140625" customWidth="1"/>
    <col min="12" max="12" width="1.84375" customWidth="1"/>
    <col min="13" max="13" width="2.4609375" customWidth="1"/>
  </cols>
  <sheetData>
    <row r="1" spans="1:13" ht="18" customHeight="1" x14ac:dyDescent="0.35">
      <c r="A1" s="1"/>
      <c r="B1" s="1"/>
      <c r="C1" s="94"/>
      <c r="D1" s="94"/>
      <c r="E1" s="94"/>
      <c r="F1" s="94"/>
      <c r="G1" s="95"/>
      <c r="H1" s="94"/>
      <c r="I1" s="95"/>
      <c r="J1" s="94"/>
      <c r="K1" s="94"/>
      <c r="L1" s="94"/>
      <c r="M1" s="94"/>
    </row>
    <row r="2" spans="1:13" x14ac:dyDescent="0.35">
      <c r="A2" s="1"/>
      <c r="B2" s="62"/>
      <c r="C2" s="96"/>
      <c r="D2" s="96"/>
      <c r="E2" s="96"/>
      <c r="F2" s="96"/>
      <c r="G2" s="97"/>
      <c r="H2" s="96"/>
      <c r="I2" s="97"/>
      <c r="J2" s="96"/>
      <c r="K2" s="96"/>
      <c r="L2" s="98"/>
      <c r="M2" s="99"/>
    </row>
    <row r="3" spans="1:13" ht="17" customHeight="1" x14ac:dyDescent="0.45">
      <c r="A3" s="1"/>
      <c r="B3" s="32"/>
      <c r="C3" s="507" t="s">
        <v>26</v>
      </c>
      <c r="D3" s="507"/>
      <c r="E3" s="507"/>
      <c r="F3" s="507"/>
      <c r="G3" s="507"/>
      <c r="H3" s="507"/>
      <c r="I3" s="507"/>
      <c r="J3" s="507"/>
      <c r="K3" s="507"/>
      <c r="L3" s="100"/>
      <c r="M3" s="99"/>
    </row>
    <row r="4" spans="1:13" ht="18.5" x14ac:dyDescent="0.45">
      <c r="A4" s="1"/>
      <c r="B4" s="32"/>
      <c r="C4" s="508" t="s">
        <v>38</v>
      </c>
      <c r="D4" s="508"/>
      <c r="E4" s="508"/>
      <c r="F4" s="508"/>
      <c r="G4" s="508"/>
      <c r="H4" s="508"/>
      <c r="I4" s="508"/>
      <c r="J4" s="508"/>
      <c r="K4" s="508"/>
      <c r="L4" s="100"/>
      <c r="M4" s="99"/>
    </row>
    <row r="5" spans="1:13" x14ac:dyDescent="0.35">
      <c r="A5" s="1"/>
      <c r="B5" s="32"/>
      <c r="C5" s="509" t="str">
        <f>SAO!A2</f>
        <v>Laurel County Water District #2</v>
      </c>
      <c r="D5" s="509"/>
      <c r="E5" s="509"/>
      <c r="F5" s="509"/>
      <c r="G5" s="509"/>
      <c r="H5" s="509"/>
      <c r="I5" s="509"/>
      <c r="J5" s="509"/>
      <c r="K5" s="509"/>
      <c r="L5" s="100"/>
      <c r="M5" s="99"/>
    </row>
    <row r="6" spans="1:13" x14ac:dyDescent="0.35">
      <c r="A6" s="1"/>
      <c r="B6" s="32"/>
      <c r="C6" s="94"/>
      <c r="D6" s="94"/>
      <c r="E6" s="510" t="s">
        <v>398</v>
      </c>
      <c r="F6" s="510"/>
      <c r="G6" s="510"/>
      <c r="H6" s="510"/>
      <c r="I6" s="101"/>
      <c r="J6" s="94"/>
      <c r="K6" s="102" t="s">
        <v>39</v>
      </c>
      <c r="L6" s="100"/>
      <c r="M6" s="99"/>
    </row>
    <row r="7" spans="1:13" x14ac:dyDescent="0.35">
      <c r="A7" s="1"/>
      <c r="B7" s="32"/>
      <c r="C7" s="103"/>
      <c r="D7" s="103"/>
      <c r="E7" s="103" t="s">
        <v>40</v>
      </c>
      <c r="F7" s="103" t="s">
        <v>41</v>
      </c>
      <c r="G7" s="104" t="s">
        <v>109</v>
      </c>
      <c r="H7" s="105"/>
      <c r="I7" s="104" t="s">
        <v>31</v>
      </c>
      <c r="J7" s="105"/>
      <c r="K7" s="102" t="s">
        <v>42</v>
      </c>
      <c r="L7" s="100"/>
      <c r="M7" s="99"/>
    </row>
    <row r="8" spans="1:13" ht="17" x14ac:dyDescent="0.5">
      <c r="A8" s="1"/>
      <c r="B8" s="32"/>
      <c r="C8" s="102"/>
      <c r="D8" s="106" t="s">
        <v>110</v>
      </c>
      <c r="E8" s="102" t="s">
        <v>43</v>
      </c>
      <c r="F8" s="102" t="s">
        <v>111</v>
      </c>
      <c r="G8" s="14" t="s">
        <v>44</v>
      </c>
      <c r="H8" s="102" t="s">
        <v>45</v>
      </c>
      <c r="I8" s="14" t="s">
        <v>44</v>
      </c>
      <c r="J8" s="102" t="s">
        <v>45</v>
      </c>
      <c r="K8" s="102" t="s">
        <v>36</v>
      </c>
      <c r="L8" s="100"/>
      <c r="M8" s="99"/>
    </row>
    <row r="9" spans="1:13" x14ac:dyDescent="0.35">
      <c r="A9" s="1"/>
      <c r="B9" s="32"/>
      <c r="C9" s="102"/>
      <c r="D9" s="102"/>
      <c r="E9" s="102"/>
      <c r="F9" s="102"/>
      <c r="G9" s="14"/>
      <c r="H9" s="102"/>
      <c r="I9" s="14"/>
      <c r="J9" s="102"/>
      <c r="K9" s="102"/>
      <c r="L9" s="100"/>
      <c r="M9" s="99"/>
    </row>
    <row r="10" spans="1:13" x14ac:dyDescent="0.35">
      <c r="A10" s="1"/>
      <c r="B10" s="32"/>
      <c r="C10" s="107" t="s">
        <v>112</v>
      </c>
      <c r="D10" s="94"/>
      <c r="E10" s="108"/>
      <c r="F10" s="94"/>
      <c r="G10" s="101"/>
      <c r="H10" s="1"/>
      <c r="I10" s="101"/>
      <c r="J10" s="1"/>
      <c r="K10" s="1"/>
      <c r="L10" s="100"/>
      <c r="M10" s="99"/>
    </row>
    <row r="11" spans="1:13" x14ac:dyDescent="0.35">
      <c r="A11" s="1"/>
      <c r="B11" s="32"/>
      <c r="C11" s="107"/>
      <c r="D11" s="94" t="s">
        <v>113</v>
      </c>
      <c r="E11" s="108" t="s">
        <v>61</v>
      </c>
      <c r="F11" s="226">
        <v>445769.14</v>
      </c>
      <c r="G11" s="50" t="s">
        <v>114</v>
      </c>
      <c r="H11" s="11">
        <v>11006.64</v>
      </c>
      <c r="I11" s="101">
        <v>37.5</v>
      </c>
      <c r="J11" s="11">
        <f>F11/I11</f>
        <v>11887.177066666667</v>
      </c>
      <c r="K11" s="11">
        <f>J11-H11</f>
        <v>880.53706666666767</v>
      </c>
      <c r="L11" s="100"/>
      <c r="M11" s="99"/>
    </row>
    <row r="12" spans="1:13" x14ac:dyDescent="0.35">
      <c r="A12" s="1"/>
      <c r="B12" s="32"/>
      <c r="C12" s="107"/>
      <c r="D12" s="94" t="s">
        <v>115</v>
      </c>
      <c r="E12" s="108" t="s">
        <v>61</v>
      </c>
      <c r="F12" s="226">
        <v>110566.59</v>
      </c>
      <c r="G12" s="50" t="s">
        <v>114</v>
      </c>
      <c r="H12" s="11">
        <v>7656.6</v>
      </c>
      <c r="I12" s="101">
        <v>10</v>
      </c>
      <c r="J12" s="11">
        <f>F12/I12</f>
        <v>11056.659</v>
      </c>
      <c r="K12" s="11">
        <f>J12-H12</f>
        <v>3400.0589999999993</v>
      </c>
      <c r="L12" s="100"/>
      <c r="M12" s="99"/>
    </row>
    <row r="13" spans="1:13" x14ac:dyDescent="0.35">
      <c r="A13" s="1"/>
      <c r="B13" s="32"/>
      <c r="C13" s="94"/>
      <c r="D13" s="94" t="s">
        <v>116</v>
      </c>
      <c r="E13" s="108" t="s">
        <v>61</v>
      </c>
      <c r="F13" s="226">
        <v>71409.289999999994</v>
      </c>
      <c r="G13" s="50" t="s">
        <v>114</v>
      </c>
      <c r="H13" s="11">
        <v>2055.21</v>
      </c>
      <c r="I13" s="101">
        <v>22.5</v>
      </c>
      <c r="J13" s="11">
        <f>F13/I13</f>
        <v>3173.7462222222221</v>
      </c>
      <c r="K13" s="11">
        <f>J13-H13</f>
        <v>1118.536222222222</v>
      </c>
      <c r="L13" s="100"/>
      <c r="M13" s="99"/>
    </row>
    <row r="14" spans="1:13" x14ac:dyDescent="0.35">
      <c r="A14" s="1"/>
      <c r="B14" s="32"/>
      <c r="C14" s="94"/>
      <c r="D14" s="94" t="s">
        <v>117</v>
      </c>
      <c r="E14" s="108" t="s">
        <v>61</v>
      </c>
      <c r="F14" s="226">
        <v>500189.17</v>
      </c>
      <c r="G14" s="50" t="s">
        <v>114</v>
      </c>
      <c r="H14" s="11">
        <v>27955.26</v>
      </c>
      <c r="I14" s="101">
        <v>12.5</v>
      </c>
      <c r="J14" s="11">
        <f t="shared" ref="J14:J15" si="0">F14/I14</f>
        <v>40015.133600000001</v>
      </c>
      <c r="K14" s="11">
        <f t="shared" ref="K14:K15" si="1">J14-H14</f>
        <v>12059.873600000003</v>
      </c>
      <c r="L14" s="100"/>
      <c r="M14" s="99"/>
    </row>
    <row r="15" spans="1:13" x14ac:dyDescent="0.35">
      <c r="A15" s="1"/>
      <c r="B15" s="32"/>
      <c r="C15" s="94"/>
      <c r="D15" s="94" t="s">
        <v>118</v>
      </c>
      <c r="E15" s="108" t="s">
        <v>61</v>
      </c>
      <c r="F15" s="226">
        <v>92188.9</v>
      </c>
      <c r="G15" s="50" t="s">
        <v>114</v>
      </c>
      <c r="H15" s="11">
        <v>3946.34</v>
      </c>
      <c r="I15" s="101">
        <v>17.5</v>
      </c>
      <c r="J15" s="11">
        <f t="shared" si="0"/>
        <v>5267.9371428571421</v>
      </c>
      <c r="K15" s="11">
        <f t="shared" si="1"/>
        <v>1321.597142857142</v>
      </c>
      <c r="L15" s="100"/>
      <c r="M15" s="99"/>
    </row>
    <row r="16" spans="1:13" x14ac:dyDescent="0.35">
      <c r="A16" s="1"/>
      <c r="B16" s="32"/>
      <c r="C16" s="102"/>
      <c r="D16" s="102"/>
      <c r="E16" s="102"/>
      <c r="F16" s="102"/>
      <c r="G16" s="14"/>
      <c r="H16" s="102"/>
      <c r="I16" s="14"/>
      <c r="J16" s="102"/>
      <c r="K16" s="102"/>
      <c r="L16" s="100"/>
      <c r="M16" s="99"/>
    </row>
    <row r="17" spans="1:13" x14ac:dyDescent="0.35">
      <c r="A17" s="1"/>
      <c r="B17" s="32"/>
      <c r="C17" s="107" t="s">
        <v>119</v>
      </c>
      <c r="D17" s="94"/>
      <c r="E17" s="108"/>
      <c r="F17" s="94"/>
      <c r="G17" s="109"/>
      <c r="H17" s="1"/>
      <c r="I17" s="109"/>
      <c r="J17" s="1"/>
      <c r="K17" s="1"/>
      <c r="L17" s="100"/>
      <c r="M17" s="99"/>
    </row>
    <row r="18" spans="1:13" x14ac:dyDescent="0.35">
      <c r="A18" s="1"/>
      <c r="B18" s="32"/>
      <c r="C18" s="107"/>
      <c r="D18" s="94" t="s">
        <v>113</v>
      </c>
      <c r="E18" s="108" t="s">
        <v>61</v>
      </c>
      <c r="F18" s="226">
        <v>8794</v>
      </c>
      <c r="G18" s="50" t="s">
        <v>114</v>
      </c>
      <c r="H18" s="11">
        <v>95.51</v>
      </c>
      <c r="I18" s="101">
        <v>37.5</v>
      </c>
      <c r="J18" s="11">
        <f>F18/I18</f>
        <v>234.50666666666666</v>
      </c>
      <c r="K18" s="11">
        <f>J18-H18</f>
        <v>138.99666666666667</v>
      </c>
      <c r="L18" s="100"/>
      <c r="M18" s="99"/>
    </row>
    <row r="19" spans="1:13" x14ac:dyDescent="0.35">
      <c r="A19" s="1"/>
      <c r="B19" s="32"/>
      <c r="C19" s="94"/>
      <c r="D19" s="94" t="s">
        <v>120</v>
      </c>
      <c r="E19" s="108" t="s">
        <v>61</v>
      </c>
      <c r="F19" s="94">
        <v>48310</v>
      </c>
      <c r="G19" s="50">
        <v>40</v>
      </c>
      <c r="H19" s="11">
        <v>4831.0200000000004</v>
      </c>
      <c r="I19" s="101">
        <v>10</v>
      </c>
      <c r="J19" s="330">
        <f>F19/I19</f>
        <v>4831</v>
      </c>
      <c r="K19" s="11">
        <f>J19-H19</f>
        <v>-2.0000000000436557E-2</v>
      </c>
      <c r="L19" s="100"/>
      <c r="M19" s="99"/>
    </row>
    <row r="20" spans="1:13" x14ac:dyDescent="0.35">
      <c r="A20" s="1"/>
      <c r="B20" s="32"/>
      <c r="C20" s="94"/>
      <c r="D20" s="94" t="s">
        <v>121</v>
      </c>
      <c r="E20" s="108" t="s">
        <v>61</v>
      </c>
      <c r="F20" s="94">
        <v>379933.01</v>
      </c>
      <c r="G20" s="50" t="s">
        <v>114</v>
      </c>
      <c r="H20" s="11">
        <v>10192.61</v>
      </c>
      <c r="I20" s="101">
        <v>20</v>
      </c>
      <c r="J20" s="4">
        <f>F20/I20</f>
        <v>18996.6505</v>
      </c>
      <c r="K20" s="11">
        <f>J20-H20</f>
        <v>8804.0404999999992</v>
      </c>
      <c r="L20" s="100"/>
      <c r="M20" s="99"/>
    </row>
    <row r="21" spans="1:13" x14ac:dyDescent="0.35">
      <c r="A21" s="1"/>
      <c r="B21" s="32"/>
      <c r="C21" s="102"/>
      <c r="D21" s="102"/>
      <c r="E21" s="102"/>
      <c r="F21" s="94"/>
      <c r="G21" s="109"/>
      <c r="H21" s="1"/>
      <c r="I21" s="109"/>
      <c r="J21" s="1"/>
      <c r="K21" s="1"/>
      <c r="L21" s="100"/>
      <c r="M21" s="99"/>
    </row>
    <row r="22" spans="1:13" x14ac:dyDescent="0.35">
      <c r="A22" s="1"/>
      <c r="B22" s="32"/>
      <c r="C22" s="107" t="s">
        <v>122</v>
      </c>
      <c r="D22" s="94"/>
      <c r="E22" s="108"/>
      <c r="F22" s="94"/>
      <c r="G22" s="101"/>
      <c r="H22" s="1"/>
      <c r="I22" s="101"/>
      <c r="J22" s="1"/>
      <c r="K22" s="1"/>
      <c r="L22" s="100"/>
      <c r="M22" s="99"/>
    </row>
    <row r="23" spans="1:13" x14ac:dyDescent="0.35">
      <c r="A23" s="1"/>
      <c r="B23" s="32"/>
      <c r="C23" s="107"/>
      <c r="D23" s="94" t="s">
        <v>123</v>
      </c>
      <c r="E23" s="108" t="s">
        <v>61</v>
      </c>
      <c r="F23" s="226">
        <v>94490.81</v>
      </c>
      <c r="G23" s="50" t="s">
        <v>114</v>
      </c>
      <c r="H23" s="11">
        <v>1716.55</v>
      </c>
      <c r="I23" s="101">
        <v>50</v>
      </c>
      <c r="J23" s="4">
        <f>F23/I23</f>
        <v>1889.8162</v>
      </c>
      <c r="K23" s="11">
        <f>J23-H23</f>
        <v>173.26620000000003</v>
      </c>
      <c r="L23" s="100"/>
      <c r="M23" s="99"/>
    </row>
    <row r="24" spans="1:13" x14ac:dyDescent="0.35">
      <c r="A24" s="1"/>
      <c r="B24" s="32"/>
      <c r="C24" s="107"/>
      <c r="D24" s="94" t="s">
        <v>124</v>
      </c>
      <c r="E24" s="108" t="s">
        <v>61</v>
      </c>
      <c r="F24" s="226">
        <v>11232090.33</v>
      </c>
      <c r="G24" s="50" t="s">
        <v>114</v>
      </c>
      <c r="H24" s="11">
        <v>205765.87</v>
      </c>
      <c r="I24" s="101">
        <v>62.5</v>
      </c>
      <c r="J24" s="11">
        <f t="shared" ref="J24:J31" si="2">F24/I24</f>
        <v>179713.44528000001</v>
      </c>
      <c r="K24" s="11">
        <f t="shared" ref="K24:K31" si="3">J24-H24</f>
        <v>-26052.424719999981</v>
      </c>
      <c r="L24" s="100"/>
      <c r="M24" s="99"/>
    </row>
    <row r="25" spans="1:13" x14ac:dyDescent="0.35">
      <c r="A25" s="1"/>
      <c r="B25" s="32"/>
      <c r="C25" s="107"/>
      <c r="D25" s="94" t="s">
        <v>125</v>
      </c>
      <c r="E25" s="108" t="s">
        <v>61</v>
      </c>
      <c r="F25" s="226">
        <v>346478.82</v>
      </c>
      <c r="G25" s="50" t="s">
        <v>114</v>
      </c>
      <c r="H25" s="11">
        <v>7352.27</v>
      </c>
      <c r="I25" s="101">
        <v>45</v>
      </c>
      <c r="J25" s="11">
        <f t="shared" si="2"/>
        <v>7699.5293333333339</v>
      </c>
      <c r="K25" s="11">
        <f t="shared" si="3"/>
        <v>347.25933333333342</v>
      </c>
      <c r="L25" s="100"/>
      <c r="M25" s="99"/>
    </row>
    <row r="26" spans="1:13" x14ac:dyDescent="0.35">
      <c r="A26" s="1"/>
      <c r="B26" s="32"/>
      <c r="C26" s="107"/>
      <c r="D26" s="94" t="s">
        <v>126</v>
      </c>
      <c r="E26" s="108" t="s">
        <v>61</v>
      </c>
      <c r="F26" s="226">
        <v>1285716.56</v>
      </c>
      <c r="G26" s="50" t="s">
        <v>114</v>
      </c>
      <c r="H26" s="11">
        <v>33112.370000000003</v>
      </c>
      <c r="I26" s="101">
        <v>15</v>
      </c>
      <c r="J26" s="11">
        <f t="shared" si="2"/>
        <v>85714.437333333335</v>
      </c>
      <c r="K26" s="11">
        <f t="shared" si="3"/>
        <v>52602.067333333332</v>
      </c>
      <c r="L26" s="100"/>
      <c r="M26" s="99"/>
    </row>
    <row r="27" spans="1:13" x14ac:dyDescent="0.35">
      <c r="A27" s="1"/>
      <c r="B27" s="32"/>
      <c r="C27" s="107"/>
      <c r="D27" s="94" t="s">
        <v>127</v>
      </c>
      <c r="E27" s="108" t="s">
        <v>61</v>
      </c>
      <c r="F27" s="226">
        <v>6830</v>
      </c>
      <c r="G27" s="50" t="s">
        <v>114</v>
      </c>
      <c r="H27" s="11">
        <v>273.24</v>
      </c>
      <c r="I27" s="101">
        <v>20</v>
      </c>
      <c r="J27" s="11">
        <f t="shared" si="2"/>
        <v>341.5</v>
      </c>
      <c r="K27" s="11">
        <f t="shared" si="3"/>
        <v>68.259999999999991</v>
      </c>
      <c r="L27" s="100"/>
      <c r="M27" s="99"/>
    </row>
    <row r="28" spans="1:13" x14ac:dyDescent="0.35">
      <c r="A28" s="1"/>
      <c r="B28" s="32"/>
      <c r="C28" s="107"/>
      <c r="D28" s="94" t="s">
        <v>128</v>
      </c>
      <c r="E28" s="108" t="s">
        <v>61</v>
      </c>
      <c r="F28" s="226">
        <v>25977.599999999999</v>
      </c>
      <c r="G28" s="50">
        <v>20</v>
      </c>
      <c r="H28" s="11">
        <v>668.61</v>
      </c>
      <c r="I28" s="101">
        <v>37.5</v>
      </c>
      <c r="J28" s="11">
        <f t="shared" si="2"/>
        <v>692.73599999999999</v>
      </c>
      <c r="K28" s="11">
        <f t="shared" si="3"/>
        <v>24.125999999999976</v>
      </c>
      <c r="L28" s="100"/>
      <c r="M28" s="99"/>
    </row>
    <row r="29" spans="1:13" x14ac:dyDescent="0.35">
      <c r="A29" s="1"/>
      <c r="B29" s="32"/>
      <c r="C29" s="107"/>
      <c r="D29" s="94" t="s">
        <v>129</v>
      </c>
      <c r="E29" s="108" t="s">
        <v>61</v>
      </c>
      <c r="F29" s="226">
        <v>672864.5</v>
      </c>
      <c r="G29" s="50" t="s">
        <v>114</v>
      </c>
      <c r="H29" s="11">
        <v>16696.509999999998</v>
      </c>
      <c r="I29" s="101">
        <v>40</v>
      </c>
      <c r="J29" s="11">
        <f t="shared" si="2"/>
        <v>16821.612499999999</v>
      </c>
      <c r="K29" s="11">
        <f t="shared" si="3"/>
        <v>125.10250000000087</v>
      </c>
      <c r="L29" s="100"/>
      <c r="M29" s="99"/>
    </row>
    <row r="30" spans="1:13" x14ac:dyDescent="0.35">
      <c r="A30" s="1"/>
      <c r="B30" s="32"/>
      <c r="C30" s="107"/>
      <c r="D30" s="94" t="s">
        <v>130</v>
      </c>
      <c r="E30" s="108" t="s">
        <v>61</v>
      </c>
      <c r="F30" s="226">
        <v>4544459.4800000004</v>
      </c>
      <c r="G30" s="50" t="s">
        <v>114</v>
      </c>
      <c r="H30" s="11">
        <v>113611.56</v>
      </c>
      <c r="I30" s="101">
        <v>45</v>
      </c>
      <c r="J30" s="11">
        <f t="shared" si="2"/>
        <v>100987.98844444446</v>
      </c>
      <c r="K30" s="11">
        <f t="shared" si="3"/>
        <v>-12623.571555555536</v>
      </c>
      <c r="L30" s="100"/>
      <c r="M30" s="99"/>
    </row>
    <row r="31" spans="1:13" x14ac:dyDescent="0.35">
      <c r="A31" s="1"/>
      <c r="B31" s="32"/>
      <c r="C31" s="107"/>
      <c r="D31" s="94" t="s">
        <v>193</v>
      </c>
      <c r="E31" s="108" t="s">
        <v>61</v>
      </c>
      <c r="F31" s="226">
        <v>113318.2</v>
      </c>
      <c r="G31" s="50" t="s">
        <v>114</v>
      </c>
      <c r="H31" s="11">
        <v>2596.88</v>
      </c>
      <c r="I31" s="101">
        <v>15</v>
      </c>
      <c r="J31" s="11">
        <f t="shared" si="2"/>
        <v>7554.5466666666662</v>
      </c>
      <c r="K31" s="11">
        <f t="shared" si="3"/>
        <v>4957.6666666666661</v>
      </c>
      <c r="L31" s="100"/>
      <c r="M31" s="99"/>
    </row>
    <row r="32" spans="1:13" x14ac:dyDescent="0.35">
      <c r="A32" s="1"/>
      <c r="B32" s="32"/>
      <c r="C32" s="107"/>
      <c r="D32" s="1"/>
      <c r="E32" s="108"/>
      <c r="F32" s="94"/>
      <c r="G32" s="109"/>
      <c r="H32" s="1"/>
      <c r="I32" s="109"/>
      <c r="J32" s="1"/>
      <c r="K32" s="11"/>
      <c r="L32" s="100"/>
      <c r="M32" s="99"/>
    </row>
    <row r="33" spans="1:14" x14ac:dyDescent="0.35">
      <c r="A33" s="1"/>
      <c r="B33" s="32"/>
      <c r="C33" s="107" t="s">
        <v>131</v>
      </c>
      <c r="D33" s="1"/>
      <c r="E33" s="108"/>
      <c r="F33" s="94"/>
      <c r="G33" s="101"/>
      <c r="H33" s="1"/>
      <c r="I33" s="110"/>
      <c r="J33" s="1"/>
      <c r="K33" s="1"/>
      <c r="L33" s="100"/>
      <c r="M33" s="99"/>
    </row>
    <row r="34" spans="1:14" x14ac:dyDescent="0.35">
      <c r="A34" s="1"/>
      <c r="B34" s="32"/>
      <c r="C34" s="94"/>
      <c r="D34" s="1" t="s">
        <v>132</v>
      </c>
      <c r="E34" s="108" t="s">
        <v>192</v>
      </c>
      <c r="F34" s="94">
        <v>114123.7</v>
      </c>
      <c r="G34" s="50" t="s">
        <v>114</v>
      </c>
      <c r="H34" s="4">
        <v>15971.38</v>
      </c>
      <c r="I34" s="110">
        <v>7</v>
      </c>
      <c r="J34" s="4">
        <f>F34/I34</f>
        <v>16303.385714285714</v>
      </c>
      <c r="K34" s="4">
        <f>J34-H34</f>
        <v>332.00571428571493</v>
      </c>
      <c r="L34" s="100"/>
      <c r="M34" s="99"/>
    </row>
    <row r="35" spans="1:14" x14ac:dyDescent="0.35">
      <c r="A35" s="1"/>
      <c r="B35" s="32"/>
      <c r="C35" s="102"/>
      <c r="D35" s="102"/>
      <c r="E35" s="102"/>
      <c r="F35" s="94"/>
      <c r="G35" s="109"/>
      <c r="H35" s="4"/>
      <c r="I35" s="109"/>
      <c r="J35" s="1"/>
      <c r="K35" s="1"/>
      <c r="L35" s="100"/>
      <c r="M35" s="99"/>
    </row>
    <row r="36" spans="1:14" x14ac:dyDescent="0.35">
      <c r="A36" s="1"/>
      <c r="B36" s="32"/>
      <c r="C36" s="107" t="s">
        <v>133</v>
      </c>
      <c r="D36" s="94"/>
      <c r="E36" s="108"/>
      <c r="F36" s="94"/>
      <c r="G36" s="111"/>
      <c r="H36" s="4"/>
      <c r="I36" s="101"/>
      <c r="J36" s="1"/>
      <c r="K36" s="1"/>
      <c r="L36" s="100"/>
      <c r="M36" s="99"/>
    </row>
    <row r="37" spans="1:14" x14ac:dyDescent="0.35">
      <c r="A37" s="1"/>
      <c r="B37" s="32"/>
      <c r="C37" s="107"/>
      <c r="D37" s="94" t="s">
        <v>330</v>
      </c>
      <c r="E37" s="108" t="s">
        <v>192</v>
      </c>
      <c r="F37" s="94">
        <v>9114887.4499999993</v>
      </c>
      <c r="G37" s="50" t="s">
        <v>114</v>
      </c>
      <c r="H37" s="4">
        <v>214589.98</v>
      </c>
      <c r="I37" s="110">
        <v>37.5</v>
      </c>
      <c r="J37" s="4">
        <f>F37/I37</f>
        <v>243063.66533333331</v>
      </c>
      <c r="K37" s="4">
        <f>J37-H37</f>
        <v>28473.685333333298</v>
      </c>
      <c r="L37" s="100"/>
      <c r="M37" s="99"/>
    </row>
    <row r="38" spans="1:14" x14ac:dyDescent="0.35">
      <c r="A38" s="1"/>
      <c r="B38" s="32"/>
      <c r="C38" s="107"/>
      <c r="D38" s="1" t="s">
        <v>270</v>
      </c>
      <c r="E38" s="108" t="s">
        <v>192</v>
      </c>
      <c r="F38" s="94">
        <v>68301.47</v>
      </c>
      <c r="G38" s="50" t="s">
        <v>114</v>
      </c>
      <c r="H38" s="4">
        <v>2153.44</v>
      </c>
      <c r="I38" s="110">
        <v>27.5</v>
      </c>
      <c r="J38" s="4">
        <f>F38/I38</f>
        <v>2483.6898181818183</v>
      </c>
      <c r="K38" s="4">
        <f>J38-H38</f>
        <v>330.24981818181823</v>
      </c>
      <c r="L38" s="100"/>
      <c r="M38" s="99"/>
    </row>
    <row r="39" spans="1:14" x14ac:dyDescent="0.35">
      <c r="A39" s="1"/>
      <c r="B39" s="32"/>
      <c r="C39" s="94"/>
      <c r="D39" s="94"/>
      <c r="E39" s="94"/>
      <c r="F39" s="227"/>
      <c r="G39" s="1"/>
      <c r="H39" s="112"/>
      <c r="I39" s="1"/>
      <c r="J39" s="101"/>
      <c r="K39" s="1"/>
      <c r="L39" s="100"/>
      <c r="M39" s="99"/>
    </row>
    <row r="40" spans="1:14" x14ac:dyDescent="0.35">
      <c r="A40" s="1"/>
      <c r="B40" s="32"/>
      <c r="C40" s="113" t="s">
        <v>282</v>
      </c>
      <c r="D40" s="1"/>
      <c r="E40" s="1"/>
      <c r="F40" s="113">
        <f>SUM(F11:F39)</f>
        <v>29276699.02</v>
      </c>
      <c r="G40" s="114"/>
      <c r="H40" s="115">
        <f>SUM(H11:H39)</f>
        <v>682247.85</v>
      </c>
      <c r="I40" s="115"/>
      <c r="J40" s="115">
        <f>SUM(J11:J39)</f>
        <v>758729.16282199137</v>
      </c>
      <c r="K40" s="115">
        <f>SUM(K11:K39)</f>
        <v>76481.312821991349</v>
      </c>
      <c r="L40" s="100"/>
      <c r="M40" s="99"/>
      <c r="N40" s="477" t="str">
        <f>SAO!F46</f>
        <v>H</v>
      </c>
    </row>
    <row r="41" spans="1:14" x14ac:dyDescent="0.35">
      <c r="A41" s="1"/>
      <c r="B41" s="32"/>
      <c r="C41" s="113"/>
      <c r="D41" s="1"/>
      <c r="E41" s="1"/>
      <c r="F41" s="113"/>
      <c r="G41" s="114"/>
      <c r="H41" s="115"/>
      <c r="I41" s="115"/>
      <c r="J41" s="115"/>
      <c r="K41" s="115"/>
      <c r="L41" s="100"/>
      <c r="M41" s="99"/>
      <c r="N41" s="9"/>
    </row>
    <row r="42" spans="1:14" x14ac:dyDescent="0.35">
      <c r="A42" s="1"/>
      <c r="B42" s="32"/>
      <c r="C42" s="113"/>
      <c r="D42" s="1"/>
      <c r="E42" s="1"/>
      <c r="F42" s="113"/>
      <c r="G42" s="114"/>
      <c r="H42" s="115"/>
      <c r="I42" s="115"/>
      <c r="J42" s="115"/>
      <c r="K42" s="115"/>
      <c r="L42" s="100"/>
      <c r="M42" s="99"/>
      <c r="N42" s="9"/>
    </row>
    <row r="43" spans="1:14" x14ac:dyDescent="0.35">
      <c r="A43" s="1"/>
      <c r="B43" s="32"/>
      <c r="C43" s="113"/>
      <c r="D43" s="1"/>
      <c r="E43" s="1"/>
      <c r="F43" s="113"/>
      <c r="G43" s="114"/>
      <c r="H43" s="115"/>
      <c r="I43" s="115"/>
      <c r="J43" s="115"/>
      <c r="K43" s="115"/>
      <c r="L43" s="100"/>
      <c r="M43" s="99"/>
      <c r="N43" s="9"/>
    </row>
    <row r="44" spans="1:14" x14ac:dyDescent="0.35">
      <c r="A44" s="1"/>
      <c r="B44" s="63"/>
      <c r="C44" s="116"/>
      <c r="D44" s="116"/>
      <c r="E44" s="116"/>
      <c r="F44" s="116"/>
      <c r="G44" s="116"/>
      <c r="H44" s="117"/>
      <c r="I44" s="116"/>
      <c r="J44" s="117"/>
      <c r="K44" s="116"/>
      <c r="L44" s="118"/>
      <c r="M44" s="119"/>
    </row>
    <row r="45" spans="1:14" x14ac:dyDescent="0.35">
      <c r="A45" s="1"/>
      <c r="B45" s="1"/>
      <c r="C45" s="94"/>
      <c r="D45" s="94"/>
      <c r="E45" s="94"/>
      <c r="F45" s="94"/>
      <c r="G45" s="94"/>
      <c r="H45" s="13"/>
      <c r="I45" s="94"/>
      <c r="J45" s="13"/>
      <c r="K45" s="94"/>
      <c r="L45" s="94"/>
      <c r="M45" s="94"/>
    </row>
    <row r="46" spans="1:14" x14ac:dyDescent="0.35">
      <c r="D46" s="94" t="s">
        <v>134</v>
      </c>
    </row>
    <row r="47" spans="1:14" x14ac:dyDescent="0.35">
      <c r="D47" s="94"/>
    </row>
    <row r="48" spans="1:14" x14ac:dyDescent="0.35">
      <c r="D48" s="1"/>
    </row>
    <row r="49" spans="8:14" x14ac:dyDescent="0.35">
      <c r="H49" s="479">
        <f>H40</f>
        <v>682247.85</v>
      </c>
    </row>
    <row r="50" spans="8:14" x14ac:dyDescent="0.35">
      <c r="H50" s="352">
        <f>SAO!D45</f>
        <v>682966</v>
      </c>
      <c r="I50">
        <v>2024</v>
      </c>
      <c r="J50" s="219" t="s">
        <v>283</v>
      </c>
    </row>
    <row r="51" spans="8:14" x14ac:dyDescent="0.35">
      <c r="H51" s="478">
        <f>H50-682247.85</f>
        <v>718.15000000002328</v>
      </c>
      <c r="N51" s="478" t="str">
        <f>SAO!F45</f>
        <v>G</v>
      </c>
    </row>
  </sheetData>
  <mergeCells count="4">
    <mergeCell ref="C3:K3"/>
    <mergeCell ref="C4:K4"/>
    <mergeCell ref="C5:K5"/>
    <mergeCell ref="E6:H6"/>
  </mergeCells>
  <pageMargins left="0.7" right="0.7" top="0.75" bottom="0.75" header="0.3" footer="0.3"/>
  <pageSetup scale="76"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7</vt:i4>
      </vt:variant>
    </vt:vector>
  </HeadingPairs>
  <TitlesOfParts>
    <vt:vector size="20" baseType="lpstr">
      <vt:lpstr>SAO</vt:lpstr>
      <vt:lpstr>Revenue Requirements</vt:lpstr>
      <vt:lpstr>References</vt:lpstr>
      <vt:lpstr>Water Loss</vt:lpstr>
      <vt:lpstr>Medical</vt:lpstr>
      <vt:lpstr>Wages</vt:lpstr>
      <vt:lpstr>Capital</vt:lpstr>
      <vt:lpstr>Debt Service</vt:lpstr>
      <vt:lpstr>Depreciation</vt:lpstr>
      <vt:lpstr>Rates</vt:lpstr>
      <vt:lpstr>Bills</vt:lpstr>
      <vt:lpstr>ExBA</vt:lpstr>
      <vt:lpstr>PrBA</vt:lpstr>
      <vt:lpstr>Bills!Print_Area</vt:lpstr>
      <vt:lpstr>'Debt Service'!Print_Area</vt:lpstr>
      <vt:lpstr>ExBA!Print_Area</vt:lpstr>
      <vt:lpstr>PrBA!Print_Area</vt:lpstr>
      <vt:lpstr>Rates!Print_Area</vt:lpstr>
      <vt:lpstr>'Revenue Requirements'!Print_Area</vt:lpstr>
      <vt:lpstr>SAO!Print_Area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jsreid312@roadrunner.com</dc:creator>
  <cp:lastModifiedBy>Janet Reid</cp:lastModifiedBy>
  <cp:lastPrinted>2022-06-27T18:39:08Z</cp:lastPrinted>
  <dcterms:created xsi:type="dcterms:W3CDTF">2016-05-18T14:12:06Z</dcterms:created>
  <dcterms:modified xsi:type="dcterms:W3CDTF">2025-10-26T17:10:53Z</dcterms:modified>
</cp:coreProperties>
</file>