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Northeast Woodford/3rd Data Request/"/>
    </mc:Choice>
  </mc:AlternateContent>
  <xr:revisionPtr revIDLastSave="22" documentId="8_{2FBAE382-B727-4600-A4A9-DB4B0E351051}" xr6:coauthVersionLast="47" xr6:coauthVersionMax="47" xr10:uidLastSave="{0748F40E-6B31-42F8-B6B7-2DF6C28DA7A7}"/>
  <bookViews>
    <workbookView xWindow="-120" yWindow="-120" windowWidth="24240" windowHeight="13020" activeTab="2" xr2:uid="{5E2F22B3-D492-4FC2-96D0-CB16737D2789}"/>
  </bookViews>
  <sheets>
    <sheet name="Ex BA" sheetId="1" r:id="rId1"/>
    <sheet name="Prop BA - Original" sheetId="2" r:id="rId2"/>
    <sheet name="Prop BA - Revise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3" l="1"/>
  <c r="D40" i="3"/>
  <c r="D43" i="3" s="1"/>
  <c r="F8" i="3" s="1"/>
  <c r="C39" i="3"/>
  <c r="G37" i="3" s="1"/>
  <c r="F38" i="3"/>
  <c r="F37" i="3"/>
  <c r="F39" i="3" s="1"/>
  <c r="C43" i="3"/>
  <c r="C31" i="3"/>
  <c r="C30" i="3"/>
  <c r="C29" i="3"/>
  <c r="T26" i="3"/>
  <c r="R26" i="3"/>
  <c r="Q26" i="3"/>
  <c r="P26" i="3"/>
  <c r="E26" i="3"/>
  <c r="D26" i="3"/>
  <c r="D29" i="3" s="1"/>
  <c r="S25" i="3"/>
  <c r="C25" i="3"/>
  <c r="J21" i="3" s="1"/>
  <c r="S24" i="3"/>
  <c r="S23" i="3"/>
  <c r="S22" i="3"/>
  <c r="F22" i="3"/>
  <c r="K22" i="3" s="1"/>
  <c r="H21" i="3"/>
  <c r="H25" i="3" s="1"/>
  <c r="G21" i="3"/>
  <c r="G25" i="3" s="1"/>
  <c r="F21" i="3"/>
  <c r="F23" i="3" s="1"/>
  <c r="C44" i="2"/>
  <c r="C39" i="2"/>
  <c r="C45" i="2" s="1"/>
  <c r="F38" i="2"/>
  <c r="D40" i="2"/>
  <c r="D44" i="2" s="1"/>
  <c r="F8" i="2" s="1"/>
  <c r="J37" i="2"/>
  <c r="H37" i="2"/>
  <c r="G37" i="2"/>
  <c r="F37" i="2"/>
  <c r="C31" i="2"/>
  <c r="C30" i="2"/>
  <c r="H29" i="2"/>
  <c r="C29" i="2"/>
  <c r="T26" i="2"/>
  <c r="R26" i="2"/>
  <c r="Q26" i="2"/>
  <c r="P26" i="2"/>
  <c r="S25" i="2"/>
  <c r="C25" i="2"/>
  <c r="C32" i="2" s="1"/>
  <c r="S24" i="2"/>
  <c r="G24" i="2"/>
  <c r="F24" i="2"/>
  <c r="H24" i="2" s="1"/>
  <c r="S23" i="2"/>
  <c r="S22" i="2"/>
  <c r="F22" i="2"/>
  <c r="D26" i="2"/>
  <c r="D29" i="2" s="1"/>
  <c r="F7" i="2" s="1"/>
  <c r="H21" i="2"/>
  <c r="H39" i="2" s="1"/>
  <c r="H40" i="2" s="1"/>
  <c r="G21" i="2"/>
  <c r="G39" i="2" s="1"/>
  <c r="F21" i="2"/>
  <c r="F39" i="2" s="1"/>
  <c r="C45" i="1"/>
  <c r="E41" i="1"/>
  <c r="D41" i="1"/>
  <c r="D45" i="1" s="1"/>
  <c r="C40" i="1"/>
  <c r="C46" i="1" s="1"/>
  <c r="F39" i="1"/>
  <c r="H39" i="1" s="1"/>
  <c r="G38" i="1"/>
  <c r="F38" i="1"/>
  <c r="F40" i="1" s="1"/>
  <c r="C32" i="1"/>
  <c r="C31" i="1"/>
  <c r="C30" i="1"/>
  <c r="R27" i="1"/>
  <c r="P27" i="1"/>
  <c r="O27" i="1"/>
  <c r="N27" i="1"/>
  <c r="F27" i="1"/>
  <c r="D27" i="1"/>
  <c r="D30" i="1" s="1"/>
  <c r="Q26" i="1"/>
  <c r="I26" i="1"/>
  <c r="H26" i="1"/>
  <c r="G26" i="1"/>
  <c r="C26" i="1"/>
  <c r="J22" i="1" s="1"/>
  <c r="Q25" i="1"/>
  <c r="Q24" i="1"/>
  <c r="Q23" i="1"/>
  <c r="G23" i="1"/>
  <c r="K23" i="1" s="1"/>
  <c r="I22" i="1"/>
  <c r="H22" i="1"/>
  <c r="H25" i="1" s="1"/>
  <c r="G22" i="1"/>
  <c r="G25" i="1" s="1"/>
  <c r="I17" i="1"/>
  <c r="I11" i="1" s="1"/>
  <c r="Q27" i="1" l="1"/>
  <c r="G24" i="1"/>
  <c r="J21" i="2"/>
  <c r="F25" i="2"/>
  <c r="F23" i="2"/>
  <c r="S26" i="2"/>
  <c r="G25" i="2"/>
  <c r="F40" i="3"/>
  <c r="E43" i="3" s="1"/>
  <c r="G8" i="1"/>
  <c r="H45" i="1"/>
  <c r="C32" i="3"/>
  <c r="S26" i="3"/>
  <c r="F24" i="3"/>
  <c r="G39" i="3"/>
  <c r="G40" i="3" s="1"/>
  <c r="E44" i="3" s="1"/>
  <c r="H38" i="3"/>
  <c r="G23" i="3"/>
  <c r="H29" i="3"/>
  <c r="F7" i="3"/>
  <c r="F10" i="3" s="1"/>
  <c r="H24" i="3"/>
  <c r="H26" i="3" s="1"/>
  <c r="E31" i="3" s="1"/>
  <c r="H31" i="3" s="1"/>
  <c r="G24" i="3"/>
  <c r="H43" i="3"/>
  <c r="C44" i="3"/>
  <c r="F25" i="3"/>
  <c r="K24" i="2"/>
  <c r="G40" i="2"/>
  <c r="K38" i="2"/>
  <c r="F40" i="2"/>
  <c r="E44" i="2" s="1"/>
  <c r="F10" i="2"/>
  <c r="K22" i="2"/>
  <c r="F26" i="2"/>
  <c r="E29" i="2" s="1"/>
  <c r="J39" i="2"/>
  <c r="H44" i="2"/>
  <c r="H25" i="2"/>
  <c r="E26" i="2"/>
  <c r="E40" i="2"/>
  <c r="G23" i="2"/>
  <c r="G26" i="2" s="1"/>
  <c r="E30" i="2" s="1"/>
  <c r="H30" i="2" s="1"/>
  <c r="I25" i="1"/>
  <c r="I27" i="1" s="1"/>
  <c r="F32" i="1" s="1"/>
  <c r="I32" i="1" s="1"/>
  <c r="I30" i="1"/>
  <c r="G7" i="1"/>
  <c r="G27" i="1"/>
  <c r="F30" i="1" s="1"/>
  <c r="G40" i="1"/>
  <c r="H40" i="1" s="1"/>
  <c r="H41" i="1" s="1"/>
  <c r="F41" i="1"/>
  <c r="E45" i="1" s="1"/>
  <c r="H24" i="1"/>
  <c r="H27" i="1" s="1"/>
  <c r="F31" i="1" s="1"/>
  <c r="I31" i="1" s="1"/>
  <c r="J26" i="1"/>
  <c r="J27" i="1" s="1"/>
  <c r="F33" i="1" s="1"/>
  <c r="I33" i="1" s="1"/>
  <c r="C33" i="1"/>
  <c r="F34" i="1" l="1"/>
  <c r="H7" i="1" s="1"/>
  <c r="G10" i="1"/>
  <c r="K26" i="1"/>
  <c r="K24" i="1"/>
  <c r="S24" i="1" s="1"/>
  <c r="K24" i="3"/>
  <c r="H39" i="3"/>
  <c r="H40" i="3" s="1"/>
  <c r="J25" i="3"/>
  <c r="G26" i="3"/>
  <c r="E30" i="3" s="1"/>
  <c r="H30" i="3" s="1"/>
  <c r="F26" i="3"/>
  <c r="E29" i="3" s="1"/>
  <c r="K23" i="3"/>
  <c r="J25" i="2"/>
  <c r="J40" i="2"/>
  <c r="E45" i="2"/>
  <c r="H45" i="2" s="1"/>
  <c r="H46" i="2" s="1"/>
  <c r="H8" i="2" s="1"/>
  <c r="H26" i="2"/>
  <c r="E31" i="2" s="1"/>
  <c r="H31" i="2" s="1"/>
  <c r="K39" i="2"/>
  <c r="K40" i="2" s="1"/>
  <c r="K23" i="2"/>
  <c r="U23" i="2" s="1"/>
  <c r="G41" i="1"/>
  <c r="E46" i="1"/>
  <c r="H46" i="1" s="1"/>
  <c r="H47" i="1" s="1"/>
  <c r="I8" i="1" s="1"/>
  <c r="I34" i="1"/>
  <c r="I7" i="1" s="1"/>
  <c r="E47" i="1"/>
  <c r="H8" i="1" s="1"/>
  <c r="H10" i="1" s="1"/>
  <c r="K25" i="1"/>
  <c r="K27" i="1" s="1"/>
  <c r="I10" i="1" l="1"/>
  <c r="I12" i="1" s="1"/>
  <c r="U23" i="3"/>
  <c r="J26" i="3"/>
  <c r="E32" i="3"/>
  <c r="H32" i="3" s="1"/>
  <c r="H33" i="3" s="1"/>
  <c r="H7" i="3" s="1"/>
  <c r="E33" i="3"/>
  <c r="H44" i="3"/>
  <c r="H45" i="3" s="1"/>
  <c r="H8" i="3" s="1"/>
  <c r="E45" i="3"/>
  <c r="G8" i="3" s="1"/>
  <c r="K25" i="3"/>
  <c r="K26" i="3" s="1"/>
  <c r="J26" i="2"/>
  <c r="E32" i="2"/>
  <c r="H32" i="2" s="1"/>
  <c r="H33" i="2" s="1"/>
  <c r="H7" i="2" s="1"/>
  <c r="H10" i="2" s="1"/>
  <c r="E46" i="2"/>
  <c r="G8" i="2" s="1"/>
  <c r="K25" i="2"/>
  <c r="K26" i="2" s="1"/>
  <c r="H10" i="3" l="1"/>
  <c r="H14" i="3"/>
  <c r="H16" i="3" s="1"/>
  <c r="H12" i="3"/>
  <c r="N33" i="3"/>
  <c r="G7" i="3"/>
  <c r="G10" i="3" s="1"/>
  <c r="H14" i="2"/>
  <c r="H16" i="2" s="1"/>
  <c r="H12" i="2"/>
  <c r="E33" i="2"/>
  <c r="G7" i="2" l="1"/>
  <c r="G10" i="2" s="1"/>
  <c r="N33" i="2"/>
</calcChain>
</file>

<file path=xl/sharedStrings.xml><?xml version="1.0" encoding="utf-8"?>
<sst xmlns="http://schemas.openxmlformats.org/spreadsheetml/2006/main" count="223" uniqueCount="47">
  <si>
    <t>BILLING ANALYSIS - 2024 USAGE &amp;  EXISTING WATER RATES</t>
  </si>
  <si>
    <t xml:space="preserve">  SUMMARY  </t>
  </si>
  <si>
    <t>Meter Size</t>
  </si>
  <si>
    <t>5/8-Inch x 3/4_Inch Meter</t>
  </si>
  <si>
    <t>2-Inch Meter</t>
  </si>
  <si>
    <t>Less Adjustments - Residential</t>
  </si>
  <si>
    <t>NET RETAIL</t>
  </si>
  <si>
    <t>FROM PSC ANNUAL REPORT</t>
  </si>
  <si>
    <t>Total adjustment</t>
  </si>
  <si>
    <t>Meter Size:</t>
  </si>
  <si>
    <t>5/8-Inch x 3/4-Inch Meter</t>
  </si>
  <si>
    <t>First</t>
  </si>
  <si>
    <t>Next</t>
  </si>
  <si>
    <t>Over</t>
  </si>
  <si>
    <t>Usage</t>
  </si>
  <si>
    <t>Bills</t>
  </si>
  <si>
    <t>Gallons</t>
  </si>
  <si>
    <t>TOTALS</t>
  </si>
  <si>
    <t>Northeast Woodford County Water District</t>
  </si>
  <si>
    <t>My Billing Analysis</t>
  </si>
  <si>
    <t># of Bills</t>
  </si>
  <si>
    <t>Gallons Sold</t>
  </si>
  <si>
    <t>Revenue</t>
  </si>
  <si>
    <t>2022 Annual Report</t>
  </si>
  <si>
    <t>Less:</t>
  </si>
  <si>
    <t>Late Fees</t>
  </si>
  <si>
    <t>Other Operating Revenues</t>
  </si>
  <si>
    <t>Revenue Water Sales - Annual Report</t>
  </si>
  <si>
    <t>Commercial</t>
  </si>
  <si>
    <t>Other</t>
  </si>
  <si>
    <t>Residential</t>
  </si>
  <si>
    <t>Total</t>
  </si>
  <si>
    <t>Totals</t>
  </si>
  <si>
    <t>REVENUE BY RATE INCREMENT</t>
  </si>
  <si>
    <t xml:space="preserve">Rate </t>
  </si>
  <si>
    <t>Min. Bill</t>
  </si>
  <si>
    <t>per Gallon</t>
  </si>
  <si>
    <t>TOTAL</t>
  </si>
  <si>
    <t>BILLING ANALYSIS - 2024 USAGE &amp;  PROPOSED WATER RATES</t>
  </si>
  <si>
    <t>Avg Cust Usage</t>
  </si>
  <si>
    <t>by Rate Block</t>
  </si>
  <si>
    <t>for Cust. Notice</t>
  </si>
  <si>
    <t>Less:  Normalized Revenue Water Sales</t>
  </si>
  <si>
    <t>Revenue Water Sales - Requested Rates</t>
  </si>
  <si>
    <t>Less: Revenue Requirement Calculation</t>
  </si>
  <si>
    <t>Difference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</si>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</sst>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0_);_(&quot;$&quot;* \(#,##0.00000\);_(&quot;$&quot;* &quot;-&quot;??_);_(@_)"/>
  </numFmts>
  <fonts count="12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ptos Narrow"/>
      <family val="2"/>
      <scheme val="minor"/>
    </font>
    <font>
      <sz val="14"/>
      <name val="Arial"/>
      <family val="2"/>
    </font>
    <font>
      <b/>
      <sz val="14"/>
      <name val="Aptos Narrow"/>
      <family val="2"/>
      <scheme val="minor"/>
    </font>
    <font>
      <b/>
      <sz val="12"/>
      <name val="Arial"/>
      <family val="2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37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37" fontId="4" fillId="0" borderId="0" xfId="0" applyNumberFormat="1" applyFont="1"/>
    <xf numFmtId="37" fontId="2" fillId="0" borderId="0" xfId="0" applyNumberFormat="1" applyFont="1" applyAlignment="1">
      <alignment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/>
    <xf numFmtId="164" fontId="2" fillId="0" borderId="0" xfId="0" applyNumberFormat="1" applyFont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39" fontId="7" fillId="0" borderId="0" xfId="0" applyNumberFormat="1" applyFont="1"/>
    <xf numFmtId="164" fontId="2" fillId="0" borderId="2" xfId="1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4" fontId="2" fillId="0" borderId="0" xfId="1" applyNumberFormat="1" applyFont="1" applyAlignment="1">
      <alignment horizontal="center" vertical="center"/>
    </xf>
    <xf numFmtId="44" fontId="1" fillId="0" borderId="0" xfId="0" applyNumberFormat="1" applyFont="1" applyAlignment="1">
      <alignment horizontal="center"/>
    </xf>
    <xf numFmtId="39" fontId="2" fillId="0" borderId="2" xfId="1" applyNumberFormat="1" applyFont="1" applyBorder="1" applyAlignment="1">
      <alignment vertical="center"/>
    </xf>
    <xf numFmtId="37" fontId="2" fillId="0" borderId="3" xfId="1" applyNumberFormat="1" applyFont="1" applyBorder="1" applyAlignment="1">
      <alignment vertical="center"/>
    </xf>
    <xf numFmtId="37" fontId="2" fillId="0" borderId="0" xfId="1" applyNumberFormat="1" applyFont="1" applyAlignment="1">
      <alignment vertical="center"/>
    </xf>
    <xf numFmtId="37" fontId="2" fillId="0" borderId="0" xfId="1" applyNumberFormat="1" applyFont="1" applyBorder="1" applyAlignment="1">
      <alignment vertical="center"/>
    </xf>
    <xf numFmtId="37" fontId="2" fillId="0" borderId="2" xfId="1" applyNumberFormat="1" applyFont="1" applyBorder="1" applyAlignment="1">
      <alignment vertical="center"/>
    </xf>
    <xf numFmtId="42" fontId="2" fillId="0" borderId="3" xfId="1" applyNumberFormat="1" applyFont="1" applyBorder="1" applyAlignment="1">
      <alignment vertical="center"/>
    </xf>
    <xf numFmtId="10" fontId="2" fillId="0" borderId="0" xfId="3" applyNumberFormat="1" applyFont="1"/>
    <xf numFmtId="165" fontId="2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164" fontId="2" fillId="0" borderId="2" xfId="0" applyNumberFormat="1" applyFont="1" applyBorder="1" applyAlignment="1">
      <alignment horizontal="center" vertical="center"/>
    </xf>
    <xf numFmtId="42" fontId="2" fillId="0" borderId="0" xfId="1" applyNumberFormat="1" applyFont="1" applyBorder="1" applyAlignment="1">
      <alignment vertical="center"/>
    </xf>
    <xf numFmtId="39" fontId="2" fillId="0" borderId="0" xfId="0" applyNumberFormat="1" applyFont="1"/>
    <xf numFmtId="164" fontId="2" fillId="0" borderId="0" xfId="1" applyNumberFormat="1" applyFont="1" applyBorder="1" applyAlignment="1">
      <alignment horizontal="center" vertical="center"/>
    </xf>
    <xf numFmtId="39" fontId="2" fillId="0" borderId="0" xfId="0" applyNumberFormat="1" applyFont="1" applyAlignment="1">
      <alignment vertical="center"/>
    </xf>
    <xf numFmtId="164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9" fontId="2" fillId="0" borderId="2" xfId="0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0" borderId="3" xfId="1" applyNumberFormat="1" applyFont="1" applyBorder="1"/>
    <xf numFmtId="39" fontId="2" fillId="0" borderId="3" xfId="0" applyNumberFormat="1" applyFont="1" applyBorder="1"/>
    <xf numFmtId="0" fontId="2" fillId="0" borderId="2" xfId="0" applyFont="1" applyBorder="1"/>
    <xf numFmtId="44" fontId="2" fillId="0" borderId="0" xfId="2" applyFont="1"/>
    <xf numFmtId="166" fontId="2" fillId="0" borderId="0" xfId="2" applyNumberFormat="1" applyFont="1"/>
    <xf numFmtId="39" fontId="2" fillId="0" borderId="0" xfId="2" applyNumberFormat="1" applyFont="1"/>
    <xf numFmtId="44" fontId="2" fillId="0" borderId="0" xfId="0" applyNumberFormat="1" applyFont="1"/>
    <xf numFmtId="164" fontId="2" fillId="0" borderId="2" xfId="0" applyNumberFormat="1" applyFont="1" applyBorder="1"/>
    <xf numFmtId="44" fontId="2" fillId="0" borderId="3" xfId="2" applyFont="1" applyBorder="1"/>
    <xf numFmtId="44" fontId="2" fillId="0" borderId="0" xfId="2" applyFont="1" applyBorder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7" fontId="9" fillId="0" borderId="5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7" fontId="9" fillId="0" borderId="6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37" fontId="11" fillId="0" borderId="7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37" fontId="11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37" fontId="9" fillId="0" borderId="6" xfId="0" applyNumberFormat="1" applyFont="1" applyBorder="1"/>
    <xf numFmtId="37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  <xf numFmtId="44" fontId="8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39" fontId="0" fillId="0" borderId="2" xfId="1" applyNumberFormat="1" applyFont="1" applyBorder="1" applyAlignment="1">
      <alignment vertical="center"/>
    </xf>
    <xf numFmtId="39" fontId="0" fillId="0" borderId="0" xfId="1" applyNumberFormat="1" applyFont="1" applyBorder="1" applyAlignment="1">
      <alignment vertical="center"/>
    </xf>
    <xf numFmtId="37" fontId="0" fillId="0" borderId="3" xfId="1" applyNumberFormat="1" applyFont="1" applyBorder="1" applyAlignment="1">
      <alignment vertical="center"/>
    </xf>
    <xf numFmtId="37" fontId="0" fillId="0" borderId="0" xfId="1" applyNumberFormat="1" applyFont="1" applyAlignment="1">
      <alignment vertical="center"/>
    </xf>
    <xf numFmtId="37" fontId="0" fillId="0" borderId="0" xfId="1" applyNumberFormat="1" applyFont="1" applyBorder="1" applyAlignment="1">
      <alignment vertical="center"/>
    </xf>
    <xf numFmtId="37" fontId="0" fillId="0" borderId="2" xfId="1" applyNumberFormat="1" applyFont="1" applyBorder="1" applyAlignment="1">
      <alignment vertical="center"/>
    </xf>
    <xf numFmtId="0" fontId="0" fillId="0" borderId="0" xfId="0" applyAlignment="1">
      <alignment horizontal="left"/>
    </xf>
    <xf numFmtId="42" fontId="0" fillId="0" borderId="3" xfId="1" applyNumberFormat="1" applyFont="1" applyBorder="1" applyAlignment="1">
      <alignment vertical="center"/>
    </xf>
    <xf numFmtId="42" fontId="0" fillId="0" borderId="0" xfId="1" applyNumberFormat="1" applyFont="1" applyBorder="1" applyAlignment="1">
      <alignment vertical="center"/>
    </xf>
    <xf numFmtId="10" fontId="0" fillId="0" borderId="0" xfId="3" applyNumberFormat="1" applyFont="1"/>
    <xf numFmtId="165" fontId="0" fillId="0" borderId="0" xfId="1" applyNumberFormat="1" applyFont="1" applyAlignment="1">
      <alignment horizontal="center" vertical="center"/>
    </xf>
    <xf numFmtId="164" fontId="0" fillId="0" borderId="0" xfId="1" applyNumberFormat="1" applyFont="1"/>
    <xf numFmtId="0" fontId="0" fillId="0" borderId="0" xfId="0" applyAlignment="1">
      <alignment horizontal="center" vertical="center"/>
    </xf>
    <xf numFmtId="37" fontId="9" fillId="0" borderId="6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7" fontId="0" fillId="0" borderId="0" xfId="0" applyNumberFormat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3" xfId="0" applyNumberFormat="1" applyBorder="1"/>
    <xf numFmtId="164" fontId="0" fillId="0" borderId="3" xfId="1" applyNumberFormat="1" applyFont="1" applyBorder="1"/>
    <xf numFmtId="16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0" xfId="2" applyFont="1"/>
    <xf numFmtId="166" fontId="0" fillId="0" borderId="0" xfId="2" applyNumberFormat="1" applyFont="1"/>
    <xf numFmtId="39" fontId="0" fillId="0" borderId="0" xfId="2" applyNumberFormat="1" applyFont="1"/>
    <xf numFmtId="44" fontId="0" fillId="0" borderId="0" xfId="0" applyNumberFormat="1"/>
    <xf numFmtId="164" fontId="0" fillId="0" borderId="2" xfId="0" applyNumberFormat="1" applyBorder="1"/>
    <xf numFmtId="44" fontId="0" fillId="0" borderId="3" xfId="2" applyFont="1" applyBorder="1"/>
    <xf numFmtId="44" fontId="0" fillId="0" borderId="0" xfId="2" applyFont="1" applyBorder="1"/>
    <xf numFmtId="37" fontId="9" fillId="0" borderId="6" xfId="1" applyNumberFormat="1" applyFont="1" applyBorder="1"/>
    <xf numFmtId="0" fontId="9" fillId="0" borderId="0" xfId="0" applyFont="1"/>
    <xf numFmtId="37" fontId="9" fillId="0" borderId="0" xfId="0" applyNumberFormat="1" applyFont="1"/>
    <xf numFmtId="0" fontId="2" fillId="0" borderId="2" xfId="0" applyFont="1" applyBorder="1" applyAlignment="1"/>
    <xf numFmtId="0" fontId="2" fillId="0" borderId="0" xfId="0" applyFont="1" applyBorder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B165D-825D-4BB9-A32F-9E3474FECCB1}">
  <dimension ref="A1:S48"/>
  <sheetViews>
    <sheetView showGridLines="0" topLeftCell="A29" workbookViewId="0">
      <selection activeCell="B29" sqref="B29:I29"/>
    </sheetView>
  </sheetViews>
  <sheetFormatPr defaultColWidth="19" defaultRowHeight="15" x14ac:dyDescent="0.2"/>
  <cols>
    <col min="1" max="3" width="13.85546875" style="1" customWidth="1"/>
    <col min="4" max="8" width="19" style="1"/>
    <col min="9" max="10" width="19" style="39"/>
    <col min="11" max="11" width="19" style="42"/>
    <col min="12" max="16384" width="19" style="1"/>
  </cols>
  <sheetData>
    <row r="1" spans="1:17" ht="18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4"/>
      <c r="N1" s="17"/>
      <c r="O1" s="17"/>
      <c r="P1" s="17"/>
      <c r="Q1" s="17"/>
    </row>
    <row r="2" spans="1:17" ht="18" x14ac:dyDescent="0.25">
      <c r="A2" s="20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7"/>
      <c r="N2" s="25"/>
      <c r="O2" s="25"/>
      <c r="P2" s="25"/>
      <c r="Q2" s="25"/>
    </row>
    <row r="3" spans="1:17" ht="18" x14ac:dyDescent="0.25">
      <c r="A3" s="2"/>
      <c r="B3" s="3"/>
      <c r="C3" s="3"/>
      <c r="D3" s="3"/>
      <c r="E3" s="3"/>
      <c r="F3" s="3"/>
      <c r="G3" s="3"/>
      <c r="H3" s="3"/>
      <c r="I3" s="3"/>
      <c r="J3" s="17"/>
      <c r="K3" s="26"/>
      <c r="L3" s="17"/>
      <c r="M3" s="17"/>
      <c r="N3" s="3"/>
      <c r="O3" s="3"/>
      <c r="P3" s="3"/>
      <c r="Q3" s="3"/>
    </row>
    <row r="4" spans="1:17" ht="18" x14ac:dyDescent="0.2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7"/>
      <c r="N4" s="17"/>
      <c r="O4" s="17"/>
      <c r="P4" s="17"/>
      <c r="Q4" s="17"/>
    </row>
    <row r="5" spans="1:17" ht="18" x14ac:dyDescent="0.25">
      <c r="G5" s="23" t="s">
        <v>19</v>
      </c>
      <c r="H5" s="23"/>
      <c r="I5" s="23"/>
      <c r="J5" s="17"/>
      <c r="K5" s="26"/>
      <c r="L5" s="17"/>
      <c r="M5" s="17"/>
    </row>
    <row r="6" spans="1:17" ht="18" x14ac:dyDescent="0.25">
      <c r="B6" s="4"/>
      <c r="C6" s="22" t="s">
        <v>2</v>
      </c>
      <c r="D6" s="22"/>
      <c r="E6" s="6"/>
      <c r="G6" s="5" t="s">
        <v>20</v>
      </c>
      <c r="H6" s="5" t="s">
        <v>21</v>
      </c>
      <c r="I6" s="27" t="s">
        <v>22</v>
      </c>
      <c r="J6" s="17"/>
      <c r="K6" s="26"/>
      <c r="L6" s="17"/>
      <c r="M6" s="17"/>
    </row>
    <row r="7" spans="1:17" ht="18" x14ac:dyDescent="0.25">
      <c r="B7" s="4"/>
      <c r="C7" s="1" t="s">
        <v>3</v>
      </c>
      <c r="G7" s="28">
        <f>D30</f>
        <v>10943</v>
      </c>
      <c r="H7" s="28">
        <f>F34</f>
        <v>152312000</v>
      </c>
      <c r="I7" s="29">
        <f>I34</f>
        <v>762261.59</v>
      </c>
      <c r="J7" s="30"/>
      <c r="K7" s="26"/>
      <c r="L7" s="17"/>
      <c r="M7" s="17"/>
    </row>
    <row r="8" spans="1:17" ht="18" x14ac:dyDescent="0.25">
      <c r="B8" s="4"/>
      <c r="C8" s="1" t="s">
        <v>4</v>
      </c>
      <c r="G8" s="28">
        <f>D45</f>
        <v>24</v>
      </c>
      <c r="H8" s="28">
        <f>E47</f>
        <v>4735076.68</v>
      </c>
      <c r="I8" s="29">
        <f>H47</f>
        <v>22079.46</v>
      </c>
      <c r="J8" s="30"/>
      <c r="K8" s="26"/>
      <c r="L8" s="17"/>
      <c r="M8" s="17"/>
    </row>
    <row r="9" spans="1:17" ht="18" x14ac:dyDescent="0.25">
      <c r="B9" s="4"/>
      <c r="C9" s="7" t="s">
        <v>5</v>
      </c>
      <c r="D9" s="7"/>
      <c r="E9" s="7"/>
      <c r="G9" s="5"/>
      <c r="H9" s="5"/>
      <c r="I9" s="31">
        <v>0</v>
      </c>
      <c r="J9" s="30"/>
      <c r="K9" s="26"/>
      <c r="L9" s="17"/>
      <c r="M9" s="17"/>
    </row>
    <row r="10" spans="1:17" ht="18.75" thickBot="1" x14ac:dyDescent="0.3">
      <c r="B10" s="4"/>
      <c r="C10" s="7" t="s">
        <v>6</v>
      </c>
      <c r="D10" s="7"/>
      <c r="E10" s="7"/>
      <c r="G10" s="32">
        <f>SUM(G7:G9)</f>
        <v>10967</v>
      </c>
      <c r="H10" s="32">
        <f>SUM(H7:H9)</f>
        <v>157047076.68000001</v>
      </c>
      <c r="I10" s="33">
        <f>SUM(I7:I9)</f>
        <v>784341.04999999993</v>
      </c>
      <c r="J10" s="30"/>
      <c r="K10" s="26"/>
      <c r="L10" s="17"/>
      <c r="M10" s="17"/>
    </row>
    <row r="11" spans="1:17" ht="18.75" thickTop="1" x14ac:dyDescent="0.25">
      <c r="B11" s="4"/>
      <c r="C11" s="7" t="s">
        <v>7</v>
      </c>
      <c r="D11" s="7"/>
      <c r="E11" s="7"/>
      <c r="G11" s="34"/>
      <c r="H11" s="34"/>
      <c r="I11" s="35">
        <f>-I17</f>
        <v>-784507</v>
      </c>
      <c r="J11" s="30"/>
      <c r="K11" s="26"/>
      <c r="L11" s="17"/>
      <c r="M11" s="17"/>
    </row>
    <row r="12" spans="1:17" ht="18.75" thickBot="1" x14ac:dyDescent="0.3">
      <c r="B12" s="4"/>
      <c r="C12" s="8" t="s">
        <v>8</v>
      </c>
      <c r="D12" s="8"/>
      <c r="E12" s="8"/>
      <c r="G12" s="34"/>
      <c r="H12" s="34"/>
      <c r="I12" s="36">
        <f>SUM(I10:I11)</f>
        <v>-165.95000000006985</v>
      </c>
      <c r="J12" s="30"/>
      <c r="K12" s="26"/>
      <c r="L12" s="17"/>
      <c r="M12" s="17"/>
    </row>
    <row r="13" spans="1:17" ht="18.75" thickTop="1" x14ac:dyDescent="0.25">
      <c r="B13" s="4"/>
      <c r="I13" s="37"/>
      <c r="J13" s="30"/>
      <c r="K13" s="26"/>
      <c r="L13" s="17"/>
      <c r="M13" s="17"/>
    </row>
    <row r="14" spans="1:17" ht="18" x14ac:dyDescent="0.25">
      <c r="B14" s="4"/>
      <c r="C14" s="7" t="s">
        <v>23</v>
      </c>
      <c r="I14" s="38">
        <v>784507</v>
      </c>
      <c r="K14" s="26"/>
    </row>
    <row r="15" spans="1:17" ht="18" x14ac:dyDescent="0.25">
      <c r="B15" s="4"/>
      <c r="C15" s="7" t="s">
        <v>24</v>
      </c>
      <c r="D15" s="1" t="s">
        <v>25</v>
      </c>
      <c r="I15" s="28">
        <v>0</v>
      </c>
      <c r="K15" s="26"/>
    </row>
    <row r="16" spans="1:17" ht="18" x14ac:dyDescent="0.25">
      <c r="B16" s="4"/>
      <c r="C16" s="7"/>
      <c r="D16" s="1" t="s">
        <v>26</v>
      </c>
      <c r="I16" s="40">
        <v>0</v>
      </c>
      <c r="K16" s="26"/>
    </row>
    <row r="17" spans="1:19" ht="18.75" thickBot="1" x14ac:dyDescent="0.3">
      <c r="B17" s="4"/>
      <c r="C17" s="7" t="s">
        <v>27</v>
      </c>
      <c r="I17" s="36">
        <f>SUM(I14:I16)</f>
        <v>784507</v>
      </c>
      <c r="K17" s="26"/>
    </row>
    <row r="18" spans="1:19" ht="18.75" thickTop="1" x14ac:dyDescent="0.25">
      <c r="B18" s="4"/>
      <c r="C18" s="7"/>
      <c r="I18" s="41"/>
      <c r="K18" s="26"/>
    </row>
    <row r="19" spans="1:19" ht="18" x14ac:dyDescent="0.25">
      <c r="B19" s="4"/>
      <c r="K19" s="26"/>
    </row>
    <row r="20" spans="1:19" x14ac:dyDescent="0.2">
      <c r="A20" s="1" t="s">
        <v>9</v>
      </c>
      <c r="B20" s="9" t="s">
        <v>10</v>
      </c>
    </row>
    <row r="21" spans="1:19" x14ac:dyDescent="0.2">
      <c r="B21" s="6"/>
      <c r="C21" s="6"/>
      <c r="D21" s="6"/>
      <c r="E21" s="6"/>
      <c r="F21" s="6"/>
      <c r="G21" s="6" t="s">
        <v>11</v>
      </c>
      <c r="H21" s="6" t="s">
        <v>12</v>
      </c>
      <c r="I21" s="43" t="s">
        <v>12</v>
      </c>
      <c r="J21" s="6" t="s">
        <v>13</v>
      </c>
      <c r="K21" s="44"/>
      <c r="M21" s="6"/>
      <c r="N21" s="6" t="s">
        <v>28</v>
      </c>
      <c r="O21" s="6" t="s">
        <v>29</v>
      </c>
      <c r="P21" s="6" t="s">
        <v>30</v>
      </c>
      <c r="Q21" s="6" t="s">
        <v>31</v>
      </c>
      <c r="R21" s="6" t="s">
        <v>14</v>
      </c>
    </row>
    <row r="22" spans="1:19" x14ac:dyDescent="0.2">
      <c r="B22" s="6"/>
      <c r="C22" s="5" t="s">
        <v>14</v>
      </c>
      <c r="D22" s="5" t="s">
        <v>15</v>
      </c>
      <c r="E22" s="5"/>
      <c r="F22" s="5" t="s">
        <v>16</v>
      </c>
      <c r="G22" s="45">
        <f>C23</f>
        <v>2000</v>
      </c>
      <c r="H22" s="40">
        <f>C24</f>
        <v>2000</v>
      </c>
      <c r="I22" s="27">
        <f>C25</f>
        <v>6000</v>
      </c>
      <c r="J22" s="46">
        <f>C26</f>
        <v>10000</v>
      </c>
      <c r="K22" s="47" t="s">
        <v>32</v>
      </c>
      <c r="M22" s="6"/>
      <c r="N22" s="6"/>
      <c r="O22" s="6"/>
      <c r="P22" s="6"/>
      <c r="Q22" s="6"/>
    </row>
    <row r="23" spans="1:19" x14ac:dyDescent="0.2">
      <c r="B23" s="6" t="s">
        <v>11</v>
      </c>
      <c r="C23" s="10">
        <v>2000</v>
      </c>
      <c r="D23" s="10">
        <v>3522</v>
      </c>
      <c r="E23" s="10"/>
      <c r="F23" s="11">
        <v>4895000</v>
      </c>
      <c r="G23" s="28">
        <f>F23</f>
        <v>4895000</v>
      </c>
      <c r="H23" s="28">
        <v>0</v>
      </c>
      <c r="I23" s="48">
        <v>0</v>
      </c>
      <c r="J23" s="28">
        <v>0</v>
      </c>
      <c r="K23" s="44">
        <f>SUM(G23:J23)</f>
        <v>4895000</v>
      </c>
      <c r="M23" s="28"/>
      <c r="N23" s="28">
        <v>42</v>
      </c>
      <c r="O23" s="28">
        <v>5</v>
      </c>
      <c r="P23" s="28">
        <v>345</v>
      </c>
      <c r="Q23" s="28">
        <f>SUM(N23:P23)</f>
        <v>392</v>
      </c>
      <c r="R23" s="28">
        <v>584461</v>
      </c>
    </row>
    <row r="24" spans="1:19" x14ac:dyDescent="0.2">
      <c r="B24" s="6" t="s">
        <v>12</v>
      </c>
      <c r="C24" s="10">
        <v>2000</v>
      </c>
      <c r="D24" s="10">
        <v>3372</v>
      </c>
      <c r="E24" s="10"/>
      <c r="F24" s="12">
        <v>11598000</v>
      </c>
      <c r="G24" s="28">
        <f>$D24*G$22</f>
        <v>6744000</v>
      </c>
      <c r="H24" s="28">
        <f>F24-G24</f>
        <v>4854000</v>
      </c>
      <c r="I24" s="48">
        <v>0</v>
      </c>
      <c r="J24" s="28">
        <v>0</v>
      </c>
      <c r="K24" s="44">
        <f>SUM(G24:J24)</f>
        <v>11598000</v>
      </c>
      <c r="M24" s="28"/>
      <c r="N24" s="28">
        <v>28</v>
      </c>
      <c r="O24" s="28">
        <v>4</v>
      </c>
      <c r="P24" s="28">
        <v>279</v>
      </c>
      <c r="Q24" s="28">
        <f t="shared" ref="Q24:Q26" si="0">SUM(N24:P24)</f>
        <v>311</v>
      </c>
      <c r="R24" s="28">
        <v>2986709</v>
      </c>
      <c r="S24" s="28">
        <f>SUM(I24:R24)</f>
        <v>14585331</v>
      </c>
    </row>
    <row r="25" spans="1:19" x14ac:dyDescent="0.2">
      <c r="B25" s="6" t="s">
        <v>12</v>
      </c>
      <c r="C25" s="10">
        <v>6000</v>
      </c>
      <c r="D25" s="10">
        <v>2461</v>
      </c>
      <c r="E25" s="10"/>
      <c r="F25" s="12">
        <v>15839000</v>
      </c>
      <c r="G25" s="28">
        <f>$D25*G$22</f>
        <v>4922000</v>
      </c>
      <c r="H25" s="28">
        <f>$D25*H$22</f>
        <v>4922000</v>
      </c>
      <c r="I25" s="48">
        <f>F25-G25-H25</f>
        <v>5995000</v>
      </c>
      <c r="J25" s="28"/>
      <c r="K25" s="44">
        <f>SUM(G25:J25)</f>
        <v>15839000</v>
      </c>
      <c r="M25" s="28"/>
      <c r="N25" s="28">
        <v>35</v>
      </c>
      <c r="O25" s="28">
        <v>5</v>
      </c>
      <c r="P25" s="28">
        <v>365</v>
      </c>
      <c r="Q25" s="28">
        <f t="shared" si="0"/>
        <v>405</v>
      </c>
      <c r="R25" s="28">
        <v>9065369</v>
      </c>
    </row>
    <row r="26" spans="1:19" x14ac:dyDescent="0.2">
      <c r="B26" s="6" t="s">
        <v>13</v>
      </c>
      <c r="C26" s="10">
        <f>SUM(C23:C25)</f>
        <v>10000</v>
      </c>
      <c r="D26" s="10">
        <v>1588</v>
      </c>
      <c r="E26" s="10"/>
      <c r="F26" s="13">
        <v>119980000</v>
      </c>
      <c r="G26" s="28">
        <f>$D26*G$22</f>
        <v>3176000</v>
      </c>
      <c r="H26" s="28">
        <f>$D26*H$22</f>
        <v>3176000</v>
      </c>
      <c r="I26" s="28">
        <f>$D26*I$22</f>
        <v>9528000</v>
      </c>
      <c r="J26" s="28">
        <f>F26-G26-H26-I26</f>
        <v>104100000</v>
      </c>
      <c r="K26" s="44">
        <f>SUM(G26:J26)</f>
        <v>119980000</v>
      </c>
      <c r="M26" s="28"/>
      <c r="N26" s="28">
        <v>46</v>
      </c>
      <c r="O26" s="28">
        <v>8</v>
      </c>
      <c r="P26" s="28">
        <v>1508</v>
      </c>
      <c r="Q26" s="28">
        <f t="shared" si="0"/>
        <v>1562</v>
      </c>
      <c r="R26" s="28">
        <v>259205833</v>
      </c>
    </row>
    <row r="27" spans="1:19" ht="15.75" thickBot="1" x14ac:dyDescent="0.25">
      <c r="B27" s="6"/>
      <c r="C27" s="1" t="s">
        <v>17</v>
      </c>
      <c r="D27" s="14">
        <f t="shared" ref="D27:K27" si="1">SUM(D23:D26)</f>
        <v>10943</v>
      </c>
      <c r="E27" s="14"/>
      <c r="F27" s="14">
        <f t="shared" si="1"/>
        <v>152312000</v>
      </c>
      <c r="G27" s="14">
        <f t="shared" si="1"/>
        <v>19737000</v>
      </c>
      <c r="H27" s="14">
        <f t="shared" si="1"/>
        <v>12952000</v>
      </c>
      <c r="I27" s="49">
        <f t="shared" si="1"/>
        <v>15523000</v>
      </c>
      <c r="J27" s="14">
        <f t="shared" si="1"/>
        <v>104100000</v>
      </c>
      <c r="K27" s="50">
        <f t="shared" si="1"/>
        <v>152312000</v>
      </c>
      <c r="M27" s="15"/>
      <c r="N27" s="15">
        <f>SUM(N23:N26)</f>
        <v>151</v>
      </c>
      <c r="O27" s="15">
        <f>SUM(O23:O26)</f>
        <v>22</v>
      </c>
      <c r="P27" s="15">
        <f>SUM(P23:P26)</f>
        <v>2497</v>
      </c>
      <c r="Q27" s="15">
        <f>SUM(Q23:Q26)</f>
        <v>2670</v>
      </c>
      <c r="R27" s="15">
        <f>SUM(R23:R26)</f>
        <v>271842372</v>
      </c>
    </row>
    <row r="28" spans="1:19" ht="15.75" thickTop="1" x14ac:dyDescent="0.2">
      <c r="J28" s="1"/>
    </row>
    <row r="29" spans="1:19" x14ac:dyDescent="0.2">
      <c r="C29" s="51"/>
      <c r="D29" s="16" t="s">
        <v>15</v>
      </c>
      <c r="E29" s="16"/>
      <c r="F29" s="16" t="s">
        <v>16</v>
      </c>
      <c r="G29" s="23" t="s">
        <v>34</v>
      </c>
      <c r="H29" s="23"/>
      <c r="I29" s="16" t="s">
        <v>22</v>
      </c>
      <c r="J29" s="1"/>
    </row>
    <row r="30" spans="1:19" x14ac:dyDescent="0.2">
      <c r="B30" s="6" t="s">
        <v>11</v>
      </c>
      <c r="C30" s="28">
        <f>C23</f>
        <v>2000</v>
      </c>
      <c r="D30" s="15">
        <f>D27</f>
        <v>10943</v>
      </c>
      <c r="E30" s="15"/>
      <c r="F30" s="15">
        <f>G27</f>
        <v>19737000</v>
      </c>
      <c r="G30" s="52">
        <v>15.17</v>
      </c>
      <c r="H30" s="1" t="s">
        <v>35</v>
      </c>
      <c r="I30" s="52">
        <f>D30*G30</f>
        <v>166005.31</v>
      </c>
      <c r="J30" s="1"/>
    </row>
    <row r="31" spans="1:19" x14ac:dyDescent="0.2">
      <c r="B31" s="6" t="s">
        <v>12</v>
      </c>
      <c r="C31" s="28">
        <f>C24</f>
        <v>2000</v>
      </c>
      <c r="F31" s="15">
        <f>H27</f>
        <v>12952000</v>
      </c>
      <c r="G31" s="53">
        <v>5.0299999999999997E-3</v>
      </c>
      <c r="H31" s="1" t="s">
        <v>36</v>
      </c>
      <c r="I31" s="54">
        <f>ROUND(F31*G31,2)</f>
        <v>65148.56</v>
      </c>
      <c r="J31" s="1"/>
      <c r="S31" s="55">
        <v>9.5399999999999991</v>
      </c>
    </row>
    <row r="32" spans="1:19" x14ac:dyDescent="0.2">
      <c r="B32" s="6" t="s">
        <v>12</v>
      </c>
      <c r="C32" s="28">
        <f>C25</f>
        <v>6000</v>
      </c>
      <c r="F32" s="15">
        <f>I27</f>
        <v>15523000</v>
      </c>
      <c r="G32" s="53">
        <v>4.64E-3</v>
      </c>
      <c r="H32" s="1" t="s">
        <v>36</v>
      </c>
      <c r="I32" s="54">
        <f t="shared" ref="I32" si="2">ROUND(F32*G32,2)</f>
        <v>72026.720000000001</v>
      </c>
      <c r="J32" s="1"/>
      <c r="S32" s="55">
        <v>8.77</v>
      </c>
    </row>
    <row r="33" spans="1:19" x14ac:dyDescent="0.2">
      <c r="B33" s="6" t="s">
        <v>13</v>
      </c>
      <c r="C33" s="28">
        <f>C26</f>
        <v>10000</v>
      </c>
      <c r="D33" s="51"/>
      <c r="E33" s="51"/>
      <c r="F33" s="56">
        <f>J27</f>
        <v>104100000</v>
      </c>
      <c r="G33" s="53">
        <v>4.4099999999999999E-3</v>
      </c>
      <c r="H33" s="1" t="s">
        <v>36</v>
      </c>
      <c r="I33" s="54">
        <f>ROUND(F33*G33,2)</f>
        <v>459081</v>
      </c>
      <c r="J33" s="1"/>
      <c r="S33" s="55">
        <v>6.77</v>
      </c>
    </row>
    <row r="34" spans="1:19" ht="15.75" thickBot="1" x14ac:dyDescent="0.25">
      <c r="C34" s="1" t="s">
        <v>37</v>
      </c>
      <c r="F34" s="14">
        <f>SUM(F30:F33)</f>
        <v>152312000</v>
      </c>
      <c r="I34" s="57">
        <f>SUM(I30:I33)</f>
        <v>762261.59</v>
      </c>
      <c r="J34" s="1"/>
    </row>
    <row r="35" spans="1:19" ht="15.75" thickTop="1" x14ac:dyDescent="0.2">
      <c r="F35" s="15"/>
      <c r="I35" s="58"/>
      <c r="J35" s="1"/>
    </row>
    <row r="36" spans="1:19" x14ac:dyDescent="0.2">
      <c r="A36" s="1" t="s">
        <v>9</v>
      </c>
      <c r="B36" s="9" t="s">
        <v>4</v>
      </c>
    </row>
    <row r="37" spans="1:19" x14ac:dyDescent="0.2">
      <c r="B37" s="6"/>
      <c r="C37" s="6"/>
      <c r="D37" s="6"/>
      <c r="E37" s="6"/>
      <c r="F37" s="6" t="s">
        <v>11</v>
      </c>
      <c r="G37" s="6" t="s">
        <v>13</v>
      </c>
      <c r="H37" s="44"/>
    </row>
    <row r="38" spans="1:19" x14ac:dyDescent="0.2">
      <c r="B38" s="6"/>
      <c r="C38" s="5" t="s">
        <v>14</v>
      </c>
      <c r="D38" s="5" t="s">
        <v>15</v>
      </c>
      <c r="E38" s="5" t="s">
        <v>16</v>
      </c>
      <c r="F38" s="45">
        <f>C39</f>
        <v>20000</v>
      </c>
      <c r="G38" s="46">
        <f>C40</f>
        <v>20000</v>
      </c>
      <c r="H38" s="47" t="s">
        <v>32</v>
      </c>
    </row>
    <row r="39" spans="1:19" x14ac:dyDescent="0.2">
      <c r="B39" s="6" t="s">
        <v>11</v>
      </c>
      <c r="C39" s="10">
        <v>20000</v>
      </c>
      <c r="D39" s="10">
        <v>11</v>
      </c>
      <c r="E39" s="11">
        <v>1076.6799999999998</v>
      </c>
      <c r="F39" s="28">
        <f>E39</f>
        <v>1076.6799999999998</v>
      </c>
      <c r="G39" s="28">
        <v>0</v>
      </c>
      <c r="H39" s="28">
        <f>SUM(F39:G39)</f>
        <v>1076.6799999999998</v>
      </c>
    </row>
    <row r="40" spans="1:19" x14ac:dyDescent="0.2">
      <c r="B40" s="6" t="s">
        <v>13</v>
      </c>
      <c r="C40" s="10">
        <f>SUM(C39:C39)</f>
        <v>20000</v>
      </c>
      <c r="D40" s="10">
        <v>13</v>
      </c>
      <c r="E40" s="13">
        <v>4734000</v>
      </c>
      <c r="F40" s="28">
        <f>D40*F38</f>
        <v>260000</v>
      </c>
      <c r="G40" s="28">
        <f>E40-F40</f>
        <v>4474000</v>
      </c>
      <c r="H40" s="28">
        <f>SUM(F40:G40)</f>
        <v>4734000</v>
      </c>
    </row>
    <row r="41" spans="1:19" ht="15.75" thickBot="1" x14ac:dyDescent="0.25">
      <c r="B41" s="6"/>
      <c r="C41" s="1" t="s">
        <v>17</v>
      </c>
      <c r="D41" s="14">
        <f t="shared" ref="D41:G41" si="3">SUM(D39:D40)</f>
        <v>24</v>
      </c>
      <c r="E41" s="14">
        <f>SUM(E39:E40)</f>
        <v>4735076.68</v>
      </c>
      <c r="F41" s="14">
        <f>SUM(F39:F40)</f>
        <v>261076.68</v>
      </c>
      <c r="G41" s="14">
        <f>SUM(G39:G40)</f>
        <v>4474000</v>
      </c>
      <c r="H41" s="14">
        <f>SUM(H39:H40)</f>
        <v>4735076.68</v>
      </c>
    </row>
    <row r="42" spans="1:19" ht="15.75" thickTop="1" x14ac:dyDescent="0.2">
      <c r="J42" s="1"/>
    </row>
    <row r="43" spans="1:19" x14ac:dyDescent="0.2">
      <c r="B43" s="118"/>
      <c r="C43" s="118"/>
      <c r="D43" s="118"/>
      <c r="E43" s="118"/>
      <c r="F43" s="118"/>
      <c r="G43" s="118"/>
      <c r="H43" s="118"/>
      <c r="I43" s="117"/>
      <c r="J43" s="1"/>
    </row>
    <row r="44" spans="1:19" x14ac:dyDescent="0.2">
      <c r="C44" s="51"/>
      <c r="D44" s="16" t="s">
        <v>15</v>
      </c>
      <c r="E44" s="16" t="s">
        <v>16</v>
      </c>
      <c r="F44" s="16" t="s">
        <v>34</v>
      </c>
      <c r="G44" s="16"/>
      <c r="H44" s="16" t="s">
        <v>22</v>
      </c>
      <c r="J44" s="1"/>
    </row>
    <row r="45" spans="1:19" x14ac:dyDescent="0.2">
      <c r="B45" s="6" t="s">
        <v>11</v>
      </c>
      <c r="C45" s="28">
        <f>C39</f>
        <v>20000</v>
      </c>
      <c r="D45" s="15">
        <f>D41</f>
        <v>24</v>
      </c>
      <c r="E45" s="15">
        <f>F41</f>
        <v>261076.68</v>
      </c>
      <c r="F45" s="52">
        <v>97.88</v>
      </c>
      <c r="G45" s="1" t="s">
        <v>35</v>
      </c>
      <c r="H45" s="52">
        <f>F45*D45</f>
        <v>2349.12</v>
      </c>
      <c r="J45" s="1"/>
    </row>
    <row r="46" spans="1:19" x14ac:dyDescent="0.2">
      <c r="B46" s="6" t="s">
        <v>13</v>
      </c>
      <c r="C46" s="28">
        <f>C40</f>
        <v>20000</v>
      </c>
      <c r="D46" s="51"/>
      <c r="E46" s="56">
        <f>G40</f>
        <v>4474000</v>
      </c>
      <c r="F46" s="53">
        <v>4.4099999999999999E-3</v>
      </c>
      <c r="G46" s="1" t="s">
        <v>36</v>
      </c>
      <c r="H46" s="54">
        <f>ROUND(E46*F46,2)</f>
        <v>19730.34</v>
      </c>
      <c r="J46" s="1"/>
    </row>
    <row r="47" spans="1:19" ht="15.75" thickBot="1" x14ac:dyDescent="0.25">
      <c r="C47" s="1" t="s">
        <v>37</v>
      </c>
      <c r="E47" s="14">
        <f>SUM(E45:E46)</f>
        <v>4735076.68</v>
      </c>
      <c r="H47" s="57">
        <f>SUM(H45:H46)</f>
        <v>22079.46</v>
      </c>
      <c r="J47" s="1"/>
    </row>
    <row r="48" spans="1:19" ht="15.75" thickTop="1" x14ac:dyDescent="0.2"/>
  </sheetData>
  <mergeCells count="6">
    <mergeCell ref="G29:H29"/>
    <mergeCell ref="A1:L1"/>
    <mergeCell ref="A2:L2"/>
    <mergeCell ref="A4:L4"/>
    <mergeCell ref="G5:I5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E81D5-CD99-47B4-A3FF-3CEBC30EF131}">
  <dimension ref="A1:U47"/>
  <sheetViews>
    <sheetView topLeftCell="A13" workbookViewId="0">
      <selection activeCell="B28" sqref="B28:H28"/>
    </sheetView>
  </sheetViews>
  <sheetFormatPr defaultColWidth="19" defaultRowHeight="15.75" x14ac:dyDescent="0.25"/>
  <cols>
    <col min="1" max="1" width="11" customWidth="1"/>
    <col min="2" max="3" width="13.85546875" customWidth="1"/>
    <col min="8" max="10" width="19" style="94"/>
    <col min="14" max="14" width="19" style="116"/>
  </cols>
  <sheetData>
    <row r="1" spans="1:19" ht="18.75" x14ac:dyDescent="0.3">
      <c r="A1" s="59" t="s">
        <v>38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  <c r="N1" s="62" t="s">
        <v>39</v>
      </c>
      <c r="O1" s="61"/>
      <c r="P1" s="61"/>
      <c r="Q1" s="61"/>
      <c r="R1" s="61"/>
      <c r="S1" s="61"/>
    </row>
    <row r="2" spans="1:19" ht="18.75" x14ac:dyDescent="0.3">
      <c r="A2" s="63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4" t="s">
        <v>40</v>
      </c>
      <c r="O2" s="65"/>
      <c r="P2" s="65"/>
      <c r="Q2" s="65"/>
      <c r="R2" s="65"/>
      <c r="S2" s="65"/>
    </row>
    <row r="3" spans="1:19" ht="19.5" thickBot="1" x14ac:dyDescent="0.35">
      <c r="A3" s="66"/>
      <c r="B3" s="67"/>
      <c r="C3" s="67"/>
      <c r="D3" s="67"/>
      <c r="E3" s="67"/>
      <c r="F3" s="67"/>
      <c r="G3" s="67"/>
      <c r="H3" s="67"/>
      <c r="I3" s="67"/>
      <c r="J3" s="61"/>
      <c r="K3" s="61"/>
      <c r="L3" s="61"/>
      <c r="M3" s="61"/>
      <c r="N3" s="68" t="s">
        <v>41</v>
      </c>
      <c r="O3" s="67"/>
      <c r="P3" s="67"/>
      <c r="Q3" s="67"/>
      <c r="R3" s="67"/>
      <c r="S3" s="67"/>
    </row>
    <row r="4" spans="1:19" ht="18.75" x14ac:dyDescent="0.3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1"/>
      <c r="N4" s="70"/>
      <c r="O4" s="61"/>
      <c r="P4" s="61"/>
      <c r="Q4" s="61"/>
      <c r="R4" s="61"/>
      <c r="S4" s="61"/>
    </row>
    <row r="5" spans="1:19" ht="18.75" x14ac:dyDescent="0.3">
      <c r="F5" s="71" t="s">
        <v>19</v>
      </c>
      <c r="G5" s="71"/>
      <c r="H5" s="71"/>
      <c r="I5" s="72"/>
      <c r="J5" s="61"/>
      <c r="K5" s="61"/>
      <c r="L5" s="61"/>
      <c r="M5" s="61"/>
      <c r="N5" s="73"/>
    </row>
    <row r="6" spans="1:19" ht="18.75" x14ac:dyDescent="0.3">
      <c r="B6" s="74"/>
      <c r="C6" s="75" t="s">
        <v>2</v>
      </c>
      <c r="D6" s="75"/>
      <c r="F6" s="76" t="s">
        <v>20</v>
      </c>
      <c r="G6" s="76" t="s">
        <v>21</v>
      </c>
      <c r="H6" s="77" t="s">
        <v>22</v>
      </c>
      <c r="I6" s="78"/>
      <c r="J6" s="61"/>
      <c r="K6" s="61"/>
      <c r="L6" s="61"/>
      <c r="M6" s="61"/>
      <c r="N6" s="73"/>
    </row>
    <row r="7" spans="1:19" ht="18.75" x14ac:dyDescent="0.3">
      <c r="B7" s="74"/>
      <c r="C7" t="s">
        <v>3</v>
      </c>
      <c r="F7" s="79">
        <f>D29</f>
        <v>10943</v>
      </c>
      <c r="G7" s="79">
        <f>E33</f>
        <v>152312000</v>
      </c>
      <c r="H7" s="80">
        <f>H33</f>
        <v>862433.51</v>
      </c>
      <c r="I7" s="80"/>
      <c r="J7" s="81"/>
      <c r="K7" s="61"/>
      <c r="L7" s="61"/>
      <c r="M7" s="61"/>
      <c r="N7" s="73"/>
    </row>
    <row r="8" spans="1:19" ht="18.75" x14ac:dyDescent="0.3">
      <c r="B8" s="74"/>
      <c r="C8" s="1" t="s">
        <v>4</v>
      </c>
      <c r="F8" s="79">
        <f>D44</f>
        <v>24</v>
      </c>
      <c r="G8" s="79">
        <f>E46</f>
        <v>4631076.68</v>
      </c>
      <c r="H8" s="80">
        <f>H46</f>
        <v>25630.28</v>
      </c>
      <c r="I8" s="80"/>
      <c r="J8" s="81"/>
      <c r="K8" s="61"/>
      <c r="L8" s="61"/>
      <c r="M8" s="61"/>
      <c r="N8" s="73"/>
    </row>
    <row r="9" spans="1:19" ht="18.75" x14ac:dyDescent="0.3">
      <c r="B9" s="74"/>
      <c r="C9" s="82" t="s">
        <v>5</v>
      </c>
      <c r="D9" s="82"/>
      <c r="F9" s="76"/>
      <c r="G9" s="76"/>
      <c r="H9" s="83">
        <v>0</v>
      </c>
      <c r="I9" s="84"/>
      <c r="J9" s="61"/>
      <c r="K9" s="61"/>
      <c r="L9" s="61"/>
      <c r="M9" s="61"/>
      <c r="N9" s="73"/>
    </row>
    <row r="10" spans="1:19" ht="19.5" thickBot="1" x14ac:dyDescent="0.35">
      <c r="B10" s="74"/>
      <c r="C10" s="82" t="s">
        <v>6</v>
      </c>
      <c r="D10" s="82"/>
      <c r="F10" s="85">
        <f>SUM(F7:F9)</f>
        <v>10967</v>
      </c>
      <c r="G10" s="85">
        <f>SUM(G7:G9)</f>
        <v>156943076.68000001</v>
      </c>
      <c r="H10" s="86">
        <f>SUM(H7:H9)</f>
        <v>888063.79</v>
      </c>
      <c r="I10" s="86"/>
      <c r="J10" s="61"/>
      <c r="K10" s="61"/>
      <c r="L10" s="61"/>
      <c r="M10" s="61"/>
      <c r="N10" s="73"/>
    </row>
    <row r="11" spans="1:19" ht="19.5" thickTop="1" x14ac:dyDescent="0.3">
      <c r="B11" s="74"/>
      <c r="C11" s="7" t="s">
        <v>42</v>
      </c>
      <c r="D11" s="82"/>
      <c r="F11" s="87"/>
      <c r="G11" s="87"/>
      <c r="H11" s="88">
        <v>-784341.04999999993</v>
      </c>
      <c r="I11" s="87"/>
      <c r="J11" s="61"/>
      <c r="K11" s="61"/>
      <c r="L11" s="61"/>
      <c r="M11" s="61"/>
      <c r="N11" s="73"/>
    </row>
    <row r="12" spans="1:19" ht="19.5" thickBot="1" x14ac:dyDescent="0.35">
      <c r="B12" s="74"/>
      <c r="C12" s="89" t="s">
        <v>8</v>
      </c>
      <c r="D12" s="89"/>
      <c r="F12" s="87"/>
      <c r="G12" s="87"/>
      <c r="H12" s="90">
        <f>SUM(H10:H11)</f>
        <v>103722.74000000011</v>
      </c>
      <c r="I12" s="91"/>
      <c r="J12" s="61"/>
      <c r="K12" s="61"/>
      <c r="L12" s="61"/>
      <c r="M12" s="61"/>
      <c r="N12" s="73"/>
    </row>
    <row r="13" spans="1:19" ht="19.5" thickTop="1" x14ac:dyDescent="0.3">
      <c r="B13" s="74"/>
      <c r="H13" s="92"/>
      <c r="I13" s="92"/>
      <c r="J13" s="61"/>
      <c r="K13" s="61"/>
      <c r="L13" s="61"/>
      <c r="M13" s="61"/>
      <c r="N13" s="73"/>
    </row>
    <row r="14" spans="1:19" ht="18.75" x14ac:dyDescent="0.3">
      <c r="B14" s="74"/>
      <c r="C14" s="7" t="s">
        <v>43</v>
      </c>
      <c r="H14" s="93">
        <f>H10</f>
        <v>888063.79</v>
      </c>
      <c r="I14" s="93"/>
      <c r="J14" s="61"/>
      <c r="N14" s="73"/>
    </row>
    <row r="15" spans="1:19" ht="18.75" x14ac:dyDescent="0.3">
      <c r="B15" s="74"/>
      <c r="C15" s="7" t="s">
        <v>44</v>
      </c>
      <c r="D15" s="1"/>
      <c r="H15" s="79">
        <v>-886847</v>
      </c>
      <c r="I15" s="79"/>
      <c r="J15" s="61"/>
      <c r="N15" s="73"/>
    </row>
    <row r="16" spans="1:19" ht="19.5" thickBot="1" x14ac:dyDescent="0.35">
      <c r="B16" s="74"/>
      <c r="C16" s="7" t="s">
        <v>45</v>
      </c>
      <c r="H16" s="90">
        <f>SUM(H14:H15)</f>
        <v>1216.7900000000373</v>
      </c>
      <c r="I16" s="91"/>
      <c r="J16" s="61"/>
      <c r="N16" s="73"/>
    </row>
    <row r="17" spans="1:21" ht="19.5" thickTop="1" x14ac:dyDescent="0.3">
      <c r="B17" s="74"/>
      <c r="C17" s="82"/>
      <c r="H17" s="91"/>
      <c r="I17" s="91"/>
      <c r="J17" s="61"/>
      <c r="N17" s="73"/>
    </row>
    <row r="18" spans="1:21" x14ac:dyDescent="0.25">
      <c r="B18" s="74"/>
      <c r="N18" s="73"/>
    </row>
    <row r="19" spans="1:21" x14ac:dyDescent="0.25">
      <c r="A19" t="s">
        <v>9</v>
      </c>
      <c r="B19" s="9" t="s">
        <v>10</v>
      </c>
      <c r="N19" s="73"/>
    </row>
    <row r="20" spans="1:21" x14ac:dyDescent="0.25">
      <c r="B20" s="95"/>
      <c r="C20" s="95"/>
      <c r="D20" s="95"/>
      <c r="E20" s="95"/>
      <c r="F20" s="95" t="s">
        <v>11</v>
      </c>
      <c r="G20" s="95" t="s">
        <v>12</v>
      </c>
      <c r="H20" s="78" t="s">
        <v>12</v>
      </c>
      <c r="I20" s="78"/>
      <c r="J20" s="95" t="s">
        <v>13</v>
      </c>
      <c r="K20" s="95"/>
      <c r="M20" s="95"/>
      <c r="N20" s="96"/>
      <c r="O20" s="95"/>
      <c r="P20" s="95" t="s">
        <v>28</v>
      </c>
      <c r="Q20" s="95" t="s">
        <v>29</v>
      </c>
      <c r="R20" s="95" t="s">
        <v>30</v>
      </c>
      <c r="S20" s="95" t="s">
        <v>31</v>
      </c>
      <c r="T20" s="95" t="s">
        <v>14</v>
      </c>
    </row>
    <row r="21" spans="1:21" x14ac:dyDescent="0.25">
      <c r="B21" s="95"/>
      <c r="C21" s="76" t="s">
        <v>14</v>
      </c>
      <c r="D21" s="76" t="s">
        <v>15</v>
      </c>
      <c r="E21" s="76" t="s">
        <v>16</v>
      </c>
      <c r="F21" s="97">
        <f>C22</f>
        <v>2000</v>
      </c>
      <c r="G21" s="98">
        <f>C23</f>
        <v>2000</v>
      </c>
      <c r="H21" s="77">
        <f>C24</f>
        <v>6000</v>
      </c>
      <c r="I21" s="77"/>
      <c r="J21" s="99">
        <f>C25</f>
        <v>10000</v>
      </c>
      <c r="K21" s="5" t="s">
        <v>32</v>
      </c>
      <c r="M21" s="95"/>
      <c r="N21" s="96"/>
      <c r="O21" s="95"/>
      <c r="P21" s="95"/>
      <c r="Q21" s="95"/>
      <c r="R21" s="95"/>
      <c r="S21" s="95"/>
    </row>
    <row r="22" spans="1:21" x14ac:dyDescent="0.25">
      <c r="B22" s="95" t="s">
        <v>11</v>
      </c>
      <c r="C22" s="100">
        <v>2000</v>
      </c>
      <c r="D22" s="10">
        <v>3522</v>
      </c>
      <c r="E22" s="10">
        <v>4895000</v>
      </c>
      <c r="F22" s="79">
        <f>E22</f>
        <v>4895000</v>
      </c>
      <c r="G22" s="79">
        <v>0</v>
      </c>
      <c r="H22" s="101">
        <v>0</v>
      </c>
      <c r="I22" s="101"/>
      <c r="J22" s="79">
        <v>0</v>
      </c>
      <c r="K22" s="79">
        <f>SUM(F22:J22)</f>
        <v>4895000</v>
      </c>
      <c r="M22" s="79"/>
      <c r="N22" s="96"/>
      <c r="O22" s="79"/>
      <c r="P22" s="79">
        <v>42</v>
      </c>
      <c r="Q22" s="79">
        <v>5</v>
      </c>
      <c r="R22" s="79">
        <v>345</v>
      </c>
      <c r="S22" s="79">
        <f>SUM(P22:R22)</f>
        <v>392</v>
      </c>
      <c r="T22" s="79">
        <v>584461</v>
      </c>
    </row>
    <row r="23" spans="1:21" x14ac:dyDescent="0.25">
      <c r="B23" s="95" t="s">
        <v>12</v>
      </c>
      <c r="C23" s="100">
        <v>2000</v>
      </c>
      <c r="D23" s="10">
        <v>3372</v>
      </c>
      <c r="E23" s="10">
        <v>11598000</v>
      </c>
      <c r="F23" s="79">
        <f>$D23*F$21</f>
        <v>6744000</v>
      </c>
      <c r="G23" s="79">
        <f>E23-F23</f>
        <v>4854000</v>
      </c>
      <c r="H23" s="101">
        <v>0</v>
      </c>
      <c r="I23" s="101"/>
      <c r="J23" s="79">
        <v>0</v>
      </c>
      <c r="K23" s="79">
        <f>SUM(F23:J23)</f>
        <v>11598000</v>
      </c>
      <c r="M23" s="79"/>
      <c r="N23" s="96"/>
      <c r="O23" s="79"/>
      <c r="P23" s="79">
        <v>28</v>
      </c>
      <c r="Q23" s="79">
        <v>4</v>
      </c>
      <c r="R23" s="79">
        <v>279</v>
      </c>
      <c r="S23" s="79">
        <f t="shared" ref="S23:S25" si="0">SUM(P23:R23)</f>
        <v>311</v>
      </c>
      <c r="T23" s="79">
        <v>2986709</v>
      </c>
      <c r="U23" s="79">
        <f>SUM(H23:T23)</f>
        <v>14585331</v>
      </c>
    </row>
    <row r="24" spans="1:21" x14ac:dyDescent="0.25">
      <c r="B24" s="95" t="s">
        <v>12</v>
      </c>
      <c r="C24" s="100">
        <v>6000</v>
      </c>
      <c r="D24" s="10">
        <v>2461</v>
      </c>
      <c r="E24" s="10">
        <v>15839000</v>
      </c>
      <c r="F24" s="79">
        <f>$D24*F$21</f>
        <v>4922000</v>
      </c>
      <c r="G24" s="79">
        <f>$D24*G$21</f>
        <v>4922000</v>
      </c>
      <c r="H24" s="101">
        <f>E24-F24-G24</f>
        <v>5995000</v>
      </c>
      <c r="I24" s="101"/>
      <c r="J24" s="79"/>
      <c r="K24" s="79">
        <f>SUM(F24:J24)</f>
        <v>15839000</v>
      </c>
      <c r="M24" s="79"/>
      <c r="N24" s="96"/>
      <c r="O24" s="79"/>
      <c r="P24" s="79">
        <v>35</v>
      </c>
      <c r="Q24" s="79">
        <v>5</v>
      </c>
      <c r="R24" s="79">
        <v>365</v>
      </c>
      <c r="S24" s="79">
        <f t="shared" si="0"/>
        <v>405</v>
      </c>
      <c r="T24" s="79">
        <v>9065369</v>
      </c>
    </row>
    <row r="25" spans="1:21" x14ac:dyDescent="0.25">
      <c r="B25" s="95" t="s">
        <v>13</v>
      </c>
      <c r="C25" s="100">
        <f>SUM(C22:C24)</f>
        <v>10000</v>
      </c>
      <c r="D25" s="10">
        <v>1588</v>
      </c>
      <c r="E25" s="10">
        <v>119980000</v>
      </c>
      <c r="F25" s="79">
        <f>$D25*F$21</f>
        <v>3176000</v>
      </c>
      <c r="G25" s="79">
        <f>$D25*G$21</f>
        <v>3176000</v>
      </c>
      <c r="H25" s="79">
        <f>$D25*H$21</f>
        <v>9528000</v>
      </c>
      <c r="I25" s="79"/>
      <c r="J25" s="79">
        <f>E25-F25-G25-H25</f>
        <v>104100000</v>
      </c>
      <c r="K25" s="79">
        <f>SUM(F25:J25)</f>
        <v>119980000</v>
      </c>
      <c r="M25" s="79"/>
      <c r="N25" s="96"/>
      <c r="O25" s="79"/>
      <c r="P25" s="79">
        <v>46</v>
      </c>
      <c r="Q25" s="79">
        <v>8</v>
      </c>
      <c r="R25" s="79">
        <v>1508</v>
      </c>
      <c r="S25" s="79">
        <f t="shared" si="0"/>
        <v>1562</v>
      </c>
      <c r="T25" s="79">
        <v>259205833</v>
      </c>
    </row>
    <row r="26" spans="1:21" ht="16.5" thickBot="1" x14ac:dyDescent="0.3">
      <c r="B26" s="95"/>
      <c r="C26" t="s">
        <v>17</v>
      </c>
      <c r="D26" s="102">
        <f>SUM(D22:D25)</f>
        <v>10943</v>
      </c>
      <c r="E26" s="102">
        <f t="shared" ref="E26:K26" si="1">SUM(E22:E25)</f>
        <v>152312000</v>
      </c>
      <c r="F26" s="102">
        <f t="shared" si="1"/>
        <v>19737000</v>
      </c>
      <c r="G26" s="102">
        <f t="shared" si="1"/>
        <v>12952000</v>
      </c>
      <c r="H26" s="103">
        <f t="shared" si="1"/>
        <v>15523000</v>
      </c>
      <c r="I26" s="103"/>
      <c r="J26" s="102">
        <f t="shared" si="1"/>
        <v>104100000</v>
      </c>
      <c r="K26" s="102">
        <f t="shared" si="1"/>
        <v>152312000</v>
      </c>
      <c r="M26" s="104"/>
      <c r="N26" s="73"/>
      <c r="O26" s="104"/>
      <c r="P26" s="104">
        <f>SUM(P22:P25)</f>
        <v>151</v>
      </c>
      <c r="Q26" s="104">
        <f>SUM(Q22:Q25)</f>
        <v>22</v>
      </c>
      <c r="R26" s="104">
        <f>SUM(R22:R25)</f>
        <v>2497</v>
      </c>
      <c r="S26" s="104">
        <f>SUM(S22:S25)</f>
        <v>2670</v>
      </c>
      <c r="T26" s="104">
        <f>SUM(T22:T25)</f>
        <v>271842372</v>
      </c>
    </row>
    <row r="27" spans="1:21" ht="16.5" thickTop="1" x14ac:dyDescent="0.25">
      <c r="J27"/>
      <c r="N27" s="73"/>
    </row>
    <row r="28" spans="1:21" x14ac:dyDescent="0.25">
      <c r="C28" s="105"/>
      <c r="D28" s="106" t="s">
        <v>15</v>
      </c>
      <c r="E28" s="106" t="s">
        <v>16</v>
      </c>
      <c r="F28" s="71" t="s">
        <v>34</v>
      </c>
      <c r="G28" s="71"/>
      <c r="H28" s="106" t="s">
        <v>22</v>
      </c>
      <c r="I28" s="72"/>
      <c r="J28"/>
      <c r="N28" s="73"/>
    </row>
    <row r="29" spans="1:21" x14ac:dyDescent="0.25">
      <c r="B29" s="95" t="s">
        <v>11</v>
      </c>
      <c r="C29" s="79">
        <f>C22</f>
        <v>2000</v>
      </c>
      <c r="D29" s="104">
        <f>D26</f>
        <v>10943</v>
      </c>
      <c r="E29" s="104">
        <f>F26</f>
        <v>19737000</v>
      </c>
      <c r="F29" s="107">
        <v>17.16</v>
      </c>
      <c r="G29" t="s">
        <v>35</v>
      </c>
      <c r="H29" s="107">
        <f>F29*D29</f>
        <v>187781.88</v>
      </c>
      <c r="I29" s="107"/>
      <c r="J29"/>
      <c r="N29" s="73"/>
    </row>
    <row r="30" spans="1:21" x14ac:dyDescent="0.25">
      <c r="B30" s="95" t="s">
        <v>12</v>
      </c>
      <c r="C30" s="79">
        <f>C23</f>
        <v>2000</v>
      </c>
      <c r="E30" s="104">
        <f>G26</f>
        <v>12952000</v>
      </c>
      <c r="F30" s="108">
        <v>5.6899999999999997E-3</v>
      </c>
      <c r="G30" t="s">
        <v>36</v>
      </c>
      <c r="H30" s="109">
        <f>ROUND(E30*F30,2)</f>
        <v>73696.88</v>
      </c>
      <c r="I30" s="109"/>
      <c r="J30"/>
      <c r="N30" s="73"/>
      <c r="U30" s="110">
        <v>9.5399999999999991</v>
      </c>
    </row>
    <row r="31" spans="1:21" x14ac:dyDescent="0.25">
      <c r="B31" s="95" t="s">
        <v>12</v>
      </c>
      <c r="C31" s="79">
        <f>C24</f>
        <v>6000</v>
      </c>
      <c r="E31" s="104">
        <f>H26</f>
        <v>15523000</v>
      </c>
      <c r="F31" s="108">
        <v>5.2500000000000003E-3</v>
      </c>
      <c r="G31" t="s">
        <v>36</v>
      </c>
      <c r="H31" s="109">
        <f t="shared" ref="H31" si="2">ROUND(E31*F31,2)</f>
        <v>81495.75</v>
      </c>
      <c r="I31" s="109"/>
      <c r="J31"/>
      <c r="N31" s="73"/>
      <c r="U31" s="110">
        <v>8.77</v>
      </c>
    </row>
    <row r="32" spans="1:21" x14ac:dyDescent="0.25">
      <c r="B32" s="95" t="s">
        <v>13</v>
      </c>
      <c r="C32" s="79">
        <f>C25</f>
        <v>10000</v>
      </c>
      <c r="D32" s="105"/>
      <c r="E32" s="111">
        <f>J25</f>
        <v>104100000</v>
      </c>
      <c r="F32" s="108">
        <v>4.9899999999999996E-3</v>
      </c>
      <c r="G32" t="s">
        <v>36</v>
      </c>
      <c r="H32" s="109">
        <f>ROUND(E32*F32,2)</f>
        <v>519459</v>
      </c>
      <c r="I32" s="109"/>
      <c r="J32"/>
      <c r="N32" s="73"/>
      <c r="U32" s="110">
        <v>6.77</v>
      </c>
    </row>
    <row r="33" spans="1:15" ht="16.5" thickBot="1" x14ac:dyDescent="0.3">
      <c r="C33" t="s">
        <v>37</v>
      </c>
      <c r="E33" s="102">
        <f>SUM(E29:E32)</f>
        <v>152312000</v>
      </c>
      <c r="H33" s="112">
        <f>SUM(H29:H32)</f>
        <v>862433.51</v>
      </c>
      <c r="I33" s="113"/>
      <c r="J33"/>
      <c r="L33" t="s">
        <v>46</v>
      </c>
      <c r="N33" s="114">
        <f>ROUND(E33/D29,0)</f>
        <v>13919</v>
      </c>
      <c r="O33" s="94"/>
    </row>
    <row r="34" spans="1:15" ht="16.5" thickTop="1" x14ac:dyDescent="0.25">
      <c r="E34" s="104"/>
      <c r="H34" s="113"/>
      <c r="I34" s="113"/>
      <c r="J34"/>
      <c r="N34" s="73"/>
    </row>
    <row r="35" spans="1:15" x14ac:dyDescent="0.25">
      <c r="A35" t="s">
        <v>9</v>
      </c>
      <c r="B35" s="9" t="s">
        <v>4</v>
      </c>
      <c r="N35" s="73"/>
    </row>
    <row r="36" spans="1:15" x14ac:dyDescent="0.25">
      <c r="B36" s="95"/>
      <c r="C36" s="95"/>
      <c r="D36" s="95"/>
      <c r="E36" s="95"/>
      <c r="F36" s="95" t="s">
        <v>11</v>
      </c>
      <c r="G36" s="95" t="s">
        <v>12</v>
      </c>
      <c r="H36" s="78" t="s">
        <v>12</v>
      </c>
      <c r="I36" s="78"/>
      <c r="J36" s="95" t="s">
        <v>13</v>
      </c>
      <c r="K36" s="95"/>
      <c r="N36" s="115"/>
    </row>
    <row r="37" spans="1:15" x14ac:dyDescent="0.25">
      <c r="B37" s="95"/>
      <c r="C37" s="76" t="s">
        <v>14</v>
      </c>
      <c r="D37" s="76" t="s">
        <v>15</v>
      </c>
      <c r="E37" s="76" t="s">
        <v>16</v>
      </c>
      <c r="F37" s="97">
        <f>C38</f>
        <v>20000</v>
      </c>
      <c r="G37" s="98" t="e">
        <f>#REF!</f>
        <v>#REF!</v>
      </c>
      <c r="H37" s="77" t="e">
        <f>#REF!</f>
        <v>#REF!</v>
      </c>
      <c r="I37" s="77"/>
      <c r="J37" s="99">
        <f>C39</f>
        <v>20000</v>
      </c>
      <c r="K37" s="5" t="s">
        <v>32</v>
      </c>
      <c r="N37" s="115"/>
    </row>
    <row r="38" spans="1:15" x14ac:dyDescent="0.25">
      <c r="B38" s="95" t="s">
        <v>11</v>
      </c>
      <c r="C38" s="100">
        <v>20000</v>
      </c>
      <c r="D38" s="10">
        <v>11</v>
      </c>
      <c r="E38" s="10">
        <v>1076.6799999999998</v>
      </c>
      <c r="F38" s="79">
        <f>E38</f>
        <v>1076.6799999999998</v>
      </c>
      <c r="G38" s="79">
        <v>0</v>
      </c>
      <c r="H38" s="101">
        <v>0</v>
      </c>
      <c r="I38" s="101"/>
      <c r="J38" s="79">
        <v>0</v>
      </c>
      <c r="K38" s="79">
        <f>SUM(F38:J38)</f>
        <v>1076.6799999999998</v>
      </c>
      <c r="N38" s="115"/>
    </row>
    <row r="39" spans="1:15" x14ac:dyDescent="0.25">
      <c r="B39" s="95" t="s">
        <v>13</v>
      </c>
      <c r="C39" s="100">
        <f>SUM(C38:C38)</f>
        <v>20000</v>
      </c>
      <c r="D39" s="10">
        <v>13</v>
      </c>
      <c r="E39" s="10">
        <v>4734000</v>
      </c>
      <c r="F39" s="79">
        <f>$D39*F$21</f>
        <v>26000</v>
      </c>
      <c r="G39" s="79">
        <f>$D39*G$21</f>
        <v>26000</v>
      </c>
      <c r="H39" s="79">
        <f>$D39*H$21</f>
        <v>78000</v>
      </c>
      <c r="I39" s="79"/>
      <c r="J39" s="79">
        <f>E39-F39-G39-H39</f>
        <v>4604000</v>
      </c>
      <c r="K39" s="79">
        <f>SUM(F39:J39)</f>
        <v>4734000</v>
      </c>
      <c r="N39" s="115"/>
    </row>
    <row r="40" spans="1:15" ht="16.5" thickBot="1" x14ac:dyDescent="0.3">
      <c r="B40" s="95"/>
      <c r="C40" t="s">
        <v>17</v>
      </c>
      <c r="D40" s="102">
        <f t="shared" ref="D40:K40" si="3">SUM(D38:D39)</f>
        <v>24</v>
      </c>
      <c r="E40" s="102">
        <f t="shared" si="3"/>
        <v>4735076.68</v>
      </c>
      <c r="F40" s="102">
        <f t="shared" si="3"/>
        <v>27076.68</v>
      </c>
      <c r="G40" s="102">
        <f t="shared" si="3"/>
        <v>26000</v>
      </c>
      <c r="H40" s="103">
        <f t="shared" si="3"/>
        <v>78000</v>
      </c>
      <c r="I40" s="103"/>
      <c r="J40" s="102">
        <f t="shared" si="3"/>
        <v>4604000</v>
      </c>
      <c r="K40" s="102">
        <f t="shared" si="3"/>
        <v>4735076.68</v>
      </c>
      <c r="N40" s="115"/>
    </row>
    <row r="41" spans="1:15" ht="16.5" thickTop="1" x14ac:dyDescent="0.25">
      <c r="J41"/>
    </row>
    <row r="42" spans="1:15" x14ac:dyDescent="0.25">
      <c r="B42" s="71" t="s">
        <v>33</v>
      </c>
      <c r="C42" s="71"/>
      <c r="D42" s="71"/>
      <c r="E42" s="71"/>
      <c r="F42" s="71"/>
      <c r="G42" s="71"/>
      <c r="H42" s="71"/>
      <c r="I42" s="72"/>
      <c r="J42"/>
    </row>
    <row r="43" spans="1:15" x14ac:dyDescent="0.25">
      <c r="C43" s="105"/>
      <c r="D43" s="106" t="s">
        <v>15</v>
      </c>
      <c r="E43" s="106" t="s">
        <v>16</v>
      </c>
      <c r="F43" s="71" t="s">
        <v>34</v>
      </c>
      <c r="G43" s="71"/>
      <c r="H43" s="106" t="s">
        <v>22</v>
      </c>
      <c r="I43" s="72"/>
      <c r="J43"/>
    </row>
    <row r="44" spans="1:15" x14ac:dyDescent="0.25">
      <c r="B44" s="95" t="s">
        <v>11</v>
      </c>
      <c r="C44" s="79">
        <f>C38</f>
        <v>20000</v>
      </c>
      <c r="D44" s="104">
        <f>D40</f>
        <v>24</v>
      </c>
      <c r="E44" s="104">
        <f>F40</f>
        <v>27076.68</v>
      </c>
      <c r="F44" s="107">
        <v>110.67999999999999</v>
      </c>
      <c r="G44" t="s">
        <v>35</v>
      </c>
      <c r="H44" s="107">
        <f>F44*D44</f>
        <v>2656.3199999999997</v>
      </c>
      <c r="I44" s="107"/>
      <c r="J44"/>
    </row>
    <row r="45" spans="1:15" x14ac:dyDescent="0.25">
      <c r="B45" s="95" t="s">
        <v>13</v>
      </c>
      <c r="C45" s="79">
        <f>C39</f>
        <v>20000</v>
      </c>
      <c r="D45" s="105"/>
      <c r="E45" s="111">
        <f>J39</f>
        <v>4604000</v>
      </c>
      <c r="F45" s="108">
        <v>4.9899999999999996E-3</v>
      </c>
      <c r="G45" t="s">
        <v>36</v>
      </c>
      <c r="H45" s="109">
        <f>ROUND(E45*F45,2)</f>
        <v>22973.96</v>
      </c>
      <c r="I45" s="109"/>
      <c r="J45"/>
    </row>
    <row r="46" spans="1:15" ht="16.5" thickBot="1" x14ac:dyDescent="0.3">
      <c r="C46" t="s">
        <v>37</v>
      </c>
      <c r="E46" s="102">
        <f>SUM(E44:E45)</f>
        <v>4631076.68</v>
      </c>
      <c r="H46" s="112">
        <f>SUM(H44:H45)</f>
        <v>25630.28</v>
      </c>
      <c r="I46" s="113"/>
      <c r="J46"/>
    </row>
    <row r="47" spans="1:15" ht="16.5" thickTop="1" x14ac:dyDescent="0.25"/>
  </sheetData>
  <mergeCells count="8">
    <mergeCell ref="F28:G28"/>
    <mergeCell ref="B42:H42"/>
    <mergeCell ref="F43:G43"/>
    <mergeCell ref="A1:L1"/>
    <mergeCell ref="A2:L2"/>
    <mergeCell ref="A4:L4"/>
    <mergeCell ref="F5:H5"/>
    <mergeCell ref="C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5FB45-CC6D-4DC8-9CB9-28AF1F5F6552}">
  <dimension ref="A1:U45"/>
  <sheetViews>
    <sheetView tabSelected="1" topLeftCell="A24" workbookViewId="0">
      <selection activeCell="B28" sqref="B28:H28"/>
    </sheetView>
  </sheetViews>
  <sheetFormatPr defaultColWidth="19" defaultRowHeight="15.75" x14ac:dyDescent="0.25"/>
  <cols>
    <col min="1" max="1" width="11" customWidth="1"/>
    <col min="2" max="3" width="13.85546875" customWidth="1"/>
    <col min="8" max="10" width="19" style="94"/>
    <col min="14" max="14" width="19" style="116"/>
  </cols>
  <sheetData>
    <row r="1" spans="1:19" ht="18.75" x14ac:dyDescent="0.3">
      <c r="A1" s="59" t="s">
        <v>38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  <c r="N1" s="62" t="s">
        <v>39</v>
      </c>
      <c r="O1" s="61"/>
      <c r="P1" s="61"/>
      <c r="Q1" s="61"/>
      <c r="R1" s="61"/>
      <c r="S1" s="61"/>
    </row>
    <row r="2" spans="1:19" ht="18.75" x14ac:dyDescent="0.3">
      <c r="A2" s="63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4" t="s">
        <v>40</v>
      </c>
      <c r="O2" s="65"/>
      <c r="P2" s="65"/>
      <c r="Q2" s="65"/>
      <c r="R2" s="65"/>
      <c r="S2" s="65"/>
    </row>
    <row r="3" spans="1:19" ht="19.5" thickBot="1" x14ac:dyDescent="0.35">
      <c r="A3" s="66"/>
      <c r="B3" s="67"/>
      <c r="C3" s="67"/>
      <c r="D3" s="67"/>
      <c r="E3" s="67"/>
      <c r="F3" s="67"/>
      <c r="G3" s="67"/>
      <c r="H3" s="67"/>
      <c r="I3" s="67"/>
      <c r="J3" s="61"/>
      <c r="K3" s="61"/>
      <c r="L3" s="61"/>
      <c r="M3" s="61"/>
      <c r="N3" s="68" t="s">
        <v>41</v>
      </c>
      <c r="O3" s="67"/>
      <c r="P3" s="67"/>
      <c r="Q3" s="67"/>
      <c r="R3" s="67"/>
      <c r="S3" s="67"/>
    </row>
    <row r="4" spans="1:19" ht="18.75" x14ac:dyDescent="0.3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1"/>
      <c r="N4" s="70"/>
      <c r="O4" s="61"/>
      <c r="P4" s="61"/>
      <c r="Q4" s="61"/>
      <c r="R4" s="61"/>
      <c r="S4" s="61"/>
    </row>
    <row r="5" spans="1:19" ht="18.75" x14ac:dyDescent="0.3">
      <c r="F5" s="71" t="s">
        <v>19</v>
      </c>
      <c r="G5" s="71"/>
      <c r="H5" s="71"/>
      <c r="I5" s="72"/>
      <c r="J5" s="61"/>
      <c r="K5" s="61"/>
      <c r="L5" s="61"/>
      <c r="M5" s="61"/>
      <c r="N5" s="73"/>
    </row>
    <row r="6" spans="1:19" ht="18.75" x14ac:dyDescent="0.3">
      <c r="B6" s="74"/>
      <c r="C6" s="75" t="s">
        <v>2</v>
      </c>
      <c r="D6" s="75"/>
      <c r="F6" s="76" t="s">
        <v>20</v>
      </c>
      <c r="G6" s="76" t="s">
        <v>21</v>
      </c>
      <c r="H6" s="77" t="s">
        <v>22</v>
      </c>
      <c r="I6" s="78"/>
      <c r="J6" s="61"/>
      <c r="K6" s="61"/>
      <c r="L6" s="61"/>
      <c r="M6" s="61"/>
      <c r="N6" s="73"/>
    </row>
    <row r="7" spans="1:19" ht="18.75" x14ac:dyDescent="0.3">
      <c r="B7" s="74"/>
      <c r="C7" t="s">
        <v>3</v>
      </c>
      <c r="F7" s="79">
        <f>D29</f>
        <v>10943</v>
      </c>
      <c r="G7" s="79">
        <f>E33</f>
        <v>152312000</v>
      </c>
      <c r="H7" s="80">
        <f>H33</f>
        <v>862433.51</v>
      </c>
      <c r="I7" s="80"/>
      <c r="J7" s="81"/>
      <c r="K7" s="61"/>
      <c r="L7" s="61"/>
      <c r="M7" s="61"/>
      <c r="N7" s="73"/>
    </row>
    <row r="8" spans="1:19" ht="18.75" x14ac:dyDescent="0.3">
      <c r="B8" s="74"/>
      <c r="C8" s="1" t="s">
        <v>4</v>
      </c>
      <c r="F8" s="79">
        <f>D43</f>
        <v>24</v>
      </c>
      <c r="G8" s="79">
        <f>E45</f>
        <v>4735076.68</v>
      </c>
      <c r="H8" s="80">
        <f>H45</f>
        <v>24981.579999999998</v>
      </c>
      <c r="I8" s="80"/>
      <c r="J8" s="81"/>
      <c r="K8" s="61"/>
      <c r="L8" s="61"/>
      <c r="M8" s="61"/>
      <c r="N8" s="73"/>
    </row>
    <row r="9" spans="1:19" ht="18.75" x14ac:dyDescent="0.3">
      <c r="B9" s="74"/>
      <c r="C9" s="82" t="s">
        <v>5</v>
      </c>
      <c r="D9" s="82"/>
      <c r="F9" s="76"/>
      <c r="G9" s="76"/>
      <c r="H9" s="83">
        <v>0</v>
      </c>
      <c r="I9" s="84"/>
      <c r="J9" s="61"/>
      <c r="K9" s="61"/>
      <c r="L9" s="61"/>
      <c r="M9" s="61"/>
      <c r="N9" s="73"/>
    </row>
    <row r="10" spans="1:19" ht="19.5" thickBot="1" x14ac:dyDescent="0.35">
      <c r="B10" s="74"/>
      <c r="C10" s="82" t="s">
        <v>6</v>
      </c>
      <c r="D10" s="82"/>
      <c r="F10" s="85">
        <f>SUM(F7:F9)</f>
        <v>10967</v>
      </c>
      <c r="G10" s="85">
        <f>SUM(G7:G9)</f>
        <v>157047076.68000001</v>
      </c>
      <c r="H10" s="86">
        <f>SUM(H7:H9)</f>
        <v>887415.09</v>
      </c>
      <c r="I10" s="86"/>
      <c r="J10" s="61"/>
      <c r="K10" s="61"/>
      <c r="L10" s="61"/>
      <c r="M10" s="61"/>
      <c r="N10" s="73"/>
    </row>
    <row r="11" spans="1:19" ht="19.5" thickTop="1" x14ac:dyDescent="0.3">
      <c r="B11" s="74"/>
      <c r="C11" s="7" t="s">
        <v>42</v>
      </c>
      <c r="D11" s="82"/>
      <c r="F11" s="87"/>
      <c r="G11" s="87"/>
      <c r="H11" s="88">
        <v>-784341.04999999993</v>
      </c>
      <c r="I11" s="87"/>
      <c r="J11" s="61"/>
      <c r="K11" s="61"/>
      <c r="L11" s="61"/>
      <c r="M11" s="61"/>
      <c r="N11" s="73"/>
    </row>
    <row r="12" spans="1:19" ht="19.5" thickBot="1" x14ac:dyDescent="0.35">
      <c r="B12" s="74"/>
      <c r="C12" s="89" t="s">
        <v>8</v>
      </c>
      <c r="D12" s="89"/>
      <c r="F12" s="87"/>
      <c r="G12" s="87"/>
      <c r="H12" s="90">
        <f>SUM(H10:H11)</f>
        <v>103074.04000000004</v>
      </c>
      <c r="I12" s="91"/>
      <c r="J12" s="61"/>
      <c r="K12" s="61"/>
      <c r="L12" s="61"/>
      <c r="M12" s="61"/>
      <c r="N12" s="73"/>
    </row>
    <row r="13" spans="1:19" ht="19.5" thickTop="1" x14ac:dyDescent="0.3">
      <c r="B13" s="74"/>
      <c r="H13" s="92"/>
      <c r="I13" s="92"/>
      <c r="J13" s="61"/>
      <c r="K13" s="61"/>
      <c r="L13" s="61"/>
      <c r="M13" s="61"/>
      <c r="N13" s="73"/>
    </row>
    <row r="14" spans="1:19" ht="18.75" x14ac:dyDescent="0.3">
      <c r="B14" s="74"/>
      <c r="C14" s="7" t="s">
        <v>43</v>
      </c>
      <c r="H14" s="93">
        <f>H10</f>
        <v>887415.09</v>
      </c>
      <c r="I14" s="93"/>
      <c r="J14" s="61"/>
      <c r="N14" s="73"/>
    </row>
    <row r="15" spans="1:19" ht="18.75" x14ac:dyDescent="0.3">
      <c r="B15" s="74"/>
      <c r="C15" s="7" t="s">
        <v>44</v>
      </c>
      <c r="D15" s="1"/>
      <c r="H15" s="79">
        <v>-886847</v>
      </c>
      <c r="I15" s="79"/>
      <c r="J15" s="61"/>
      <c r="N15" s="73"/>
    </row>
    <row r="16" spans="1:19" ht="19.5" thickBot="1" x14ac:dyDescent="0.35">
      <c r="B16" s="74"/>
      <c r="C16" s="7" t="s">
        <v>45</v>
      </c>
      <c r="H16" s="90">
        <f>SUM(H14:H15)</f>
        <v>568.0899999999674</v>
      </c>
      <c r="I16" s="91"/>
      <c r="J16" s="61"/>
      <c r="N16" s="73"/>
    </row>
    <row r="17" spans="1:21" ht="19.5" thickTop="1" x14ac:dyDescent="0.3">
      <c r="B17" s="74"/>
      <c r="C17" s="82"/>
      <c r="H17" s="91"/>
      <c r="I17" s="91"/>
      <c r="J17" s="61"/>
      <c r="N17" s="73"/>
    </row>
    <row r="18" spans="1:21" x14ac:dyDescent="0.25">
      <c r="B18" s="74"/>
      <c r="N18" s="73"/>
    </row>
    <row r="19" spans="1:21" x14ac:dyDescent="0.25">
      <c r="A19" t="s">
        <v>9</v>
      </c>
      <c r="B19" s="9" t="s">
        <v>10</v>
      </c>
      <c r="N19" s="73"/>
    </row>
    <row r="20" spans="1:21" x14ac:dyDescent="0.25">
      <c r="B20" s="95"/>
      <c r="C20" s="95"/>
      <c r="D20" s="95"/>
      <c r="E20" s="95"/>
      <c r="F20" s="95" t="s">
        <v>11</v>
      </c>
      <c r="G20" s="95" t="s">
        <v>12</v>
      </c>
      <c r="H20" s="78" t="s">
        <v>12</v>
      </c>
      <c r="I20" s="78"/>
      <c r="J20" s="95" t="s">
        <v>13</v>
      </c>
      <c r="K20" s="95"/>
      <c r="M20" s="95"/>
      <c r="N20" s="96"/>
      <c r="O20" s="95"/>
      <c r="P20" s="95" t="s">
        <v>28</v>
      </c>
      <c r="Q20" s="95" t="s">
        <v>29</v>
      </c>
      <c r="R20" s="95" t="s">
        <v>30</v>
      </c>
      <c r="S20" s="95" t="s">
        <v>31</v>
      </c>
      <c r="T20" s="95" t="s">
        <v>14</v>
      </c>
    </row>
    <row r="21" spans="1:21" x14ac:dyDescent="0.25">
      <c r="B21" s="95"/>
      <c r="C21" s="76" t="s">
        <v>14</v>
      </c>
      <c r="D21" s="76" t="s">
        <v>15</v>
      </c>
      <c r="E21" s="76" t="s">
        <v>16</v>
      </c>
      <c r="F21" s="97">
        <f>C22</f>
        <v>2000</v>
      </c>
      <c r="G21" s="98">
        <f>C23</f>
        <v>2000</v>
      </c>
      <c r="H21" s="77">
        <f>C24</f>
        <v>6000</v>
      </c>
      <c r="I21" s="77"/>
      <c r="J21" s="99">
        <f>C25</f>
        <v>10000</v>
      </c>
      <c r="K21" s="5" t="s">
        <v>32</v>
      </c>
      <c r="M21" s="95"/>
      <c r="N21" s="96"/>
      <c r="O21" s="95"/>
      <c r="P21" s="95"/>
      <c r="Q21" s="95"/>
      <c r="R21" s="95"/>
      <c r="S21" s="95"/>
    </row>
    <row r="22" spans="1:21" x14ac:dyDescent="0.25">
      <c r="B22" s="95" t="s">
        <v>11</v>
      </c>
      <c r="C22" s="100">
        <v>2000</v>
      </c>
      <c r="D22" s="10">
        <v>3522</v>
      </c>
      <c r="E22" s="10">
        <v>4895000</v>
      </c>
      <c r="F22" s="79">
        <f>E22</f>
        <v>4895000</v>
      </c>
      <c r="G22" s="79">
        <v>0</v>
      </c>
      <c r="H22" s="101">
        <v>0</v>
      </c>
      <c r="I22" s="101"/>
      <c r="J22" s="79">
        <v>0</v>
      </c>
      <c r="K22" s="79">
        <f>SUM(F22:J22)</f>
        <v>4895000</v>
      </c>
      <c r="M22" s="79"/>
      <c r="N22" s="96"/>
      <c r="O22" s="79"/>
      <c r="P22" s="79">
        <v>42</v>
      </c>
      <c r="Q22" s="79">
        <v>5</v>
      </c>
      <c r="R22" s="79">
        <v>345</v>
      </c>
      <c r="S22" s="79">
        <f>SUM(P22:R22)</f>
        <v>392</v>
      </c>
      <c r="T22" s="79">
        <v>584461</v>
      </c>
    </row>
    <row r="23" spans="1:21" x14ac:dyDescent="0.25">
      <c r="B23" s="95" t="s">
        <v>12</v>
      </c>
      <c r="C23" s="100">
        <v>2000</v>
      </c>
      <c r="D23" s="10">
        <v>3372</v>
      </c>
      <c r="E23" s="10">
        <v>11598000</v>
      </c>
      <c r="F23" s="79">
        <f>$D23*F$21</f>
        <v>6744000</v>
      </c>
      <c r="G23" s="79">
        <f>E23-F23</f>
        <v>4854000</v>
      </c>
      <c r="H23" s="101">
        <v>0</v>
      </c>
      <c r="I23" s="101"/>
      <c r="J23" s="79">
        <v>0</v>
      </c>
      <c r="K23" s="79">
        <f>SUM(F23:J23)</f>
        <v>11598000</v>
      </c>
      <c r="M23" s="79"/>
      <c r="N23" s="96"/>
      <c r="O23" s="79"/>
      <c r="P23" s="79">
        <v>28</v>
      </c>
      <c r="Q23" s="79">
        <v>4</v>
      </c>
      <c r="R23" s="79">
        <v>279</v>
      </c>
      <c r="S23" s="79">
        <f t="shared" ref="S23:S25" si="0">SUM(P23:R23)</f>
        <v>311</v>
      </c>
      <c r="T23" s="79">
        <v>2986709</v>
      </c>
      <c r="U23" s="79">
        <f>SUM(H23:T23)</f>
        <v>14585331</v>
      </c>
    </row>
    <row r="24" spans="1:21" x14ac:dyDescent="0.25">
      <c r="B24" s="95" t="s">
        <v>12</v>
      </c>
      <c r="C24" s="100">
        <v>6000</v>
      </c>
      <c r="D24" s="10">
        <v>2461</v>
      </c>
      <c r="E24" s="10">
        <v>15839000</v>
      </c>
      <c r="F24" s="79">
        <f>$D24*F$21</f>
        <v>4922000</v>
      </c>
      <c r="G24" s="79">
        <f>$D24*G$21</f>
        <v>4922000</v>
      </c>
      <c r="H24" s="101">
        <f>E24-F24-G24</f>
        <v>5995000</v>
      </c>
      <c r="I24" s="101"/>
      <c r="J24" s="79"/>
      <c r="K24" s="79">
        <f>SUM(F24:J24)</f>
        <v>15839000</v>
      </c>
      <c r="M24" s="79"/>
      <c r="N24" s="96"/>
      <c r="O24" s="79"/>
      <c r="P24" s="79">
        <v>35</v>
      </c>
      <c r="Q24" s="79">
        <v>5</v>
      </c>
      <c r="R24" s="79">
        <v>365</v>
      </c>
      <c r="S24" s="79">
        <f t="shared" si="0"/>
        <v>405</v>
      </c>
      <c r="T24" s="79">
        <v>9065369</v>
      </c>
    </row>
    <row r="25" spans="1:21" x14ac:dyDescent="0.25">
      <c r="B25" s="95" t="s">
        <v>13</v>
      </c>
      <c r="C25" s="100">
        <f>SUM(C22:C24)</f>
        <v>10000</v>
      </c>
      <c r="D25" s="10">
        <v>1588</v>
      </c>
      <c r="E25" s="10">
        <v>119980000</v>
      </c>
      <c r="F25" s="79">
        <f>$D25*F$21</f>
        <v>3176000</v>
      </c>
      <c r="G25" s="79">
        <f>$D25*G$21</f>
        <v>3176000</v>
      </c>
      <c r="H25" s="79">
        <f>$D25*H$21</f>
        <v>9528000</v>
      </c>
      <c r="I25" s="79"/>
      <c r="J25" s="79">
        <f>E25-F25-G25-H25</f>
        <v>104100000</v>
      </c>
      <c r="K25" s="79">
        <f>SUM(F25:J25)</f>
        <v>119980000</v>
      </c>
      <c r="M25" s="79"/>
      <c r="N25" s="96"/>
      <c r="O25" s="79"/>
      <c r="P25" s="79">
        <v>46</v>
      </c>
      <c r="Q25" s="79">
        <v>8</v>
      </c>
      <c r="R25" s="79">
        <v>1508</v>
      </c>
      <c r="S25" s="79">
        <f t="shared" si="0"/>
        <v>1562</v>
      </c>
      <c r="T25" s="79">
        <v>259205833</v>
      </c>
    </row>
    <row r="26" spans="1:21" ht="16.5" thickBot="1" x14ac:dyDescent="0.3">
      <c r="B26" s="95"/>
      <c r="C26" t="s">
        <v>17</v>
      </c>
      <c r="D26" s="102">
        <f>SUM(D22:D25)</f>
        <v>10943</v>
      </c>
      <c r="E26" s="102">
        <f t="shared" ref="E26:K26" si="1">SUM(E22:E25)</f>
        <v>152312000</v>
      </c>
      <c r="F26" s="102">
        <f t="shared" si="1"/>
        <v>19737000</v>
      </c>
      <c r="G26" s="102">
        <f t="shared" si="1"/>
        <v>12952000</v>
      </c>
      <c r="H26" s="103">
        <f t="shared" si="1"/>
        <v>15523000</v>
      </c>
      <c r="I26" s="103"/>
      <c r="J26" s="102">
        <f t="shared" si="1"/>
        <v>104100000</v>
      </c>
      <c r="K26" s="102">
        <f t="shared" si="1"/>
        <v>152312000</v>
      </c>
      <c r="M26" s="104"/>
      <c r="N26" s="73"/>
      <c r="O26" s="104"/>
      <c r="P26" s="104">
        <f>SUM(P22:P25)</f>
        <v>151</v>
      </c>
      <c r="Q26" s="104">
        <f>SUM(Q22:Q25)</f>
        <v>22</v>
      </c>
      <c r="R26" s="104">
        <f>SUM(R22:R25)</f>
        <v>2497</v>
      </c>
      <c r="S26" s="104">
        <f>SUM(S22:S25)</f>
        <v>2670</v>
      </c>
      <c r="T26" s="104">
        <f>SUM(T22:T25)</f>
        <v>271842372</v>
      </c>
    </row>
    <row r="27" spans="1:21" ht="16.5" thickTop="1" x14ac:dyDescent="0.25">
      <c r="J27"/>
      <c r="N27" s="73"/>
    </row>
    <row r="28" spans="1:21" x14ac:dyDescent="0.25">
      <c r="C28" s="105"/>
      <c r="D28" s="106" t="s">
        <v>15</v>
      </c>
      <c r="E28" s="106" t="s">
        <v>16</v>
      </c>
      <c r="F28" s="71" t="s">
        <v>34</v>
      </c>
      <c r="G28" s="71"/>
      <c r="H28" s="106" t="s">
        <v>22</v>
      </c>
      <c r="I28" s="72"/>
      <c r="J28"/>
      <c r="N28" s="73"/>
    </row>
    <row r="29" spans="1:21" x14ac:dyDescent="0.25">
      <c r="B29" s="95" t="s">
        <v>11</v>
      </c>
      <c r="C29" s="79">
        <f>C22</f>
        <v>2000</v>
      </c>
      <c r="D29" s="104">
        <f>D26</f>
        <v>10943</v>
      </c>
      <c r="E29" s="104">
        <f>F26</f>
        <v>19737000</v>
      </c>
      <c r="F29" s="107">
        <v>17.16</v>
      </c>
      <c r="G29" t="s">
        <v>35</v>
      </c>
      <c r="H29" s="107">
        <f>F29*D29</f>
        <v>187781.88</v>
      </c>
      <c r="I29" s="107"/>
      <c r="J29"/>
      <c r="N29" s="73"/>
    </row>
    <row r="30" spans="1:21" x14ac:dyDescent="0.25">
      <c r="B30" s="95" t="s">
        <v>12</v>
      </c>
      <c r="C30" s="79">
        <f>C23</f>
        <v>2000</v>
      </c>
      <c r="E30" s="104">
        <f>G26</f>
        <v>12952000</v>
      </c>
      <c r="F30" s="108">
        <v>5.6899999999999997E-3</v>
      </c>
      <c r="G30" t="s">
        <v>36</v>
      </c>
      <c r="H30" s="109">
        <f>ROUND(E30*F30,2)</f>
        <v>73696.88</v>
      </c>
      <c r="I30" s="109"/>
      <c r="J30"/>
      <c r="N30" s="73"/>
      <c r="U30" s="110">
        <v>9.5399999999999991</v>
      </c>
    </row>
    <row r="31" spans="1:21" x14ac:dyDescent="0.25">
      <c r="B31" s="95" t="s">
        <v>12</v>
      </c>
      <c r="C31" s="79">
        <f>C24</f>
        <v>6000</v>
      </c>
      <c r="E31" s="104">
        <f>H26</f>
        <v>15523000</v>
      </c>
      <c r="F31" s="108">
        <v>5.2500000000000003E-3</v>
      </c>
      <c r="G31" t="s">
        <v>36</v>
      </c>
      <c r="H31" s="109">
        <f t="shared" ref="H31" si="2">ROUND(E31*F31,2)</f>
        <v>81495.75</v>
      </c>
      <c r="I31" s="109"/>
      <c r="J31"/>
      <c r="N31" s="73"/>
      <c r="U31" s="110">
        <v>8.77</v>
      </c>
    </row>
    <row r="32" spans="1:21" x14ac:dyDescent="0.25">
      <c r="B32" s="95" t="s">
        <v>13</v>
      </c>
      <c r="C32" s="79">
        <f>C25</f>
        <v>10000</v>
      </c>
      <c r="D32" s="105"/>
      <c r="E32" s="111">
        <f>J25</f>
        <v>104100000</v>
      </c>
      <c r="F32" s="108">
        <v>4.9899999999999996E-3</v>
      </c>
      <c r="G32" t="s">
        <v>36</v>
      </c>
      <c r="H32" s="109">
        <f>ROUND(E32*F32,2)</f>
        <v>519459</v>
      </c>
      <c r="I32" s="109"/>
      <c r="J32"/>
      <c r="N32" s="73"/>
      <c r="U32" s="110">
        <v>6.77</v>
      </c>
    </row>
    <row r="33" spans="1:15" ht="16.5" thickBot="1" x14ac:dyDescent="0.3">
      <c r="C33" t="s">
        <v>37</v>
      </c>
      <c r="E33" s="102">
        <f>SUM(E29:E32)</f>
        <v>152312000</v>
      </c>
      <c r="H33" s="112">
        <f>SUM(H29:H32)</f>
        <v>862433.51</v>
      </c>
      <c r="I33" s="113"/>
      <c r="J33"/>
      <c r="L33" t="s">
        <v>46</v>
      </c>
      <c r="N33" s="114">
        <f>ROUND(E33/D29,0)</f>
        <v>13919</v>
      </c>
      <c r="O33" s="94"/>
    </row>
    <row r="34" spans="1:15" ht="16.5" thickTop="1" x14ac:dyDescent="0.25">
      <c r="E34" s="104"/>
      <c r="H34" s="113"/>
      <c r="I34" s="113"/>
      <c r="J34"/>
      <c r="N34" s="73"/>
    </row>
    <row r="35" spans="1:15" x14ac:dyDescent="0.25">
      <c r="A35" t="s">
        <v>9</v>
      </c>
      <c r="B35" s="9" t="s">
        <v>4</v>
      </c>
      <c r="N35" s="73"/>
    </row>
    <row r="36" spans="1:15" x14ac:dyDescent="0.25">
      <c r="B36" s="6"/>
      <c r="C36" s="6"/>
      <c r="D36" s="6"/>
      <c r="E36" s="6"/>
      <c r="F36" s="6" t="s">
        <v>11</v>
      </c>
      <c r="G36" s="6" t="s">
        <v>13</v>
      </c>
      <c r="H36" s="44"/>
      <c r="J36" s="39"/>
      <c r="K36" s="42"/>
      <c r="L36" s="1"/>
      <c r="M36" s="1"/>
      <c r="N36" s="115"/>
    </row>
    <row r="37" spans="1:15" x14ac:dyDescent="0.25">
      <c r="B37" s="6"/>
      <c r="C37" s="5" t="s">
        <v>14</v>
      </c>
      <c r="D37" s="5" t="s">
        <v>15</v>
      </c>
      <c r="E37" s="5" t="s">
        <v>16</v>
      </c>
      <c r="F37" s="45">
        <f>C38</f>
        <v>20000</v>
      </c>
      <c r="G37" s="46">
        <f>C39</f>
        <v>20000</v>
      </c>
      <c r="H37" s="47" t="s">
        <v>32</v>
      </c>
      <c r="J37" s="39"/>
      <c r="K37" s="42"/>
      <c r="L37" s="1"/>
      <c r="M37" s="1"/>
      <c r="N37" s="115"/>
    </row>
    <row r="38" spans="1:15" x14ac:dyDescent="0.25">
      <c r="B38" s="6" t="s">
        <v>11</v>
      </c>
      <c r="C38" s="10">
        <v>20000</v>
      </c>
      <c r="D38" s="10">
        <v>11</v>
      </c>
      <c r="E38" s="11">
        <v>1076.6799999999998</v>
      </c>
      <c r="F38" s="28">
        <f>E38</f>
        <v>1076.6799999999998</v>
      </c>
      <c r="G38" s="28">
        <v>0</v>
      </c>
      <c r="H38" s="28">
        <f>SUM(F38:G38)</f>
        <v>1076.6799999999998</v>
      </c>
      <c r="J38" s="39"/>
      <c r="K38" s="42"/>
      <c r="L38" s="1"/>
      <c r="M38" s="1"/>
      <c r="N38" s="115"/>
    </row>
    <row r="39" spans="1:15" x14ac:dyDescent="0.25">
      <c r="B39" s="6" t="s">
        <v>13</v>
      </c>
      <c r="C39" s="10">
        <f>SUM(C38:C38)</f>
        <v>20000</v>
      </c>
      <c r="D39" s="10">
        <v>13</v>
      </c>
      <c r="E39" s="13">
        <v>4734000</v>
      </c>
      <c r="F39" s="28">
        <f>D39*F37</f>
        <v>260000</v>
      </c>
      <c r="G39" s="28">
        <f>E39-F39</f>
        <v>4474000</v>
      </c>
      <c r="H39" s="28">
        <f>SUM(F39:G39)</f>
        <v>4734000</v>
      </c>
      <c r="J39" s="39"/>
      <c r="K39" s="42"/>
      <c r="L39" s="1"/>
      <c r="M39" s="1"/>
      <c r="N39" s="115"/>
    </row>
    <row r="40" spans="1:15" ht="16.5" thickBot="1" x14ac:dyDescent="0.3">
      <c r="B40" s="6"/>
      <c r="C40" s="1" t="s">
        <v>17</v>
      </c>
      <c r="D40" s="14">
        <f t="shared" ref="D40" si="3">SUM(D38:D39)</f>
        <v>24</v>
      </c>
      <c r="E40" s="14">
        <f>SUM(E38:E39)</f>
        <v>4735076.68</v>
      </c>
      <c r="F40" s="14">
        <f>SUM(F38:F39)</f>
        <v>261076.68</v>
      </c>
      <c r="G40" s="14">
        <f>SUM(G38:G39)</f>
        <v>4474000</v>
      </c>
      <c r="H40" s="14">
        <f>SUM(H38:H39)</f>
        <v>4735076.68</v>
      </c>
      <c r="J40" s="39"/>
      <c r="K40" s="42"/>
      <c r="L40" s="1"/>
      <c r="M40" s="1"/>
      <c r="N40" s="115"/>
    </row>
    <row r="41" spans="1:15" ht="16.5" thickTop="1" x14ac:dyDescent="0.25">
      <c r="J41"/>
    </row>
    <row r="42" spans="1:15" x14ac:dyDescent="0.25">
      <c r="C42" s="105"/>
      <c r="D42" s="106" t="s">
        <v>15</v>
      </c>
      <c r="E42" s="106" t="s">
        <v>16</v>
      </c>
      <c r="F42" s="71" t="s">
        <v>34</v>
      </c>
      <c r="G42" s="71"/>
      <c r="H42" s="106" t="s">
        <v>22</v>
      </c>
      <c r="I42" s="72"/>
      <c r="J42"/>
    </row>
    <row r="43" spans="1:15" x14ac:dyDescent="0.25">
      <c r="B43" s="95" t="s">
        <v>11</v>
      </c>
      <c r="C43" s="79">
        <f>C38</f>
        <v>20000</v>
      </c>
      <c r="D43" s="104">
        <f>D40</f>
        <v>24</v>
      </c>
      <c r="E43" s="104">
        <f>F40</f>
        <v>261076.68</v>
      </c>
      <c r="F43" s="107">
        <v>110.67999999999999</v>
      </c>
      <c r="G43" t="s">
        <v>35</v>
      </c>
      <c r="H43" s="107">
        <f>F43*D43</f>
        <v>2656.3199999999997</v>
      </c>
      <c r="I43" s="107"/>
      <c r="J43"/>
    </row>
    <row r="44" spans="1:15" x14ac:dyDescent="0.25">
      <c r="B44" s="95" t="s">
        <v>13</v>
      </c>
      <c r="C44" s="79">
        <f>C39</f>
        <v>20000</v>
      </c>
      <c r="D44" s="105"/>
      <c r="E44" s="111">
        <f>G40</f>
        <v>4474000</v>
      </c>
      <c r="F44" s="108">
        <v>4.9899999999999996E-3</v>
      </c>
      <c r="G44" t="s">
        <v>36</v>
      </c>
      <c r="H44" s="109">
        <f>ROUND(E44*F44,2)</f>
        <v>22325.26</v>
      </c>
      <c r="I44" s="109"/>
      <c r="J44"/>
    </row>
    <row r="45" spans="1:15" ht="16.5" thickBot="1" x14ac:dyDescent="0.3">
      <c r="C45" t="s">
        <v>37</v>
      </c>
      <c r="E45" s="102">
        <f>SUM(E43:E44)</f>
        <v>4735076.68</v>
      </c>
      <c r="H45" s="112">
        <f>SUM(H43:H44)</f>
        <v>24981.579999999998</v>
      </c>
      <c r="I45" s="113"/>
      <c r="J45"/>
    </row>
  </sheetData>
  <mergeCells count="7">
    <mergeCell ref="F28:G28"/>
    <mergeCell ref="F42:G42"/>
    <mergeCell ref="A1:L1"/>
    <mergeCell ref="A2:L2"/>
    <mergeCell ref="A4:L4"/>
    <mergeCell ref="F5:H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 BA</vt:lpstr>
      <vt:lpstr>Prop BA - Original</vt:lpstr>
      <vt:lpstr>Prop BA - Revised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Frost</dc:creator>
  <cp:lastModifiedBy>Mark Frost</cp:lastModifiedBy>
  <dcterms:created xsi:type="dcterms:W3CDTF">2025-12-02T19:26:15Z</dcterms:created>
  <dcterms:modified xsi:type="dcterms:W3CDTF">2026-02-13T17:51:03Z</dcterms:modified>
</cp:coreProperties>
</file>