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ofirm-my.sharepoint.com/personal/monica_braun_skofirm_com/Documents/Desktop/2026 PRP/"/>
    </mc:Choice>
  </mc:AlternateContent>
  <xr:revisionPtr revIDLastSave="2" documentId="13_ncr:1_{7495FE64-1D44-40E8-A08B-0A2753AB87C0}" xr6:coauthVersionLast="47" xr6:coauthVersionMax="47" xr10:uidLastSave="{A0B21840-3B08-4700-8D44-62583C4F1857}"/>
  <bookViews>
    <workbookView xWindow="-110" yWindow="-110" windowWidth="19420" windowHeight="11500" tabRatio="948" xr2:uid="{00000000-000D-0000-FFFF-FFFF00000000}"/>
  </bookViews>
  <sheets>
    <sheet name="Sch I Summary" sheetId="5" r:id="rId1"/>
    <sheet name="Sch II 2023 Yr 1" sheetId="45" state="hidden" r:id="rId2"/>
    <sheet name="Sch II 2023 Yr 2" sheetId="46" state="hidden" r:id="rId3"/>
    <sheet name="Sch II 2023 Yr 3" sheetId="48" state="hidden" r:id="rId4"/>
    <sheet name="Sch II 2023 Yr 4" sheetId="49" r:id="rId5"/>
    <sheet name="Sch II 2024 Yr 1" sheetId="41" state="hidden" r:id="rId6"/>
    <sheet name="Sch II 2024 Yr 2" sheetId="35" state="hidden" r:id="rId7"/>
    <sheet name="Sch II 2024 Yr 3" sheetId="50" r:id="rId8"/>
    <sheet name="Sch II 2025 Yr 1" sheetId="34" state="hidden" r:id="rId9"/>
    <sheet name="Sch II 2025 Yr 2" sheetId="51" r:id="rId10"/>
    <sheet name="Sch II 2026 Yr 1" sheetId="52" r:id="rId11"/>
    <sheet name="Schedule III" sheetId="26" r:id="rId12"/>
    <sheet name="Schedule IV 2023 Monthly" sheetId="47" r:id="rId13"/>
    <sheet name="Schedule IV 2024 Monthly" sheetId="44" r:id="rId14"/>
    <sheet name="Schedule IV 2025" sheetId="37" r:id="rId15"/>
    <sheet name="Schedule IV 2026" sheetId="54" r:id="rId16"/>
    <sheet name="Schedule VI" sheetId="42" r:id="rId17"/>
    <sheet name="Schedule VII" sheetId="16" r:id="rId18"/>
    <sheet name="Schedule VIII" sheetId="24" r:id="rId19"/>
    <sheet name="Schedule IX" sheetId="43" r:id="rId20"/>
    <sheet name="Tax Rates" sheetId="4" r:id="rId21"/>
  </sheets>
  <externalReferences>
    <externalReference r:id="rId22"/>
  </externalReferences>
  <definedNames>
    <definedName name="_2019_Capital_Actual_Query" localSheetId="1">#REF!</definedName>
    <definedName name="_2019_Capital_Actual_Query" localSheetId="2">#REF!</definedName>
    <definedName name="_2019_Capital_Actual_Query" localSheetId="3">#REF!</definedName>
    <definedName name="_2019_Capital_Actual_Query" localSheetId="5">#REF!</definedName>
    <definedName name="_2019_Capital_Actual_Query" localSheetId="12">#REF!</definedName>
    <definedName name="_2019_Capital_Actual_Query">#REF!</definedName>
    <definedName name="_2021_Capital_Budget_Prep_Query" localSheetId="1">#REF!</definedName>
    <definedName name="_2021_Capital_Budget_Prep_Query" localSheetId="2">#REF!</definedName>
    <definedName name="_2021_Capital_Budget_Prep_Query" localSheetId="3">#REF!</definedName>
    <definedName name="_2021_Capital_Budget_Prep_Query" localSheetId="5">#REF!</definedName>
    <definedName name="_2021_Capital_Budget_Prep_Query" localSheetId="12">#REF!</definedName>
    <definedName name="_2021_Capital_Budget_Prep_Query">#REF!</definedName>
    <definedName name="_xlnm.Print_Area" localSheetId="11">'Schedule III'!$A$1:$G$40</definedName>
    <definedName name="_xlnm.Print_Area" localSheetId="13">'Schedule IV 2024 Monthly'!#REF!</definedName>
    <definedName name="_xlnm.Print_Area" localSheetId="14">'Schedule IV 2025'!$A$1:$E$138</definedName>
    <definedName name="_xlnm.Print_Area" localSheetId="15">'Schedule IV 2026'!$A$1:$E$30</definedName>
    <definedName name="_xlnm.Print_Area" localSheetId="19">'Schedule IX'!$A$1:$F$21</definedName>
    <definedName name="_xlnm.Print_Titles" localSheetId="13">'Schedule IV 2024 Monthly'!#REF!</definedName>
    <definedName name="_xlnm.Print_Titles" localSheetId="14">'Schedule IV 2025'!$1:$6</definedName>
    <definedName name="_xlnm.Print_Titles" localSheetId="15">'Schedule IV 2026'!$1:$6</definedName>
    <definedName name="_xlnm.Print_Titles" localSheetId="19">'Schedule IX'!$1:$7</definedName>
    <definedName name="_xlnm.Print_Titles" localSheetId="16">'Schedule VI'!$A:$A,'Schedule VI'!$4:$4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4" l="1"/>
  <c r="I132" i="37"/>
  <c r="E130" i="37"/>
  <c r="D130" i="37"/>
  <c r="K129" i="37"/>
  <c r="L129" i="37" s="1"/>
  <c r="J129" i="37"/>
  <c r="E129" i="37"/>
  <c r="H128" i="37"/>
  <c r="K128" i="37" s="1"/>
  <c r="L128" i="37" s="1"/>
  <c r="D126" i="37"/>
  <c r="E125" i="37"/>
  <c r="J125" i="37" s="1"/>
  <c r="K125" i="37" s="1"/>
  <c r="L124" i="37"/>
  <c r="K124" i="37"/>
  <c r="H124" i="37"/>
  <c r="D122" i="37"/>
  <c r="E121" i="37"/>
  <c r="E122" i="37" s="1"/>
  <c r="H120" i="37"/>
  <c r="K120" i="37" s="1"/>
  <c r="L120" i="37" s="1"/>
  <c r="E118" i="37"/>
  <c r="D118" i="37"/>
  <c r="E117" i="37"/>
  <c r="H116" i="37"/>
  <c r="K116" i="37" s="1"/>
  <c r="L116" i="37" s="1"/>
  <c r="E114" i="37"/>
  <c r="D114" i="37"/>
  <c r="K113" i="37"/>
  <c r="L113" i="37" s="1"/>
  <c r="J113" i="37"/>
  <c r="E113" i="37"/>
  <c r="H112" i="37"/>
  <c r="K112" i="37" s="1"/>
  <c r="L112" i="37" s="1"/>
  <c r="D110" i="37"/>
  <c r="E109" i="37"/>
  <c r="J109" i="37" s="1"/>
  <c r="K109" i="37" s="1"/>
  <c r="L108" i="37"/>
  <c r="K108" i="37"/>
  <c r="H108" i="37"/>
  <c r="D106" i="37"/>
  <c r="E105" i="37"/>
  <c r="J105" i="37" s="1"/>
  <c r="K105" i="37" s="1"/>
  <c r="H104" i="37"/>
  <c r="K104" i="37" s="1"/>
  <c r="L104" i="37" s="1"/>
  <c r="E102" i="37"/>
  <c r="D102" i="37"/>
  <c r="E101" i="37"/>
  <c r="H100" i="37"/>
  <c r="K100" i="37" s="1"/>
  <c r="L100" i="37" s="1"/>
  <c r="E98" i="37"/>
  <c r="D98" i="37"/>
  <c r="K97" i="37"/>
  <c r="L97" i="37" s="1"/>
  <c r="J97" i="37"/>
  <c r="E97" i="37"/>
  <c r="H96" i="37"/>
  <c r="K96" i="37" s="1"/>
  <c r="L96" i="37" s="1"/>
  <c r="D96" i="37"/>
  <c r="D94" i="37"/>
  <c r="E93" i="37"/>
  <c r="E94" i="37" s="1"/>
  <c r="H92" i="37"/>
  <c r="K92" i="37" s="1"/>
  <c r="L92" i="37" s="1"/>
  <c r="E92" i="37"/>
  <c r="D90" i="37"/>
  <c r="E89" i="37"/>
  <c r="J89" i="37" s="1"/>
  <c r="K89" i="37" s="1"/>
  <c r="D88" i="37"/>
  <c r="E88" i="37" s="1"/>
  <c r="E85" i="37"/>
  <c r="J85" i="37" s="1"/>
  <c r="K85" i="37" s="1"/>
  <c r="H84" i="37"/>
  <c r="K84" i="37" s="1"/>
  <c r="L84" i="37" s="1"/>
  <c r="D84" i="37"/>
  <c r="K83" i="37"/>
  <c r="L83" i="37" s="1"/>
  <c r="H83" i="37"/>
  <c r="D83" i="37"/>
  <c r="D86" i="37" s="1"/>
  <c r="E80" i="37"/>
  <c r="J80" i="37" s="1"/>
  <c r="K80" i="37" s="1"/>
  <c r="L79" i="37"/>
  <c r="K79" i="37"/>
  <c r="H79" i="37"/>
  <c r="D79" i="37"/>
  <c r="E78" i="37"/>
  <c r="D78" i="37"/>
  <c r="D81" i="37" s="1"/>
  <c r="K75" i="37"/>
  <c r="L75" i="37" s="1"/>
  <c r="J75" i="37"/>
  <c r="E75" i="37"/>
  <c r="H74" i="37"/>
  <c r="K74" i="37" s="1"/>
  <c r="L74" i="37" s="1"/>
  <c r="D74" i="37"/>
  <c r="E73" i="37"/>
  <c r="E76" i="37" s="1"/>
  <c r="D73" i="37"/>
  <c r="D76" i="37" s="1"/>
  <c r="E71" i="37"/>
  <c r="E70" i="37"/>
  <c r="H69" i="37"/>
  <c r="K69" i="37" s="1"/>
  <c r="L69" i="37" s="1"/>
  <c r="D69" i="37"/>
  <c r="D71" i="37" s="1"/>
  <c r="E67" i="37"/>
  <c r="D67" i="37"/>
  <c r="E66" i="37"/>
  <c r="J66" i="37" s="1"/>
  <c r="K66" i="37" s="1"/>
  <c r="L66" i="37" s="1"/>
  <c r="H65" i="37"/>
  <c r="K65" i="37" s="1"/>
  <c r="L65" i="37" s="1"/>
  <c r="D65" i="37"/>
  <c r="H64" i="37"/>
  <c r="E62" i="37"/>
  <c r="D62" i="37"/>
  <c r="K61" i="37"/>
  <c r="L61" i="37" s="1"/>
  <c r="J61" i="37"/>
  <c r="E61" i="37"/>
  <c r="E60" i="37"/>
  <c r="H60" i="37" s="1"/>
  <c r="K60" i="37" s="1"/>
  <c r="L60" i="37" s="1"/>
  <c r="D60" i="37"/>
  <c r="E58" i="37"/>
  <c r="D58" i="37"/>
  <c r="J57" i="37"/>
  <c r="K57" i="37" s="1"/>
  <c r="L57" i="37" s="1"/>
  <c r="E57" i="37"/>
  <c r="K56" i="37"/>
  <c r="L56" i="37" s="1"/>
  <c r="H56" i="37"/>
  <c r="D56" i="37"/>
  <c r="D54" i="37"/>
  <c r="E53" i="37"/>
  <c r="L52" i="37"/>
  <c r="K52" i="37"/>
  <c r="H52" i="37"/>
  <c r="E49" i="37"/>
  <c r="E50" i="37" s="1"/>
  <c r="H48" i="37"/>
  <c r="K48" i="37" s="1"/>
  <c r="L48" i="37" s="1"/>
  <c r="L47" i="37"/>
  <c r="K47" i="37"/>
  <c r="H47" i="37"/>
  <c r="E46" i="37"/>
  <c r="H46" i="37" s="1"/>
  <c r="K46" i="37" s="1"/>
  <c r="L46" i="37" s="1"/>
  <c r="D46" i="37"/>
  <c r="D50" i="37" s="1"/>
  <c r="E44" i="37"/>
  <c r="D44" i="37"/>
  <c r="J43" i="37"/>
  <c r="K43" i="37" s="1"/>
  <c r="L43" i="37" s="1"/>
  <c r="E43" i="37"/>
  <c r="K42" i="37"/>
  <c r="L42" i="37" s="1"/>
  <c r="H42" i="37"/>
  <c r="D42" i="37"/>
  <c r="E39" i="37"/>
  <c r="L38" i="37"/>
  <c r="K38" i="37"/>
  <c r="H38" i="37"/>
  <c r="D38" i="37"/>
  <c r="E37" i="37"/>
  <c r="D37" i="37"/>
  <c r="D40" i="37" s="1"/>
  <c r="E35" i="37"/>
  <c r="D35" i="37"/>
  <c r="K34" i="37"/>
  <c r="L34" i="37" s="1"/>
  <c r="J34" i="37"/>
  <c r="E34" i="37"/>
  <c r="H33" i="37"/>
  <c r="K33" i="37" s="1"/>
  <c r="L33" i="37" s="1"/>
  <c r="D33" i="37"/>
  <c r="D31" i="37"/>
  <c r="E30" i="37"/>
  <c r="J30" i="37" s="1"/>
  <c r="K30" i="37" s="1"/>
  <c r="H29" i="37"/>
  <c r="K29" i="37" s="1"/>
  <c r="L29" i="37" s="1"/>
  <c r="H28" i="37"/>
  <c r="K28" i="37" s="1"/>
  <c r="L28" i="37" s="1"/>
  <c r="D26" i="37"/>
  <c r="E25" i="37"/>
  <c r="H24" i="37"/>
  <c r="K24" i="37" s="1"/>
  <c r="L24" i="37" s="1"/>
  <c r="D24" i="37"/>
  <c r="K23" i="37"/>
  <c r="L23" i="37" s="1"/>
  <c r="D22" i="37"/>
  <c r="E21" i="37"/>
  <c r="J21" i="37" s="1"/>
  <c r="K21" i="37" s="1"/>
  <c r="H20" i="37"/>
  <c r="K20" i="37" s="1"/>
  <c r="L20" i="37" s="1"/>
  <c r="D20" i="37"/>
  <c r="E17" i="37"/>
  <c r="K16" i="37"/>
  <c r="L16" i="37" s="1"/>
  <c r="H16" i="37"/>
  <c r="D16" i="37"/>
  <c r="H15" i="37"/>
  <c r="K15" i="37" s="1"/>
  <c r="L15" i="37" s="1"/>
  <c r="D15" i="37"/>
  <c r="D18" i="37" s="1"/>
  <c r="E12" i="37"/>
  <c r="H11" i="37"/>
  <c r="K11" i="37" s="1"/>
  <c r="L11" i="37" s="1"/>
  <c r="D11" i="37"/>
  <c r="H10" i="37"/>
  <c r="D10" i="37"/>
  <c r="D13" i="37" s="1"/>
  <c r="K9" i="37"/>
  <c r="L9" i="37" s="1"/>
  <c r="K8" i="37"/>
  <c r="L8" i="37" s="1"/>
  <c r="G8" i="37"/>
  <c r="G132" i="37" s="1"/>
  <c r="H88" i="37" l="1"/>
  <c r="K88" i="37" s="1"/>
  <c r="L88" i="37"/>
  <c r="E90" i="37"/>
  <c r="D132" i="37"/>
  <c r="L70" i="37"/>
  <c r="L37" i="37"/>
  <c r="L101" i="37"/>
  <c r="J12" i="37"/>
  <c r="J25" i="37"/>
  <c r="K25" i="37" s="1"/>
  <c r="L25" i="37" s="1"/>
  <c r="J93" i="37"/>
  <c r="K93" i="37" s="1"/>
  <c r="L93" i="37" s="1"/>
  <c r="J17" i="37"/>
  <c r="K17" i="37" s="1"/>
  <c r="L17" i="37" s="1"/>
  <c r="L21" i="37"/>
  <c r="L30" i="37"/>
  <c r="L80" i="37"/>
  <c r="L109" i="37"/>
  <c r="E13" i="37"/>
  <c r="E26" i="37"/>
  <c r="E31" i="37"/>
  <c r="L89" i="37"/>
  <c r="K10" i="37"/>
  <c r="L10" i="37" s="1"/>
  <c r="H37" i="37"/>
  <c r="K37" i="37" s="1"/>
  <c r="E40" i="37"/>
  <c r="E54" i="37"/>
  <c r="H78" i="37"/>
  <c r="K78" i="37" s="1"/>
  <c r="L78" i="37" s="1"/>
  <c r="E81" i="37"/>
  <c r="L85" i="37"/>
  <c r="E110" i="37"/>
  <c r="E126" i="37"/>
  <c r="E18" i="37"/>
  <c r="L105" i="37"/>
  <c r="J70" i="37"/>
  <c r="K70" i="37" s="1"/>
  <c r="E86" i="37"/>
  <c r="J101" i="37"/>
  <c r="K101" i="37" s="1"/>
  <c r="J117" i="37"/>
  <c r="K117" i="37" s="1"/>
  <c r="L117" i="37" s="1"/>
  <c r="J39" i="37"/>
  <c r="K39" i="37" s="1"/>
  <c r="L39" i="37" s="1"/>
  <c r="J53" i="37"/>
  <c r="K53" i="37" s="1"/>
  <c r="L53" i="37" s="1"/>
  <c r="H73" i="37"/>
  <c r="K73" i="37" s="1"/>
  <c r="L125" i="37"/>
  <c r="E22" i="37"/>
  <c r="L73" i="37"/>
  <c r="J121" i="37"/>
  <c r="K121" i="37" s="1"/>
  <c r="L121" i="37" s="1"/>
  <c r="E106" i="37"/>
  <c r="E132" i="37" s="1"/>
  <c r="J49" i="37"/>
  <c r="K49" i="37" s="1"/>
  <c r="L49" i="37" s="1"/>
  <c r="C10" i="16"/>
  <c r="E10" i="16"/>
  <c r="K12" i="37" l="1"/>
  <c r="J132" i="37"/>
  <c r="H132" i="37"/>
  <c r="C37" i="5"/>
  <c r="J5" i="24"/>
  <c r="K5" i="24" s="1"/>
  <c r="L5" i="24" s="1"/>
  <c r="I6" i="24"/>
  <c r="L12" i="37" l="1"/>
  <c r="L132" i="37" s="1"/>
  <c r="K132" i="37"/>
  <c r="H6" i="24"/>
  <c r="G6" i="24" l="1"/>
  <c r="C16" i="43" l="1"/>
  <c r="E15" i="43"/>
  <c r="E16" i="43" s="1"/>
  <c r="E18" i="43" s="1"/>
  <c r="D15" i="43"/>
  <c r="D16" i="43" s="1"/>
  <c r="C13" i="43"/>
  <c r="E12" i="43"/>
  <c r="E13" i="43" s="1"/>
  <c r="D12" i="43"/>
  <c r="D13" i="43" s="1"/>
  <c r="E10" i="43"/>
  <c r="C10" i="43"/>
  <c r="E9" i="43"/>
  <c r="D9" i="43"/>
  <c r="D10" i="43" s="1"/>
  <c r="BP149" i="42"/>
  <c r="BO149" i="42"/>
  <c r="BN149" i="42"/>
  <c r="BM149" i="42"/>
  <c r="BL149" i="42"/>
  <c r="BK149" i="42"/>
  <c r="BJ149" i="42"/>
  <c r="BI149" i="42"/>
  <c r="BH149" i="42"/>
  <c r="BG149" i="42"/>
  <c r="BF149" i="42"/>
  <c r="BE149" i="42"/>
  <c r="BD149" i="42"/>
  <c r="BC149" i="42"/>
  <c r="BB149" i="42"/>
  <c r="BA149" i="42"/>
  <c r="AZ149" i="42"/>
  <c r="AY149" i="42"/>
  <c r="AX149" i="42"/>
  <c r="AW149" i="42"/>
  <c r="AV149" i="42"/>
  <c r="AU149" i="42"/>
  <c r="AT149" i="42"/>
  <c r="AS149" i="42"/>
  <c r="AR149" i="42"/>
  <c r="AQ149" i="42"/>
  <c r="AP149" i="42"/>
  <c r="AO149" i="42"/>
  <c r="AN149" i="42"/>
  <c r="AM149" i="42"/>
  <c r="AL149" i="42"/>
  <c r="AK149" i="42"/>
  <c r="AJ149" i="42"/>
  <c r="AI149" i="42"/>
  <c r="AH149" i="42"/>
  <c r="AG149" i="42"/>
  <c r="AF149" i="42"/>
  <c r="AE149" i="42"/>
  <c r="AD149" i="42"/>
  <c r="AC149" i="42"/>
  <c r="AB149" i="42"/>
  <c r="AA149" i="42"/>
  <c r="Z149" i="42"/>
  <c r="Y149" i="42"/>
  <c r="X149" i="42"/>
  <c r="W149" i="42"/>
  <c r="V149" i="42"/>
  <c r="U149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C149" i="42"/>
  <c r="B149" i="42" s="1"/>
  <c r="BP148" i="42"/>
  <c r="BO148" i="42"/>
  <c r="BN148" i="42"/>
  <c r="BM148" i="42"/>
  <c r="BL148" i="42"/>
  <c r="BK148" i="42"/>
  <c r="BJ148" i="42"/>
  <c r="BI148" i="42"/>
  <c r="BH148" i="42"/>
  <c r="BG148" i="42"/>
  <c r="BF148" i="42"/>
  <c r="BE148" i="42"/>
  <c r="BD148" i="42"/>
  <c r="BC148" i="42"/>
  <c r="BB148" i="42"/>
  <c r="BA148" i="42"/>
  <c r="AZ148" i="42"/>
  <c r="AY148" i="42"/>
  <c r="AX148" i="42"/>
  <c r="AW148" i="42"/>
  <c r="AV148" i="42"/>
  <c r="AU148" i="42"/>
  <c r="AT148" i="42"/>
  <c r="AS148" i="42"/>
  <c r="AR148" i="42"/>
  <c r="AQ148" i="42"/>
  <c r="AP148" i="42"/>
  <c r="AO148" i="42"/>
  <c r="AN148" i="42"/>
  <c r="AM148" i="42"/>
  <c r="AL148" i="42"/>
  <c r="AK148" i="42"/>
  <c r="AJ148" i="42"/>
  <c r="AI148" i="42"/>
  <c r="AH148" i="42"/>
  <c r="AG148" i="42"/>
  <c r="AF148" i="42"/>
  <c r="AE148" i="42"/>
  <c r="AD148" i="42"/>
  <c r="AC148" i="42"/>
  <c r="AB148" i="42"/>
  <c r="AA148" i="42"/>
  <c r="Z148" i="42"/>
  <c r="Y148" i="42"/>
  <c r="X148" i="42"/>
  <c r="W148" i="42"/>
  <c r="V148" i="42"/>
  <c r="U148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C148" i="42"/>
  <c r="B148" i="42"/>
  <c r="BP147" i="42"/>
  <c r="BO147" i="42"/>
  <c r="BN147" i="42"/>
  <c r="BM147" i="42"/>
  <c r="BL147" i="42"/>
  <c r="BK147" i="42"/>
  <c r="BJ147" i="42"/>
  <c r="BI147" i="42"/>
  <c r="BH147" i="42"/>
  <c r="BG147" i="42"/>
  <c r="BF147" i="42"/>
  <c r="BE147" i="42"/>
  <c r="BD147" i="42"/>
  <c r="BC147" i="42"/>
  <c r="BB147" i="42"/>
  <c r="BA147" i="42"/>
  <c r="AZ147" i="42"/>
  <c r="AY147" i="42"/>
  <c r="AX147" i="42"/>
  <c r="AW147" i="42"/>
  <c r="AV147" i="42"/>
  <c r="AU147" i="42"/>
  <c r="AT147" i="42"/>
  <c r="AS147" i="42"/>
  <c r="AR147" i="42"/>
  <c r="AQ147" i="42"/>
  <c r="AP147" i="42"/>
  <c r="AO147" i="42"/>
  <c r="AN147" i="42"/>
  <c r="AM147" i="42"/>
  <c r="AL147" i="42"/>
  <c r="AK147" i="42"/>
  <c r="AJ147" i="42"/>
  <c r="AI147" i="42"/>
  <c r="AH147" i="42"/>
  <c r="AG147" i="42"/>
  <c r="AF147" i="42"/>
  <c r="AE147" i="42"/>
  <c r="AD147" i="42"/>
  <c r="AC147" i="42"/>
  <c r="AB147" i="42"/>
  <c r="AA147" i="42"/>
  <c r="Z147" i="42"/>
  <c r="Y147" i="42"/>
  <c r="X147" i="42"/>
  <c r="W147" i="42"/>
  <c r="V147" i="42"/>
  <c r="U147" i="42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B147" i="42" s="1"/>
  <c r="E147" i="42"/>
  <c r="D147" i="42"/>
  <c r="C147" i="42"/>
  <c r="BP146" i="42"/>
  <c r="BO146" i="42"/>
  <c r="BN146" i="42"/>
  <c r="BM146" i="42"/>
  <c r="BL146" i="42"/>
  <c r="BK146" i="42"/>
  <c r="BJ146" i="42"/>
  <c r="BI146" i="42"/>
  <c r="BH146" i="42"/>
  <c r="BG146" i="42"/>
  <c r="BF146" i="42"/>
  <c r="BE146" i="42"/>
  <c r="BD146" i="42"/>
  <c r="BC146" i="42"/>
  <c r="BB146" i="42"/>
  <c r="BA146" i="42"/>
  <c r="AZ146" i="42"/>
  <c r="AY146" i="42"/>
  <c r="AX146" i="42"/>
  <c r="AW146" i="42"/>
  <c r="AV146" i="42"/>
  <c r="AU146" i="42"/>
  <c r="AT146" i="42"/>
  <c r="AS146" i="42"/>
  <c r="AR146" i="42"/>
  <c r="AQ146" i="42"/>
  <c r="AP146" i="42"/>
  <c r="AO146" i="42"/>
  <c r="AN146" i="42"/>
  <c r="AM146" i="42"/>
  <c r="AL146" i="42"/>
  <c r="AK146" i="42"/>
  <c r="AJ146" i="42"/>
  <c r="AI146" i="42"/>
  <c r="AH146" i="42"/>
  <c r="AG146" i="42"/>
  <c r="AF146" i="42"/>
  <c r="AE146" i="42"/>
  <c r="AD146" i="42"/>
  <c r="AC146" i="42"/>
  <c r="AB146" i="42"/>
  <c r="AA146" i="42"/>
  <c r="Z146" i="42"/>
  <c r="Y146" i="42"/>
  <c r="X146" i="42"/>
  <c r="W146" i="42"/>
  <c r="V146" i="42"/>
  <c r="U146" i="42"/>
  <c r="T146" i="42"/>
  <c r="S146" i="42"/>
  <c r="R146" i="42"/>
  <c r="Q146" i="42"/>
  <c r="P146" i="42"/>
  <c r="O146" i="42"/>
  <c r="N146" i="42"/>
  <c r="M146" i="42"/>
  <c r="L146" i="42"/>
  <c r="K146" i="42"/>
  <c r="J146" i="42"/>
  <c r="I146" i="42"/>
  <c r="H146" i="42"/>
  <c r="G146" i="42"/>
  <c r="F146" i="42"/>
  <c r="E146" i="42"/>
  <c r="D146" i="42"/>
  <c r="C146" i="42"/>
  <c r="B146" i="42" s="1"/>
  <c r="BP145" i="42"/>
  <c r="BO145" i="42"/>
  <c r="BN145" i="42"/>
  <c r="BM145" i="42"/>
  <c r="BL145" i="42"/>
  <c r="BK145" i="42"/>
  <c r="BJ145" i="42"/>
  <c r="BI145" i="42"/>
  <c r="BH145" i="42"/>
  <c r="BG145" i="42"/>
  <c r="BF145" i="42"/>
  <c r="BE145" i="42"/>
  <c r="BD145" i="42"/>
  <c r="BC145" i="42"/>
  <c r="BB145" i="42"/>
  <c r="BA145" i="42"/>
  <c r="AZ145" i="42"/>
  <c r="AY145" i="42"/>
  <c r="AX145" i="42"/>
  <c r="AW145" i="42"/>
  <c r="AV145" i="42"/>
  <c r="AU145" i="42"/>
  <c r="AT145" i="42"/>
  <c r="AS145" i="42"/>
  <c r="AR145" i="42"/>
  <c r="AQ145" i="42"/>
  <c r="AP145" i="42"/>
  <c r="AO145" i="42"/>
  <c r="AN145" i="42"/>
  <c r="AM145" i="42"/>
  <c r="AL145" i="42"/>
  <c r="AK145" i="42"/>
  <c r="AJ145" i="42"/>
  <c r="AI145" i="42"/>
  <c r="AH145" i="42"/>
  <c r="AG145" i="42"/>
  <c r="AF145" i="42"/>
  <c r="AE145" i="42"/>
  <c r="AD145" i="42"/>
  <c r="AC145" i="42"/>
  <c r="AB145" i="42"/>
  <c r="AA145" i="42"/>
  <c r="Z145" i="42"/>
  <c r="Y145" i="42"/>
  <c r="X145" i="42"/>
  <c r="W145" i="42"/>
  <c r="V145" i="42"/>
  <c r="U145" i="42"/>
  <c r="T145" i="42"/>
  <c r="S145" i="42"/>
  <c r="R145" i="42"/>
  <c r="Q145" i="42"/>
  <c r="P145" i="42"/>
  <c r="O145" i="42"/>
  <c r="N145" i="42"/>
  <c r="M145" i="42"/>
  <c r="L145" i="42"/>
  <c r="K145" i="42"/>
  <c r="J145" i="42"/>
  <c r="I145" i="42"/>
  <c r="H145" i="42"/>
  <c r="B145" i="42" s="1"/>
  <c r="G145" i="42"/>
  <c r="F145" i="42"/>
  <c r="E145" i="42"/>
  <c r="D145" i="42"/>
  <c r="C145" i="42"/>
  <c r="BP144" i="42"/>
  <c r="BO144" i="42"/>
  <c r="BN144" i="42"/>
  <c r="BM144" i="42"/>
  <c r="BL144" i="42"/>
  <c r="BK144" i="42"/>
  <c r="BJ144" i="42"/>
  <c r="BI144" i="42"/>
  <c r="BH144" i="42"/>
  <c r="BG144" i="42"/>
  <c r="BF144" i="42"/>
  <c r="BE144" i="42"/>
  <c r="BD144" i="42"/>
  <c r="BC144" i="42"/>
  <c r="BB144" i="42"/>
  <c r="BA144" i="42"/>
  <c r="AZ144" i="42"/>
  <c r="AY144" i="42"/>
  <c r="AX144" i="42"/>
  <c r="AW144" i="42"/>
  <c r="AV144" i="42"/>
  <c r="AU144" i="42"/>
  <c r="AT144" i="42"/>
  <c r="AS144" i="42"/>
  <c r="AR144" i="42"/>
  <c r="AQ144" i="42"/>
  <c r="AP144" i="42"/>
  <c r="AO144" i="42"/>
  <c r="AN144" i="42"/>
  <c r="AM144" i="42"/>
  <c r="AL144" i="42"/>
  <c r="AK144" i="42"/>
  <c r="AJ144" i="42"/>
  <c r="AI144" i="42"/>
  <c r="AH144" i="42"/>
  <c r="AG144" i="42"/>
  <c r="AF144" i="42"/>
  <c r="AE144" i="42"/>
  <c r="AD144" i="42"/>
  <c r="AC144" i="42"/>
  <c r="AB144" i="42"/>
  <c r="AA144" i="42"/>
  <c r="Z144" i="42"/>
  <c r="Y144" i="42"/>
  <c r="X144" i="42"/>
  <c r="W144" i="42"/>
  <c r="V144" i="42"/>
  <c r="U144" i="42"/>
  <c r="T144" i="42"/>
  <c r="S144" i="42"/>
  <c r="R144" i="42"/>
  <c r="Q144" i="42"/>
  <c r="P144" i="42"/>
  <c r="O144" i="42"/>
  <c r="N144" i="42"/>
  <c r="M144" i="42"/>
  <c r="L144" i="42"/>
  <c r="K144" i="42"/>
  <c r="J144" i="42"/>
  <c r="I144" i="42"/>
  <c r="H144" i="42"/>
  <c r="G144" i="42"/>
  <c r="F144" i="42"/>
  <c r="E144" i="42"/>
  <c r="D144" i="42"/>
  <c r="C144" i="42"/>
  <c r="B144" i="42" s="1"/>
  <c r="BP143" i="42"/>
  <c r="BO143" i="42"/>
  <c r="BN143" i="42"/>
  <c r="BM143" i="42"/>
  <c r="BL143" i="42"/>
  <c r="BK143" i="42"/>
  <c r="BJ143" i="42"/>
  <c r="BI143" i="42"/>
  <c r="BH143" i="42"/>
  <c r="BG143" i="42"/>
  <c r="BF143" i="42"/>
  <c r="BE143" i="42"/>
  <c r="BD143" i="42"/>
  <c r="BC143" i="42"/>
  <c r="BB143" i="42"/>
  <c r="BA143" i="42"/>
  <c r="AZ143" i="42"/>
  <c r="AY143" i="42"/>
  <c r="AX143" i="42"/>
  <c r="AW143" i="42"/>
  <c r="AV143" i="42"/>
  <c r="AU143" i="42"/>
  <c r="AT143" i="42"/>
  <c r="AS143" i="42"/>
  <c r="AR143" i="42"/>
  <c r="AQ143" i="42"/>
  <c r="AP143" i="42"/>
  <c r="AO143" i="42"/>
  <c r="AN143" i="42"/>
  <c r="AM143" i="42"/>
  <c r="AL143" i="42"/>
  <c r="AK143" i="42"/>
  <c r="AJ143" i="42"/>
  <c r="AI143" i="42"/>
  <c r="AH143" i="42"/>
  <c r="AG143" i="42"/>
  <c r="AF143" i="42"/>
  <c r="AE143" i="42"/>
  <c r="AD143" i="42"/>
  <c r="AC143" i="42"/>
  <c r="AB143" i="42"/>
  <c r="AA143" i="42"/>
  <c r="Z143" i="42"/>
  <c r="Y143" i="42"/>
  <c r="X143" i="42"/>
  <c r="W143" i="42"/>
  <c r="V143" i="42"/>
  <c r="U143" i="42"/>
  <c r="T143" i="42"/>
  <c r="S143" i="42"/>
  <c r="R143" i="42"/>
  <c r="Q143" i="42"/>
  <c r="P143" i="42"/>
  <c r="O143" i="42"/>
  <c r="N143" i="42"/>
  <c r="M143" i="42"/>
  <c r="L143" i="42"/>
  <c r="B143" i="42" s="1"/>
  <c r="K143" i="42"/>
  <c r="J143" i="42"/>
  <c r="I143" i="42"/>
  <c r="H143" i="42"/>
  <c r="G143" i="42"/>
  <c r="F143" i="42"/>
  <c r="E143" i="42"/>
  <c r="D143" i="42"/>
  <c r="C143" i="42"/>
  <c r="BP142" i="42"/>
  <c r="BO142" i="42"/>
  <c r="BN142" i="42"/>
  <c r="BM142" i="42"/>
  <c r="BL142" i="42"/>
  <c r="BK142" i="42"/>
  <c r="BJ142" i="42"/>
  <c r="BI142" i="42"/>
  <c r="BH142" i="42"/>
  <c r="BG142" i="42"/>
  <c r="BF142" i="42"/>
  <c r="BE142" i="42"/>
  <c r="BD142" i="42"/>
  <c r="BC142" i="42"/>
  <c r="BB142" i="42"/>
  <c r="BA142" i="42"/>
  <c r="AZ142" i="42"/>
  <c r="AY142" i="42"/>
  <c r="AX142" i="42"/>
  <c r="AW142" i="42"/>
  <c r="AV142" i="42"/>
  <c r="AU142" i="42"/>
  <c r="AT142" i="42"/>
  <c r="AS142" i="42"/>
  <c r="AR142" i="42"/>
  <c r="AQ142" i="42"/>
  <c r="AP142" i="42"/>
  <c r="AO142" i="42"/>
  <c r="AN142" i="42"/>
  <c r="AM142" i="42"/>
  <c r="AL142" i="42"/>
  <c r="AK142" i="42"/>
  <c r="AJ142" i="42"/>
  <c r="AI142" i="42"/>
  <c r="AH142" i="42"/>
  <c r="AG142" i="42"/>
  <c r="AF142" i="42"/>
  <c r="AE142" i="42"/>
  <c r="AD142" i="42"/>
  <c r="AC142" i="42"/>
  <c r="AB142" i="42"/>
  <c r="AA142" i="42"/>
  <c r="Z142" i="42"/>
  <c r="Y142" i="42"/>
  <c r="X142" i="42"/>
  <c r="W142" i="42"/>
  <c r="V142" i="42"/>
  <c r="U142" i="42"/>
  <c r="T142" i="42"/>
  <c r="S142" i="42"/>
  <c r="R142" i="42"/>
  <c r="Q142" i="42"/>
  <c r="P142" i="42"/>
  <c r="O142" i="42"/>
  <c r="N142" i="42"/>
  <c r="M142" i="42"/>
  <c r="L142" i="42"/>
  <c r="K142" i="42"/>
  <c r="J142" i="42"/>
  <c r="I142" i="42"/>
  <c r="H142" i="42"/>
  <c r="G142" i="42"/>
  <c r="F142" i="42"/>
  <c r="E142" i="42"/>
  <c r="D142" i="42"/>
  <c r="B142" i="42" s="1"/>
  <c r="C142" i="42"/>
  <c r="BP141" i="42"/>
  <c r="BO141" i="42"/>
  <c r="BN141" i="42"/>
  <c r="BM141" i="42"/>
  <c r="BL141" i="42"/>
  <c r="BK141" i="42"/>
  <c r="BJ141" i="42"/>
  <c r="BI141" i="42"/>
  <c r="BH141" i="42"/>
  <c r="BG141" i="42"/>
  <c r="BF141" i="42"/>
  <c r="BE141" i="42"/>
  <c r="BD141" i="42"/>
  <c r="BC141" i="42"/>
  <c r="BB141" i="42"/>
  <c r="BA141" i="42"/>
  <c r="AZ141" i="42"/>
  <c r="AY141" i="42"/>
  <c r="AX141" i="42"/>
  <c r="AW141" i="42"/>
  <c r="AV141" i="42"/>
  <c r="AU141" i="42"/>
  <c r="AT141" i="42"/>
  <c r="AS141" i="42"/>
  <c r="AR141" i="42"/>
  <c r="AQ141" i="42"/>
  <c r="AP141" i="42"/>
  <c r="AO141" i="42"/>
  <c r="AN141" i="42"/>
  <c r="AM141" i="42"/>
  <c r="AL141" i="42"/>
  <c r="AK141" i="42"/>
  <c r="AJ141" i="42"/>
  <c r="AI141" i="42"/>
  <c r="AH141" i="42"/>
  <c r="AG141" i="42"/>
  <c r="AF141" i="42"/>
  <c r="AE141" i="42"/>
  <c r="AD141" i="42"/>
  <c r="AC141" i="42"/>
  <c r="AB141" i="42"/>
  <c r="AA141" i="42"/>
  <c r="Z141" i="42"/>
  <c r="Y141" i="42"/>
  <c r="X141" i="42"/>
  <c r="W141" i="42"/>
  <c r="V141" i="42"/>
  <c r="U141" i="42"/>
  <c r="T141" i="42"/>
  <c r="S141" i="42"/>
  <c r="R141" i="42"/>
  <c r="Q141" i="42"/>
  <c r="P141" i="42"/>
  <c r="O141" i="42"/>
  <c r="N141" i="42"/>
  <c r="M141" i="42"/>
  <c r="L141" i="42"/>
  <c r="K141" i="42"/>
  <c r="J141" i="42"/>
  <c r="I141" i="42"/>
  <c r="H141" i="42"/>
  <c r="G141" i="42"/>
  <c r="F141" i="42"/>
  <c r="E141" i="42"/>
  <c r="D141" i="42"/>
  <c r="C141" i="42"/>
  <c r="B141" i="42" s="1"/>
  <c r="BP140" i="42"/>
  <c r="BO140" i="42"/>
  <c r="BN140" i="42"/>
  <c r="BM140" i="42"/>
  <c r="BL140" i="42"/>
  <c r="BK140" i="42"/>
  <c r="BJ140" i="42"/>
  <c r="BI140" i="42"/>
  <c r="BH140" i="42"/>
  <c r="BG140" i="42"/>
  <c r="BF140" i="42"/>
  <c r="BE140" i="42"/>
  <c r="BD140" i="42"/>
  <c r="BC140" i="42"/>
  <c r="BB140" i="42"/>
  <c r="BA140" i="42"/>
  <c r="AZ140" i="42"/>
  <c r="AY140" i="42"/>
  <c r="AX140" i="42"/>
  <c r="AW140" i="42"/>
  <c r="AV140" i="42"/>
  <c r="AU140" i="42"/>
  <c r="AT140" i="42"/>
  <c r="AS140" i="42"/>
  <c r="AR140" i="42"/>
  <c r="AQ140" i="42"/>
  <c r="AP140" i="42"/>
  <c r="AO140" i="42"/>
  <c r="AN140" i="42"/>
  <c r="AM140" i="42"/>
  <c r="AL140" i="42"/>
  <c r="AK140" i="42"/>
  <c r="AJ140" i="42"/>
  <c r="AI140" i="42"/>
  <c r="AH140" i="42"/>
  <c r="AG140" i="42"/>
  <c r="AF140" i="42"/>
  <c r="AE140" i="42"/>
  <c r="AD140" i="42"/>
  <c r="AC140" i="42"/>
  <c r="AB140" i="42"/>
  <c r="AA140" i="42"/>
  <c r="Z140" i="42"/>
  <c r="Y140" i="42"/>
  <c r="X140" i="42"/>
  <c r="W140" i="42"/>
  <c r="V140" i="42"/>
  <c r="U140" i="42"/>
  <c r="T140" i="42"/>
  <c r="S140" i="42"/>
  <c r="R140" i="42"/>
  <c r="Q140" i="42"/>
  <c r="P140" i="42"/>
  <c r="O140" i="42"/>
  <c r="N140" i="42"/>
  <c r="M140" i="42"/>
  <c r="L140" i="42"/>
  <c r="K140" i="42"/>
  <c r="J140" i="42"/>
  <c r="I140" i="42"/>
  <c r="H140" i="42"/>
  <c r="G140" i="42"/>
  <c r="F140" i="42"/>
  <c r="E140" i="42"/>
  <c r="D140" i="42"/>
  <c r="C140" i="42"/>
  <c r="B140" i="42" s="1"/>
  <c r="BP139" i="42"/>
  <c r="BO139" i="42"/>
  <c r="BN139" i="42"/>
  <c r="BM139" i="42"/>
  <c r="BL139" i="42"/>
  <c r="BK139" i="42"/>
  <c r="BJ139" i="42"/>
  <c r="BI139" i="42"/>
  <c r="BH139" i="42"/>
  <c r="BG139" i="42"/>
  <c r="BF139" i="42"/>
  <c r="BE139" i="42"/>
  <c r="BD139" i="42"/>
  <c r="BC139" i="42"/>
  <c r="BB139" i="42"/>
  <c r="BA139" i="42"/>
  <c r="AZ139" i="42"/>
  <c r="AY139" i="42"/>
  <c r="AX139" i="42"/>
  <c r="AW139" i="42"/>
  <c r="AV139" i="42"/>
  <c r="AU139" i="42"/>
  <c r="AT139" i="42"/>
  <c r="AS139" i="42"/>
  <c r="AR139" i="42"/>
  <c r="AQ139" i="42"/>
  <c r="AP139" i="42"/>
  <c r="AO139" i="42"/>
  <c r="AN139" i="42"/>
  <c r="AM139" i="42"/>
  <c r="AL139" i="42"/>
  <c r="AK139" i="42"/>
  <c r="AJ139" i="42"/>
  <c r="AI139" i="42"/>
  <c r="AH139" i="42"/>
  <c r="AG139" i="42"/>
  <c r="AF139" i="42"/>
  <c r="AE139" i="42"/>
  <c r="AD139" i="42"/>
  <c r="AC139" i="42"/>
  <c r="AB139" i="42"/>
  <c r="AA139" i="42"/>
  <c r="Z139" i="42"/>
  <c r="Y139" i="42"/>
  <c r="X139" i="42"/>
  <c r="W139" i="42"/>
  <c r="V139" i="42"/>
  <c r="U139" i="42"/>
  <c r="T139" i="42"/>
  <c r="S139" i="42"/>
  <c r="R139" i="42"/>
  <c r="Q139" i="42"/>
  <c r="P139" i="42"/>
  <c r="O139" i="42"/>
  <c r="N139" i="42"/>
  <c r="M139" i="42"/>
  <c r="L139" i="42"/>
  <c r="K139" i="42"/>
  <c r="J139" i="42"/>
  <c r="I139" i="42"/>
  <c r="H139" i="42"/>
  <c r="G139" i="42"/>
  <c r="F139" i="42"/>
  <c r="E139" i="42"/>
  <c r="D139" i="42"/>
  <c r="B139" i="42" s="1"/>
  <c r="C139" i="42"/>
  <c r="BP138" i="42"/>
  <c r="BO138" i="42"/>
  <c r="BN138" i="42"/>
  <c r="BM138" i="42"/>
  <c r="BL138" i="42"/>
  <c r="BK138" i="42"/>
  <c r="BJ138" i="42"/>
  <c r="BI138" i="42"/>
  <c r="BH138" i="42"/>
  <c r="BG138" i="42"/>
  <c r="BF138" i="42"/>
  <c r="BE138" i="42"/>
  <c r="BD138" i="42"/>
  <c r="BC138" i="42"/>
  <c r="BB138" i="42"/>
  <c r="BA138" i="42"/>
  <c r="AZ138" i="42"/>
  <c r="AY138" i="42"/>
  <c r="AX138" i="42"/>
  <c r="AW138" i="42"/>
  <c r="AV138" i="42"/>
  <c r="AU138" i="42"/>
  <c r="AT138" i="42"/>
  <c r="AS138" i="42"/>
  <c r="AR138" i="42"/>
  <c r="AQ138" i="42"/>
  <c r="AP138" i="42"/>
  <c r="AO138" i="42"/>
  <c r="AN138" i="42"/>
  <c r="AM138" i="42"/>
  <c r="AL138" i="42"/>
  <c r="AK138" i="42"/>
  <c r="AJ138" i="42"/>
  <c r="AI138" i="42"/>
  <c r="AH138" i="42"/>
  <c r="AG138" i="42"/>
  <c r="AF138" i="42"/>
  <c r="AE138" i="42"/>
  <c r="AD138" i="42"/>
  <c r="AC138" i="42"/>
  <c r="AB138" i="42"/>
  <c r="AA138" i="42"/>
  <c r="Z138" i="42"/>
  <c r="Y138" i="42"/>
  <c r="X138" i="42"/>
  <c r="W138" i="42"/>
  <c r="V138" i="42"/>
  <c r="U138" i="42"/>
  <c r="T138" i="42"/>
  <c r="S138" i="42"/>
  <c r="R138" i="42"/>
  <c r="Q138" i="42"/>
  <c r="P138" i="42"/>
  <c r="O138" i="42"/>
  <c r="N138" i="42"/>
  <c r="M138" i="42"/>
  <c r="L138" i="42"/>
  <c r="K138" i="42"/>
  <c r="J138" i="42"/>
  <c r="I138" i="42"/>
  <c r="H138" i="42"/>
  <c r="G138" i="42"/>
  <c r="F138" i="42"/>
  <c r="E138" i="42"/>
  <c r="D138" i="42"/>
  <c r="C138" i="42"/>
  <c r="B138" i="42" s="1"/>
  <c r="BP137" i="42"/>
  <c r="BO137" i="42"/>
  <c r="BN137" i="42"/>
  <c r="BM137" i="42"/>
  <c r="BL137" i="42"/>
  <c r="BK137" i="42"/>
  <c r="BJ137" i="42"/>
  <c r="BI137" i="42"/>
  <c r="BH137" i="42"/>
  <c r="BG137" i="42"/>
  <c r="BF137" i="42"/>
  <c r="BE137" i="42"/>
  <c r="BD137" i="42"/>
  <c r="BC137" i="42"/>
  <c r="BB137" i="42"/>
  <c r="BA137" i="42"/>
  <c r="AZ137" i="42"/>
  <c r="AY137" i="42"/>
  <c r="AX137" i="42"/>
  <c r="AW137" i="42"/>
  <c r="AV137" i="42"/>
  <c r="AU137" i="42"/>
  <c r="AT137" i="42"/>
  <c r="AS137" i="42"/>
  <c r="AR137" i="42"/>
  <c r="AQ137" i="42"/>
  <c r="AP137" i="42"/>
  <c r="AO137" i="42"/>
  <c r="AN137" i="42"/>
  <c r="AM137" i="42"/>
  <c r="AL137" i="42"/>
  <c r="AK137" i="42"/>
  <c r="AJ137" i="42"/>
  <c r="AI137" i="42"/>
  <c r="AH137" i="42"/>
  <c r="AG137" i="42"/>
  <c r="AF137" i="42"/>
  <c r="AE137" i="42"/>
  <c r="AD137" i="42"/>
  <c r="AC137" i="42"/>
  <c r="AB137" i="42"/>
  <c r="AA137" i="42"/>
  <c r="Z137" i="42"/>
  <c r="Y137" i="42"/>
  <c r="X137" i="42"/>
  <c r="W137" i="42"/>
  <c r="V137" i="42"/>
  <c r="U137" i="42"/>
  <c r="T137" i="42"/>
  <c r="S137" i="42"/>
  <c r="R137" i="42"/>
  <c r="Q137" i="42"/>
  <c r="P137" i="42"/>
  <c r="O137" i="42"/>
  <c r="N137" i="42"/>
  <c r="M137" i="42"/>
  <c r="L137" i="42"/>
  <c r="K137" i="42"/>
  <c r="J137" i="42"/>
  <c r="I137" i="42"/>
  <c r="H137" i="42"/>
  <c r="G137" i="42"/>
  <c r="F137" i="42"/>
  <c r="E137" i="42"/>
  <c r="D137" i="42"/>
  <c r="C137" i="42"/>
  <c r="B137" i="42" s="1"/>
  <c r="BP136" i="42"/>
  <c r="BO136" i="42"/>
  <c r="BN136" i="42"/>
  <c r="BM136" i="42"/>
  <c r="BL136" i="42"/>
  <c r="BK136" i="42"/>
  <c r="BJ136" i="42"/>
  <c r="BI136" i="42"/>
  <c r="BH136" i="42"/>
  <c r="BG136" i="42"/>
  <c r="BF136" i="42"/>
  <c r="BE136" i="42"/>
  <c r="BD136" i="42"/>
  <c r="BC136" i="42"/>
  <c r="BB136" i="42"/>
  <c r="BA136" i="42"/>
  <c r="AZ136" i="42"/>
  <c r="AY136" i="42"/>
  <c r="AX136" i="42"/>
  <c r="AW136" i="42"/>
  <c r="AV136" i="42"/>
  <c r="AU136" i="42"/>
  <c r="AT136" i="42"/>
  <c r="AS136" i="42"/>
  <c r="AR136" i="42"/>
  <c r="AQ136" i="42"/>
  <c r="AP136" i="42"/>
  <c r="AO136" i="42"/>
  <c r="AN136" i="42"/>
  <c r="AM136" i="42"/>
  <c r="AL136" i="42"/>
  <c r="AK136" i="42"/>
  <c r="AJ136" i="42"/>
  <c r="AI136" i="42"/>
  <c r="AH136" i="42"/>
  <c r="AG136" i="42"/>
  <c r="AF136" i="42"/>
  <c r="AE136" i="42"/>
  <c r="AD136" i="42"/>
  <c r="AC136" i="42"/>
  <c r="AB136" i="42"/>
  <c r="AA136" i="42"/>
  <c r="Z136" i="42"/>
  <c r="Y136" i="42"/>
  <c r="X136" i="42"/>
  <c r="W136" i="42"/>
  <c r="V136" i="42"/>
  <c r="U136" i="42"/>
  <c r="T136" i="42"/>
  <c r="S136" i="42"/>
  <c r="R136" i="42"/>
  <c r="Q136" i="42"/>
  <c r="P136" i="42"/>
  <c r="O136" i="42"/>
  <c r="N136" i="42"/>
  <c r="M136" i="42"/>
  <c r="L136" i="42"/>
  <c r="K136" i="42"/>
  <c r="J136" i="42"/>
  <c r="I136" i="42"/>
  <c r="H136" i="42"/>
  <c r="G136" i="42"/>
  <c r="F136" i="42"/>
  <c r="E136" i="42"/>
  <c r="D136" i="42"/>
  <c r="C136" i="42"/>
  <c r="B136" i="42"/>
  <c r="BP135" i="42"/>
  <c r="BO135" i="42"/>
  <c r="BN135" i="42"/>
  <c r="BM135" i="42"/>
  <c r="BL135" i="42"/>
  <c r="BK135" i="42"/>
  <c r="BJ135" i="42"/>
  <c r="BI135" i="42"/>
  <c r="BH135" i="42"/>
  <c r="BG135" i="42"/>
  <c r="BF135" i="42"/>
  <c r="BE135" i="42"/>
  <c r="BD135" i="42"/>
  <c r="BC135" i="42"/>
  <c r="BB135" i="42"/>
  <c r="BA135" i="42"/>
  <c r="AZ135" i="42"/>
  <c r="AY135" i="42"/>
  <c r="AX135" i="42"/>
  <c r="AW135" i="42"/>
  <c r="AV135" i="42"/>
  <c r="AU135" i="42"/>
  <c r="AT135" i="42"/>
  <c r="AS135" i="42"/>
  <c r="AR135" i="42"/>
  <c r="AQ135" i="42"/>
  <c r="AP135" i="42"/>
  <c r="AO135" i="42"/>
  <c r="AN135" i="42"/>
  <c r="AM135" i="42"/>
  <c r="AL135" i="42"/>
  <c r="AK135" i="42"/>
  <c r="AJ135" i="42"/>
  <c r="AI135" i="42"/>
  <c r="AH135" i="42"/>
  <c r="AG135" i="42"/>
  <c r="AF135" i="42"/>
  <c r="AE135" i="42"/>
  <c r="AD135" i="42"/>
  <c r="AC135" i="42"/>
  <c r="AB135" i="42"/>
  <c r="AA135" i="42"/>
  <c r="Z135" i="42"/>
  <c r="Y135" i="42"/>
  <c r="X135" i="42"/>
  <c r="W135" i="42"/>
  <c r="V135" i="42"/>
  <c r="U135" i="42"/>
  <c r="T135" i="42"/>
  <c r="S135" i="42"/>
  <c r="R135" i="42"/>
  <c r="Q135" i="42"/>
  <c r="P135" i="42"/>
  <c r="O135" i="42"/>
  <c r="N135" i="42"/>
  <c r="M135" i="42"/>
  <c r="L135" i="42"/>
  <c r="K135" i="42"/>
  <c r="J135" i="42"/>
  <c r="I135" i="42"/>
  <c r="H135" i="42"/>
  <c r="G135" i="42"/>
  <c r="F135" i="42"/>
  <c r="B135" i="42" s="1"/>
  <c r="E135" i="42"/>
  <c r="D135" i="42"/>
  <c r="C135" i="42"/>
  <c r="C134" i="42"/>
  <c r="B134" i="42"/>
  <c r="BP133" i="42"/>
  <c r="BO133" i="42"/>
  <c r="BN133" i="42"/>
  <c r="BM133" i="42"/>
  <c r="BL133" i="42"/>
  <c r="BK133" i="42"/>
  <c r="BJ133" i="42"/>
  <c r="BI133" i="42"/>
  <c r="BH133" i="42"/>
  <c r="BG133" i="42"/>
  <c r="BF133" i="42"/>
  <c r="BE133" i="42"/>
  <c r="BD133" i="42"/>
  <c r="BC133" i="42"/>
  <c r="BB133" i="42"/>
  <c r="BA133" i="42"/>
  <c r="AZ133" i="42"/>
  <c r="AY133" i="42"/>
  <c r="AX133" i="42"/>
  <c r="AW133" i="42"/>
  <c r="AV133" i="42"/>
  <c r="AU133" i="42"/>
  <c r="AT133" i="42"/>
  <c r="AS133" i="42"/>
  <c r="AR133" i="42"/>
  <c r="AQ133" i="42"/>
  <c r="AP133" i="42"/>
  <c r="AO133" i="42"/>
  <c r="AN133" i="42"/>
  <c r="AM133" i="42"/>
  <c r="AL133" i="42"/>
  <c r="AK133" i="42"/>
  <c r="AJ133" i="42"/>
  <c r="AI133" i="42"/>
  <c r="AH133" i="42"/>
  <c r="AG133" i="42"/>
  <c r="AF133" i="42"/>
  <c r="AE133" i="42"/>
  <c r="AD133" i="42"/>
  <c r="AC133" i="42"/>
  <c r="AB133" i="42"/>
  <c r="AA133" i="42"/>
  <c r="Z133" i="42"/>
  <c r="Y133" i="42"/>
  <c r="X133" i="42"/>
  <c r="W133" i="42"/>
  <c r="V133" i="42"/>
  <c r="U133" i="42"/>
  <c r="T133" i="42"/>
  <c r="S133" i="42"/>
  <c r="R133" i="42"/>
  <c r="Q133" i="42"/>
  <c r="P133" i="42"/>
  <c r="O133" i="42"/>
  <c r="N133" i="42"/>
  <c r="M133" i="42"/>
  <c r="L133" i="42"/>
  <c r="K133" i="42"/>
  <c r="J133" i="42"/>
  <c r="I133" i="42"/>
  <c r="H133" i="42"/>
  <c r="G133" i="42"/>
  <c r="F133" i="42"/>
  <c r="E133" i="42"/>
  <c r="D133" i="42"/>
  <c r="C133" i="42"/>
  <c r="B133" i="42" s="1"/>
  <c r="BP132" i="42"/>
  <c r="BO132" i="42"/>
  <c r="BN132" i="42"/>
  <c r="BM132" i="42"/>
  <c r="BL132" i="42"/>
  <c r="BK132" i="42"/>
  <c r="BJ132" i="42"/>
  <c r="BI132" i="42"/>
  <c r="BH132" i="42"/>
  <c r="BG132" i="42"/>
  <c r="BF132" i="42"/>
  <c r="BE132" i="42"/>
  <c r="BD132" i="42"/>
  <c r="BC132" i="42"/>
  <c r="BB132" i="42"/>
  <c r="BA132" i="42"/>
  <c r="AZ132" i="42"/>
  <c r="AY132" i="42"/>
  <c r="AX132" i="42"/>
  <c r="AW132" i="42"/>
  <c r="AV132" i="42"/>
  <c r="AU132" i="42"/>
  <c r="AT132" i="42"/>
  <c r="AS132" i="42"/>
  <c r="AR132" i="42"/>
  <c r="AQ132" i="42"/>
  <c r="AP132" i="42"/>
  <c r="AO132" i="42"/>
  <c r="AN132" i="42"/>
  <c r="AM132" i="42"/>
  <c r="AL132" i="42"/>
  <c r="AK132" i="42"/>
  <c r="AJ132" i="42"/>
  <c r="AI132" i="42"/>
  <c r="AH132" i="42"/>
  <c r="AG132" i="42"/>
  <c r="AF132" i="42"/>
  <c r="AE132" i="42"/>
  <c r="AD132" i="42"/>
  <c r="AC132" i="42"/>
  <c r="AB132" i="42"/>
  <c r="AA132" i="42"/>
  <c r="Z132" i="42"/>
  <c r="Y132" i="42"/>
  <c r="X132" i="42"/>
  <c r="W132" i="42"/>
  <c r="V132" i="42"/>
  <c r="U132" i="42"/>
  <c r="T132" i="42"/>
  <c r="S132" i="42"/>
  <c r="R132" i="42"/>
  <c r="Q132" i="42"/>
  <c r="P132" i="42"/>
  <c r="O132" i="42"/>
  <c r="N132" i="42"/>
  <c r="M132" i="42"/>
  <c r="L132" i="42"/>
  <c r="B132" i="42" s="1"/>
  <c r="K132" i="42"/>
  <c r="J132" i="42"/>
  <c r="I132" i="42"/>
  <c r="H132" i="42"/>
  <c r="G132" i="42"/>
  <c r="F132" i="42"/>
  <c r="E132" i="42"/>
  <c r="D132" i="42"/>
  <c r="C132" i="42"/>
  <c r="BP131" i="42"/>
  <c r="BO131" i="42"/>
  <c r="BN131" i="42"/>
  <c r="BM131" i="42"/>
  <c r="BL131" i="42"/>
  <c r="BK131" i="42"/>
  <c r="BJ131" i="42"/>
  <c r="BI131" i="42"/>
  <c r="BH131" i="42"/>
  <c r="BG131" i="42"/>
  <c r="BF131" i="42"/>
  <c r="BE131" i="42"/>
  <c r="BD131" i="42"/>
  <c r="BC131" i="42"/>
  <c r="BB131" i="42"/>
  <c r="BA131" i="42"/>
  <c r="AZ131" i="42"/>
  <c r="AY131" i="42"/>
  <c r="AX131" i="42"/>
  <c r="AW131" i="42"/>
  <c r="AV131" i="42"/>
  <c r="AU131" i="42"/>
  <c r="AT131" i="42"/>
  <c r="AS131" i="42"/>
  <c r="AR131" i="42"/>
  <c r="AQ131" i="42"/>
  <c r="AP131" i="42"/>
  <c r="AO131" i="42"/>
  <c r="AN131" i="42"/>
  <c r="AM131" i="42"/>
  <c r="AL131" i="42"/>
  <c r="AK131" i="42"/>
  <c r="AJ131" i="42"/>
  <c r="AI131" i="42"/>
  <c r="AH131" i="42"/>
  <c r="AG131" i="42"/>
  <c r="AF131" i="42"/>
  <c r="AE131" i="42"/>
  <c r="AD131" i="42"/>
  <c r="AC131" i="42"/>
  <c r="AB131" i="42"/>
  <c r="AA131" i="42"/>
  <c r="Z131" i="42"/>
  <c r="Y131" i="42"/>
  <c r="X131" i="42"/>
  <c r="W131" i="42"/>
  <c r="V131" i="42"/>
  <c r="U131" i="42"/>
  <c r="T131" i="42"/>
  <c r="S131" i="42"/>
  <c r="R131" i="42"/>
  <c r="Q131" i="42"/>
  <c r="P131" i="42"/>
  <c r="O131" i="42"/>
  <c r="N131" i="42"/>
  <c r="M131" i="42"/>
  <c r="L131" i="42"/>
  <c r="K131" i="42"/>
  <c r="J131" i="42"/>
  <c r="I131" i="42"/>
  <c r="H131" i="42"/>
  <c r="G131" i="42"/>
  <c r="F131" i="42"/>
  <c r="E131" i="42"/>
  <c r="D131" i="42"/>
  <c r="B131" i="42" s="1"/>
  <c r="C131" i="42"/>
  <c r="BP130" i="42"/>
  <c r="BO130" i="42"/>
  <c r="BN130" i="42"/>
  <c r="BM130" i="42"/>
  <c r="BL130" i="42"/>
  <c r="BK130" i="42"/>
  <c r="BJ130" i="42"/>
  <c r="BI130" i="42"/>
  <c r="BH130" i="42"/>
  <c r="BG130" i="42"/>
  <c r="BF130" i="42"/>
  <c r="BE130" i="42"/>
  <c r="BD130" i="42"/>
  <c r="BC130" i="42"/>
  <c r="BB130" i="42"/>
  <c r="BA130" i="42"/>
  <c r="AZ130" i="42"/>
  <c r="AY130" i="42"/>
  <c r="AX130" i="42"/>
  <c r="AW130" i="42"/>
  <c r="AV130" i="42"/>
  <c r="AU130" i="42"/>
  <c r="AT130" i="42"/>
  <c r="AS130" i="42"/>
  <c r="AR130" i="42"/>
  <c r="AQ130" i="42"/>
  <c r="AP130" i="42"/>
  <c r="AO130" i="42"/>
  <c r="AN130" i="42"/>
  <c r="AM130" i="42"/>
  <c r="AL130" i="42"/>
  <c r="AK130" i="42"/>
  <c r="AJ130" i="42"/>
  <c r="AI130" i="42"/>
  <c r="AH130" i="42"/>
  <c r="AG130" i="42"/>
  <c r="AF130" i="42"/>
  <c r="AE130" i="42"/>
  <c r="AD130" i="42"/>
  <c r="AC130" i="42"/>
  <c r="AB130" i="42"/>
  <c r="AA130" i="42"/>
  <c r="Z130" i="42"/>
  <c r="Y130" i="42"/>
  <c r="X130" i="42"/>
  <c r="W130" i="42"/>
  <c r="V130" i="42"/>
  <c r="U130" i="42"/>
  <c r="T130" i="42"/>
  <c r="S130" i="42"/>
  <c r="R130" i="42"/>
  <c r="Q130" i="42"/>
  <c r="P130" i="42"/>
  <c r="O130" i="42"/>
  <c r="N130" i="42"/>
  <c r="M130" i="42"/>
  <c r="L130" i="42"/>
  <c r="K130" i="42"/>
  <c r="J130" i="42"/>
  <c r="I130" i="42"/>
  <c r="H130" i="42"/>
  <c r="G130" i="42"/>
  <c r="F130" i="42"/>
  <c r="E130" i="42"/>
  <c r="D130" i="42"/>
  <c r="C130" i="42"/>
  <c r="B130" i="42"/>
  <c r="BP129" i="42"/>
  <c r="BO129" i="42"/>
  <c r="BN129" i="42"/>
  <c r="BM129" i="42"/>
  <c r="BL129" i="42"/>
  <c r="BK129" i="42"/>
  <c r="BJ129" i="42"/>
  <c r="BI129" i="42"/>
  <c r="BH129" i="42"/>
  <c r="BG129" i="42"/>
  <c r="BF129" i="42"/>
  <c r="BE129" i="42"/>
  <c r="BD129" i="42"/>
  <c r="BC129" i="42"/>
  <c r="BB129" i="42"/>
  <c r="BA129" i="42"/>
  <c r="AZ129" i="42"/>
  <c r="AY129" i="42"/>
  <c r="AX129" i="42"/>
  <c r="AW129" i="42"/>
  <c r="AV129" i="42"/>
  <c r="AU129" i="42"/>
  <c r="AT129" i="42"/>
  <c r="AS129" i="42"/>
  <c r="AR129" i="42"/>
  <c r="AQ129" i="42"/>
  <c r="AP129" i="42"/>
  <c r="AO129" i="42"/>
  <c r="AN129" i="42"/>
  <c r="AM129" i="42"/>
  <c r="AL129" i="42"/>
  <c r="AK129" i="42"/>
  <c r="AJ129" i="42"/>
  <c r="AI129" i="42"/>
  <c r="AH129" i="42"/>
  <c r="AG129" i="42"/>
  <c r="AF129" i="42"/>
  <c r="AE129" i="42"/>
  <c r="AD129" i="42"/>
  <c r="AC129" i="42"/>
  <c r="AB129" i="42"/>
  <c r="AA129" i="42"/>
  <c r="Z129" i="42"/>
  <c r="Y129" i="42"/>
  <c r="X129" i="42"/>
  <c r="W129" i="42"/>
  <c r="V129" i="42"/>
  <c r="U129" i="42"/>
  <c r="T129" i="42"/>
  <c r="S129" i="42"/>
  <c r="R129" i="42"/>
  <c r="Q129" i="42"/>
  <c r="P129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C129" i="42"/>
  <c r="B129" i="42" s="1"/>
  <c r="BP128" i="42"/>
  <c r="BO128" i="42"/>
  <c r="BN128" i="42"/>
  <c r="BM128" i="42"/>
  <c r="BL128" i="42"/>
  <c r="BK128" i="42"/>
  <c r="BJ128" i="42"/>
  <c r="BI128" i="42"/>
  <c r="BH128" i="42"/>
  <c r="BG128" i="42"/>
  <c r="BF128" i="42"/>
  <c r="BE128" i="42"/>
  <c r="BD128" i="42"/>
  <c r="BC128" i="42"/>
  <c r="BB128" i="42"/>
  <c r="BA128" i="42"/>
  <c r="AZ128" i="42"/>
  <c r="AY128" i="42"/>
  <c r="AX128" i="42"/>
  <c r="AW128" i="42"/>
  <c r="AV128" i="42"/>
  <c r="AU128" i="42"/>
  <c r="AT128" i="42"/>
  <c r="AS128" i="42"/>
  <c r="AR128" i="42"/>
  <c r="AQ128" i="42"/>
  <c r="AP128" i="42"/>
  <c r="AO128" i="42"/>
  <c r="AN128" i="42"/>
  <c r="AM128" i="42"/>
  <c r="AL128" i="42"/>
  <c r="AK128" i="42"/>
  <c r="AJ128" i="42"/>
  <c r="AI128" i="42"/>
  <c r="AH128" i="42"/>
  <c r="AG128" i="42"/>
  <c r="AF128" i="42"/>
  <c r="AE128" i="42"/>
  <c r="AD128" i="42"/>
  <c r="AC128" i="42"/>
  <c r="AB128" i="42"/>
  <c r="AA128" i="42"/>
  <c r="Z128" i="42"/>
  <c r="Y128" i="42"/>
  <c r="X128" i="42"/>
  <c r="W128" i="42"/>
  <c r="V128" i="42"/>
  <c r="U128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H128" i="42"/>
  <c r="G128" i="42"/>
  <c r="F128" i="42"/>
  <c r="E128" i="42"/>
  <c r="D128" i="42"/>
  <c r="B128" i="42" s="1"/>
  <c r="C128" i="42"/>
  <c r="BP127" i="42"/>
  <c r="BP150" i="42" s="1"/>
  <c r="BO127" i="42"/>
  <c r="BO150" i="42" s="1"/>
  <c r="BN127" i="42"/>
  <c r="BN150" i="42" s="1"/>
  <c r="BM127" i="42"/>
  <c r="BM150" i="42" s="1"/>
  <c r="BL127" i="42"/>
  <c r="BL150" i="42" s="1"/>
  <c r="BK127" i="42"/>
  <c r="BK150" i="42" s="1"/>
  <c r="BJ127" i="42"/>
  <c r="BJ150" i="42" s="1"/>
  <c r="BI127" i="42"/>
  <c r="BI150" i="42" s="1"/>
  <c r="BH127" i="42"/>
  <c r="BH150" i="42" s="1"/>
  <c r="BG127" i="42"/>
  <c r="BG150" i="42" s="1"/>
  <c r="BF127" i="42"/>
  <c r="BF150" i="42" s="1"/>
  <c r="BE127" i="42"/>
  <c r="BE150" i="42" s="1"/>
  <c r="BD127" i="42"/>
  <c r="BD150" i="42" s="1"/>
  <c r="BC127" i="42"/>
  <c r="BC150" i="42" s="1"/>
  <c r="BB127" i="42"/>
  <c r="BB150" i="42" s="1"/>
  <c r="BA127" i="42"/>
  <c r="BA150" i="42" s="1"/>
  <c r="AZ127" i="42"/>
  <c r="AZ150" i="42" s="1"/>
  <c r="AY127" i="42"/>
  <c r="AY150" i="42" s="1"/>
  <c r="AX127" i="42"/>
  <c r="AX150" i="42" s="1"/>
  <c r="AW127" i="42"/>
  <c r="AW150" i="42" s="1"/>
  <c r="AV127" i="42"/>
  <c r="AV150" i="42" s="1"/>
  <c r="AU127" i="42"/>
  <c r="AU150" i="42" s="1"/>
  <c r="AT127" i="42"/>
  <c r="AT150" i="42" s="1"/>
  <c r="AS127" i="42"/>
  <c r="AS150" i="42" s="1"/>
  <c r="AR127" i="42"/>
  <c r="AR150" i="42" s="1"/>
  <c r="AQ127" i="42"/>
  <c r="AQ150" i="42" s="1"/>
  <c r="AP127" i="42"/>
  <c r="AP150" i="42" s="1"/>
  <c r="AO127" i="42"/>
  <c r="AO150" i="42" s="1"/>
  <c r="AN127" i="42"/>
  <c r="AN150" i="42" s="1"/>
  <c r="AM127" i="42"/>
  <c r="AM150" i="42" s="1"/>
  <c r="AL127" i="42"/>
  <c r="AL150" i="42" s="1"/>
  <c r="AK127" i="42"/>
  <c r="AK150" i="42" s="1"/>
  <c r="AJ127" i="42"/>
  <c r="AJ150" i="42" s="1"/>
  <c r="AI127" i="42"/>
  <c r="AI150" i="42" s="1"/>
  <c r="AH127" i="42"/>
  <c r="AH150" i="42" s="1"/>
  <c r="AG127" i="42"/>
  <c r="AG150" i="42" s="1"/>
  <c r="AF127" i="42"/>
  <c r="AF150" i="42" s="1"/>
  <c r="AE127" i="42"/>
  <c r="AE150" i="42" s="1"/>
  <c r="AD127" i="42"/>
  <c r="AD150" i="42" s="1"/>
  <c r="AC127" i="42"/>
  <c r="AC150" i="42" s="1"/>
  <c r="AB127" i="42"/>
  <c r="AB150" i="42" s="1"/>
  <c r="AA127" i="42"/>
  <c r="AA150" i="42" s="1"/>
  <c r="Z127" i="42"/>
  <c r="Z150" i="42" s="1"/>
  <c r="Y127" i="42"/>
  <c r="Y150" i="42" s="1"/>
  <c r="X127" i="42"/>
  <c r="X150" i="42" s="1"/>
  <c r="W127" i="42"/>
  <c r="W150" i="42" s="1"/>
  <c r="V127" i="42"/>
  <c r="V150" i="42" s="1"/>
  <c r="U127" i="42"/>
  <c r="U150" i="42" s="1"/>
  <c r="T127" i="42"/>
  <c r="T150" i="42" s="1"/>
  <c r="S127" i="42"/>
  <c r="S150" i="42" s="1"/>
  <c r="R127" i="42"/>
  <c r="R150" i="42" s="1"/>
  <c r="Q127" i="42"/>
  <c r="Q150" i="42" s="1"/>
  <c r="P127" i="42"/>
  <c r="P150" i="42" s="1"/>
  <c r="O127" i="42"/>
  <c r="O150" i="42" s="1"/>
  <c r="N127" i="42"/>
  <c r="N150" i="42" s="1"/>
  <c r="M127" i="42"/>
  <c r="M150" i="42" s="1"/>
  <c r="L127" i="42"/>
  <c r="L150" i="42" s="1"/>
  <c r="K127" i="42"/>
  <c r="K150" i="42" s="1"/>
  <c r="J127" i="42"/>
  <c r="J150" i="42" s="1"/>
  <c r="I127" i="42"/>
  <c r="I150" i="42" s="1"/>
  <c r="H127" i="42"/>
  <c r="H150" i="42" s="1"/>
  <c r="G127" i="42"/>
  <c r="G150" i="42" s="1"/>
  <c r="F127" i="42"/>
  <c r="F150" i="42" s="1"/>
  <c r="E127" i="42"/>
  <c r="E150" i="42" s="1"/>
  <c r="D127" i="42"/>
  <c r="D150" i="42" s="1"/>
  <c r="C127" i="42"/>
  <c r="B127" i="42" s="1"/>
  <c r="BP124" i="42"/>
  <c r="BO124" i="42"/>
  <c r="BN124" i="42"/>
  <c r="BM124" i="42"/>
  <c r="BL124" i="42"/>
  <c r="BK124" i="42"/>
  <c r="BJ124" i="42"/>
  <c r="BI124" i="42"/>
  <c r="BH124" i="42"/>
  <c r="BG124" i="42"/>
  <c r="BF124" i="42"/>
  <c r="BE124" i="42"/>
  <c r="BD124" i="42"/>
  <c r="BC124" i="42"/>
  <c r="BB124" i="42"/>
  <c r="BA124" i="42"/>
  <c r="AZ124" i="42"/>
  <c r="AY124" i="42"/>
  <c r="AX124" i="42"/>
  <c r="AW124" i="42"/>
  <c r="AV124" i="42"/>
  <c r="AU124" i="42"/>
  <c r="AT124" i="42"/>
  <c r="AS124" i="42"/>
  <c r="AR124" i="42"/>
  <c r="AQ124" i="42"/>
  <c r="AP124" i="42"/>
  <c r="AO124" i="42"/>
  <c r="AN124" i="42"/>
  <c r="AM124" i="42"/>
  <c r="AL124" i="42"/>
  <c r="AK124" i="42"/>
  <c r="AJ124" i="42"/>
  <c r="AI124" i="42"/>
  <c r="AH124" i="42"/>
  <c r="AG124" i="42"/>
  <c r="AF124" i="42"/>
  <c r="AE124" i="42"/>
  <c r="AD124" i="42"/>
  <c r="AC124" i="42"/>
  <c r="AB124" i="42"/>
  <c r="AA124" i="42"/>
  <c r="Z124" i="42"/>
  <c r="Y124" i="42"/>
  <c r="X124" i="42"/>
  <c r="W124" i="42"/>
  <c r="V124" i="42"/>
  <c r="U124" i="42"/>
  <c r="T124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D124" i="42"/>
  <c r="C124" i="42"/>
  <c r="B124" i="42"/>
  <c r="BP115" i="42"/>
  <c r="BO115" i="42"/>
  <c r="BN115" i="42"/>
  <c r="BM115" i="42"/>
  <c r="BL115" i="42"/>
  <c r="BK115" i="42"/>
  <c r="BJ115" i="42"/>
  <c r="BI115" i="42"/>
  <c r="BH115" i="42"/>
  <c r="BG115" i="42"/>
  <c r="BF115" i="42"/>
  <c r="BE115" i="42"/>
  <c r="BD115" i="42"/>
  <c r="BC115" i="42"/>
  <c r="BB115" i="42"/>
  <c r="BA115" i="42"/>
  <c r="AZ115" i="42"/>
  <c r="AY115" i="42"/>
  <c r="AX115" i="42"/>
  <c r="AW115" i="42"/>
  <c r="AV115" i="42"/>
  <c r="AU115" i="42"/>
  <c r="AT115" i="42"/>
  <c r="AS115" i="42"/>
  <c r="AR115" i="42"/>
  <c r="AQ115" i="42"/>
  <c r="AP115" i="42"/>
  <c r="AO115" i="42"/>
  <c r="AN115" i="42"/>
  <c r="AM115" i="42"/>
  <c r="AL115" i="42"/>
  <c r="AK115" i="42"/>
  <c r="AJ115" i="42"/>
  <c r="AI115" i="42"/>
  <c r="AH115" i="42"/>
  <c r="AG115" i="42"/>
  <c r="AF115" i="42"/>
  <c r="AE115" i="42"/>
  <c r="AD115" i="42"/>
  <c r="AC115" i="42"/>
  <c r="AB115" i="42"/>
  <c r="AA115" i="42"/>
  <c r="Z115" i="42"/>
  <c r="Y115" i="42"/>
  <c r="X115" i="42"/>
  <c r="W115" i="42"/>
  <c r="V115" i="42"/>
  <c r="U115" i="42"/>
  <c r="T115" i="42"/>
  <c r="S115" i="42"/>
  <c r="R115" i="42"/>
  <c r="Q115" i="42"/>
  <c r="P115" i="42"/>
  <c r="O115" i="42"/>
  <c r="N115" i="42"/>
  <c r="M115" i="42"/>
  <c r="L115" i="42"/>
  <c r="K115" i="42"/>
  <c r="J115" i="42"/>
  <c r="I115" i="42"/>
  <c r="H115" i="42"/>
  <c r="G115" i="42"/>
  <c r="F115" i="42"/>
  <c r="E115" i="42"/>
  <c r="D115" i="42"/>
  <c r="C115" i="42"/>
  <c r="B114" i="42"/>
  <c r="B115" i="42" s="1"/>
  <c r="B113" i="42"/>
  <c r="BP110" i="42"/>
  <c r="BO110" i="42"/>
  <c r="BN110" i="42"/>
  <c r="BM110" i="42"/>
  <c r="BL110" i="42"/>
  <c r="BK110" i="42"/>
  <c r="BJ110" i="42"/>
  <c r="BI110" i="42"/>
  <c r="BH110" i="42"/>
  <c r="BG110" i="42"/>
  <c r="BF110" i="42"/>
  <c r="BE110" i="42"/>
  <c r="BD110" i="42"/>
  <c r="BC110" i="42"/>
  <c r="BB110" i="42"/>
  <c r="BA110" i="42"/>
  <c r="AZ110" i="42"/>
  <c r="AY110" i="42"/>
  <c r="AX110" i="42"/>
  <c r="AW110" i="42"/>
  <c r="AV110" i="42"/>
  <c r="AU110" i="42"/>
  <c r="AT110" i="42"/>
  <c r="AS110" i="42"/>
  <c r="AR110" i="42"/>
  <c r="AQ110" i="42"/>
  <c r="AP110" i="42"/>
  <c r="AO110" i="42"/>
  <c r="AN110" i="42"/>
  <c r="AM110" i="42"/>
  <c r="AL110" i="42"/>
  <c r="AK110" i="42"/>
  <c r="AJ110" i="42"/>
  <c r="AI110" i="42"/>
  <c r="AH110" i="42"/>
  <c r="AG110" i="42"/>
  <c r="AF110" i="42"/>
  <c r="AE110" i="42"/>
  <c r="AD110" i="42"/>
  <c r="AC110" i="42"/>
  <c r="AB110" i="42"/>
  <c r="AA110" i="42"/>
  <c r="Z110" i="42"/>
  <c r="Y110" i="42"/>
  <c r="X110" i="42"/>
  <c r="W110" i="42"/>
  <c r="V110" i="42"/>
  <c r="U110" i="42"/>
  <c r="T110" i="42"/>
  <c r="S110" i="42"/>
  <c r="R110" i="42"/>
  <c r="Q110" i="42"/>
  <c r="P110" i="42"/>
  <c r="O110" i="42"/>
  <c r="N110" i="42"/>
  <c r="M110" i="42"/>
  <c r="L110" i="42"/>
  <c r="K110" i="42"/>
  <c r="J110" i="42"/>
  <c r="I110" i="42"/>
  <c r="H110" i="42"/>
  <c r="G110" i="42"/>
  <c r="F110" i="42"/>
  <c r="E110" i="42"/>
  <c r="D110" i="42"/>
  <c r="C110" i="42"/>
  <c r="B109" i="42"/>
  <c r="B108" i="42"/>
  <c r="B107" i="42"/>
  <c r="B106" i="42"/>
  <c r="B105" i="42"/>
  <c r="B104" i="42"/>
  <c r="B110" i="42" s="1"/>
  <c r="B103" i="42"/>
  <c r="B102" i="42"/>
  <c r="BP99" i="42"/>
  <c r="BO99" i="42"/>
  <c r="BN99" i="42"/>
  <c r="BM99" i="42"/>
  <c r="BL99" i="42"/>
  <c r="BK99" i="42"/>
  <c r="BJ99" i="42"/>
  <c r="BI99" i="42"/>
  <c r="BH99" i="42"/>
  <c r="BG99" i="42"/>
  <c r="BF99" i="42"/>
  <c r="BE99" i="42"/>
  <c r="BD99" i="42"/>
  <c r="BC99" i="42"/>
  <c r="BB99" i="42"/>
  <c r="BA99" i="42"/>
  <c r="AZ99" i="42"/>
  <c r="AY99" i="42"/>
  <c r="AX99" i="42"/>
  <c r="AW99" i="42"/>
  <c r="AV99" i="42"/>
  <c r="AU99" i="42"/>
  <c r="AT99" i="42"/>
  <c r="AS99" i="42"/>
  <c r="AR99" i="42"/>
  <c r="AQ99" i="42"/>
  <c r="AP99" i="42"/>
  <c r="AO99" i="42"/>
  <c r="AN99" i="42"/>
  <c r="AM99" i="42"/>
  <c r="AL99" i="42"/>
  <c r="AK99" i="42"/>
  <c r="AJ99" i="42"/>
  <c r="AI99" i="42"/>
  <c r="AH99" i="42"/>
  <c r="AG99" i="42"/>
  <c r="AF99" i="42"/>
  <c r="AE99" i="42"/>
  <c r="AD99" i="42"/>
  <c r="AC99" i="42"/>
  <c r="AB99" i="42"/>
  <c r="AA99" i="42"/>
  <c r="Z99" i="42"/>
  <c r="Y99" i="42"/>
  <c r="X99" i="42"/>
  <c r="W99" i="42"/>
  <c r="V99" i="42"/>
  <c r="U99" i="42"/>
  <c r="T99" i="42"/>
  <c r="S99" i="42"/>
  <c r="R99" i="42"/>
  <c r="Q99" i="42"/>
  <c r="P99" i="42"/>
  <c r="O99" i="42"/>
  <c r="N99" i="42"/>
  <c r="M99" i="42"/>
  <c r="L99" i="42"/>
  <c r="K99" i="42"/>
  <c r="J99" i="42"/>
  <c r="I99" i="42"/>
  <c r="H99" i="42"/>
  <c r="G99" i="42"/>
  <c r="F99" i="42"/>
  <c r="E99" i="42"/>
  <c r="D99" i="42"/>
  <c r="C99" i="42"/>
  <c r="B98" i="42"/>
  <c r="B97" i="42"/>
  <c r="B96" i="42"/>
  <c r="B95" i="42"/>
  <c r="B94" i="42"/>
  <c r="B93" i="42"/>
  <c r="B92" i="42"/>
  <c r="B91" i="42"/>
  <c r="B90" i="42"/>
  <c r="B89" i="42"/>
  <c r="B88" i="42"/>
  <c r="B87" i="42"/>
  <c r="B86" i="42"/>
  <c r="B99" i="42" s="1"/>
  <c r="BP83" i="42"/>
  <c r="BO83" i="42"/>
  <c r="BN83" i="42"/>
  <c r="BM83" i="42"/>
  <c r="BL83" i="42"/>
  <c r="BK83" i="42"/>
  <c r="BJ83" i="42"/>
  <c r="BI83" i="42"/>
  <c r="BH83" i="42"/>
  <c r="BG83" i="42"/>
  <c r="BF83" i="42"/>
  <c r="BE83" i="42"/>
  <c r="BD83" i="42"/>
  <c r="BC83" i="42"/>
  <c r="BB83" i="42"/>
  <c r="BA83" i="42"/>
  <c r="AZ83" i="42"/>
  <c r="AY83" i="42"/>
  <c r="AX83" i="42"/>
  <c r="AW83" i="42"/>
  <c r="AV83" i="42"/>
  <c r="AU83" i="42"/>
  <c r="AT83" i="42"/>
  <c r="AS83" i="42"/>
  <c r="AR83" i="42"/>
  <c r="AQ83" i="42"/>
  <c r="AP83" i="42"/>
  <c r="AO83" i="42"/>
  <c r="AN83" i="42"/>
  <c r="AM83" i="42"/>
  <c r="AL83" i="42"/>
  <c r="AK83" i="42"/>
  <c r="AJ83" i="42"/>
  <c r="AI83" i="42"/>
  <c r="AH83" i="42"/>
  <c r="AG83" i="42"/>
  <c r="AF83" i="42"/>
  <c r="AE83" i="42"/>
  <c r="AD83" i="42"/>
  <c r="AC83" i="42"/>
  <c r="AB83" i="42"/>
  <c r="AA83" i="42"/>
  <c r="Z83" i="42"/>
  <c r="Y83" i="42"/>
  <c r="X83" i="42"/>
  <c r="W83" i="42"/>
  <c r="V83" i="42"/>
  <c r="U83" i="42"/>
  <c r="T83" i="42"/>
  <c r="S83" i="42"/>
  <c r="R83" i="42"/>
  <c r="Q83" i="42"/>
  <c r="P83" i="42"/>
  <c r="O83" i="42"/>
  <c r="N83" i="42"/>
  <c r="M83" i="42"/>
  <c r="L83" i="42"/>
  <c r="K83" i="42"/>
  <c r="J83" i="42"/>
  <c r="I83" i="42"/>
  <c r="H83" i="42"/>
  <c r="G83" i="42"/>
  <c r="F83" i="42"/>
  <c r="E83" i="42"/>
  <c r="D83" i="42"/>
  <c r="C83" i="42"/>
  <c r="B82" i="42"/>
  <c r="B155" i="42" s="1"/>
  <c r="B81" i="42"/>
  <c r="B80" i="42"/>
  <c r="B79" i="42"/>
  <c r="B78" i="42"/>
  <c r="B77" i="42"/>
  <c r="B76" i="42"/>
  <c r="B75" i="42"/>
  <c r="B74" i="42"/>
  <c r="B83" i="42" s="1"/>
  <c r="BP71" i="42"/>
  <c r="BO71" i="42"/>
  <c r="BN71" i="42"/>
  <c r="BM71" i="42"/>
  <c r="BL71" i="42"/>
  <c r="BK71" i="42"/>
  <c r="BJ71" i="42"/>
  <c r="BI71" i="42"/>
  <c r="BH71" i="42"/>
  <c r="BG71" i="42"/>
  <c r="BF71" i="42"/>
  <c r="BE71" i="42"/>
  <c r="BD71" i="42"/>
  <c r="BC71" i="42"/>
  <c r="BB71" i="42"/>
  <c r="BA71" i="42"/>
  <c r="AZ71" i="42"/>
  <c r="AY71" i="42"/>
  <c r="AX71" i="42"/>
  <c r="AW71" i="42"/>
  <c r="AV71" i="42"/>
  <c r="AU71" i="42"/>
  <c r="AT71" i="42"/>
  <c r="AS71" i="42"/>
  <c r="AR71" i="42"/>
  <c r="AQ71" i="42"/>
  <c r="AP71" i="42"/>
  <c r="AO71" i="42"/>
  <c r="AN71" i="42"/>
  <c r="AM71" i="42"/>
  <c r="AL71" i="42"/>
  <c r="AK71" i="42"/>
  <c r="AJ71" i="42"/>
  <c r="AI71" i="42"/>
  <c r="AH71" i="42"/>
  <c r="AG71" i="42"/>
  <c r="AF71" i="42"/>
  <c r="AE71" i="42"/>
  <c r="AD71" i="42"/>
  <c r="AC71" i="42"/>
  <c r="AB71" i="42"/>
  <c r="AA71" i="42"/>
  <c r="Z71" i="42"/>
  <c r="Y71" i="42"/>
  <c r="X71" i="42"/>
  <c r="W71" i="42"/>
  <c r="V71" i="42"/>
  <c r="U71" i="42"/>
  <c r="T71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C71" i="42"/>
  <c r="B70" i="42"/>
  <c r="B71" i="42" s="1"/>
  <c r="B69" i="42"/>
  <c r="B68" i="42"/>
  <c r="B67" i="42"/>
  <c r="BP64" i="42"/>
  <c r="BO64" i="42"/>
  <c r="BN64" i="42"/>
  <c r="BM64" i="42"/>
  <c r="BL64" i="42"/>
  <c r="BK64" i="42"/>
  <c r="BJ64" i="42"/>
  <c r="BI64" i="42"/>
  <c r="BH64" i="42"/>
  <c r="BG64" i="42"/>
  <c r="BF64" i="42"/>
  <c r="BE64" i="42"/>
  <c r="BD64" i="42"/>
  <c r="BC64" i="42"/>
  <c r="BB64" i="42"/>
  <c r="BA64" i="42"/>
  <c r="AZ64" i="42"/>
  <c r="AY64" i="42"/>
  <c r="AX64" i="42"/>
  <c r="AW64" i="42"/>
  <c r="AV64" i="42"/>
  <c r="AU64" i="42"/>
  <c r="AT64" i="42"/>
  <c r="AS64" i="42"/>
  <c r="AR64" i="42"/>
  <c r="AQ64" i="42"/>
  <c r="AP64" i="42"/>
  <c r="AO64" i="42"/>
  <c r="AN64" i="42"/>
  <c r="AM64" i="42"/>
  <c r="AL64" i="42"/>
  <c r="AK64" i="42"/>
  <c r="AJ64" i="42"/>
  <c r="AI64" i="42"/>
  <c r="AH64" i="42"/>
  <c r="AG64" i="42"/>
  <c r="AF64" i="42"/>
  <c r="AE64" i="42"/>
  <c r="AD64" i="42"/>
  <c r="AC64" i="42"/>
  <c r="AB64" i="42"/>
  <c r="AA64" i="42"/>
  <c r="Z64" i="42"/>
  <c r="Y64" i="42"/>
  <c r="X64" i="42"/>
  <c r="W64" i="42"/>
  <c r="V64" i="42"/>
  <c r="U64" i="42"/>
  <c r="T64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C64" i="42"/>
  <c r="B63" i="42"/>
  <c r="B62" i="42"/>
  <c r="B64" i="42" s="1"/>
  <c r="B61" i="42"/>
  <c r="BP58" i="42"/>
  <c r="BO58" i="42"/>
  <c r="BN58" i="42"/>
  <c r="BM58" i="42"/>
  <c r="BL58" i="42"/>
  <c r="BK58" i="42"/>
  <c r="BJ58" i="42"/>
  <c r="BI58" i="42"/>
  <c r="BH58" i="42"/>
  <c r="BG58" i="42"/>
  <c r="BF58" i="42"/>
  <c r="BE58" i="42"/>
  <c r="BD58" i="42"/>
  <c r="BC58" i="42"/>
  <c r="BB58" i="42"/>
  <c r="BA58" i="42"/>
  <c r="AZ58" i="42"/>
  <c r="AY58" i="42"/>
  <c r="AX58" i="42"/>
  <c r="AW58" i="42"/>
  <c r="AV58" i="42"/>
  <c r="AU58" i="42"/>
  <c r="AT58" i="42"/>
  <c r="AS58" i="42"/>
  <c r="AR58" i="42"/>
  <c r="AQ58" i="42"/>
  <c r="AP58" i="42"/>
  <c r="AO58" i="42"/>
  <c r="AN58" i="42"/>
  <c r="AM58" i="42"/>
  <c r="AL58" i="42"/>
  <c r="AK58" i="42"/>
  <c r="AJ58" i="42"/>
  <c r="AI58" i="42"/>
  <c r="AH58" i="42"/>
  <c r="AG58" i="42"/>
  <c r="AF58" i="42"/>
  <c r="AE58" i="42"/>
  <c r="AD58" i="42"/>
  <c r="AC58" i="42"/>
  <c r="AB58" i="42"/>
  <c r="AA58" i="42"/>
  <c r="Z58" i="42"/>
  <c r="Y58" i="42"/>
  <c r="X58" i="42"/>
  <c r="W58" i="42"/>
  <c r="V58" i="42"/>
  <c r="U58" i="42"/>
  <c r="T58" i="42"/>
  <c r="S58" i="42"/>
  <c r="R58" i="42"/>
  <c r="Q58" i="42"/>
  <c r="P58" i="42"/>
  <c r="O58" i="42"/>
  <c r="N58" i="42"/>
  <c r="M58" i="42"/>
  <c r="L58" i="42"/>
  <c r="K58" i="42"/>
  <c r="J58" i="42"/>
  <c r="I58" i="42"/>
  <c r="H58" i="42"/>
  <c r="G58" i="42"/>
  <c r="F58" i="42"/>
  <c r="E58" i="42"/>
  <c r="D58" i="42"/>
  <c r="C58" i="42"/>
  <c r="B57" i="42"/>
  <c r="B56" i="42"/>
  <c r="B55" i="42"/>
  <c r="B54" i="42"/>
  <c r="B58" i="42" s="1"/>
  <c r="B53" i="42"/>
  <c r="BP50" i="42"/>
  <c r="BO50" i="42"/>
  <c r="BN50" i="42"/>
  <c r="BM50" i="42"/>
  <c r="BL50" i="42"/>
  <c r="BK50" i="42"/>
  <c r="BJ50" i="42"/>
  <c r="BI50" i="42"/>
  <c r="B49" i="42"/>
  <c r="B48" i="42"/>
  <c r="B50" i="42" s="1"/>
  <c r="B47" i="42"/>
  <c r="B46" i="42"/>
  <c r="B45" i="42"/>
  <c r="B44" i="42"/>
  <c r="B43" i="42"/>
  <c r="B42" i="42"/>
  <c r="B41" i="42"/>
  <c r="BP38" i="42"/>
  <c r="BO38" i="42"/>
  <c r="BN38" i="42"/>
  <c r="BM38" i="42"/>
  <c r="BL38" i="42"/>
  <c r="BK38" i="42"/>
  <c r="BJ38" i="42"/>
  <c r="BI38" i="42"/>
  <c r="BH38" i="42"/>
  <c r="BG38" i="42"/>
  <c r="BF38" i="42"/>
  <c r="BE38" i="42"/>
  <c r="BD38" i="42"/>
  <c r="BC38" i="42"/>
  <c r="BB38" i="42"/>
  <c r="BA38" i="42"/>
  <c r="AZ38" i="42"/>
  <c r="AY38" i="42"/>
  <c r="AX38" i="42"/>
  <c r="AW38" i="42"/>
  <c r="AV38" i="42"/>
  <c r="AU38" i="42"/>
  <c r="AT38" i="42"/>
  <c r="AS38" i="42"/>
  <c r="AR38" i="42"/>
  <c r="AQ38" i="42"/>
  <c r="AP38" i="42"/>
  <c r="AO38" i="42"/>
  <c r="AN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W38" i="42"/>
  <c r="V38" i="42"/>
  <c r="U38" i="42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B37" i="42"/>
  <c r="B36" i="42"/>
  <c r="B35" i="42"/>
  <c r="B34" i="42"/>
  <c r="B33" i="42"/>
  <c r="B32" i="42"/>
  <c r="BP29" i="42"/>
  <c r="BO29" i="42"/>
  <c r="BN29" i="42"/>
  <c r="BM29" i="42"/>
  <c r="BL29" i="42"/>
  <c r="BK29" i="42"/>
  <c r="BJ29" i="42"/>
  <c r="BI29" i="42"/>
  <c r="BH29" i="42"/>
  <c r="BG29" i="42"/>
  <c r="BF29" i="42"/>
  <c r="BE29" i="42"/>
  <c r="BD29" i="42"/>
  <c r="BC29" i="42"/>
  <c r="BB29" i="42"/>
  <c r="BA29" i="42"/>
  <c r="AZ29" i="42"/>
  <c r="AY29" i="42"/>
  <c r="AX29" i="42"/>
  <c r="AW29" i="42"/>
  <c r="AV29" i="42"/>
  <c r="AU29" i="42"/>
  <c r="AT29" i="42"/>
  <c r="AS29" i="42"/>
  <c r="AR29" i="42"/>
  <c r="AQ29" i="42"/>
  <c r="AP29" i="42"/>
  <c r="AO29" i="42"/>
  <c r="AN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B28" i="42"/>
  <c r="B27" i="42"/>
  <c r="B26" i="42"/>
  <c r="B25" i="42"/>
  <c r="B24" i="42"/>
  <c r="B23" i="42"/>
  <c r="B29" i="42" s="1"/>
  <c r="B22" i="42"/>
  <c r="BP19" i="42"/>
  <c r="BO19" i="42"/>
  <c r="BN19" i="42"/>
  <c r="BM19" i="42"/>
  <c r="BL19" i="42"/>
  <c r="BK19" i="42"/>
  <c r="BJ19" i="42"/>
  <c r="BI19" i="42"/>
  <c r="BH19" i="42"/>
  <c r="BG19" i="42"/>
  <c r="BF19" i="42"/>
  <c r="BE19" i="42"/>
  <c r="BD19" i="42"/>
  <c r="BC19" i="42"/>
  <c r="BB19" i="42"/>
  <c r="BA19" i="42"/>
  <c r="AZ19" i="42"/>
  <c r="AY19" i="42"/>
  <c r="AX19" i="42"/>
  <c r="AW19" i="42"/>
  <c r="AV19" i="42"/>
  <c r="AU19" i="42"/>
  <c r="AT19" i="42"/>
  <c r="AS19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W19" i="42"/>
  <c r="V19" i="42"/>
  <c r="U19" i="42"/>
  <c r="T19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8" i="42"/>
  <c r="B17" i="42"/>
  <c r="B16" i="42"/>
  <c r="B15" i="42"/>
  <c r="B14" i="42"/>
  <c r="B13" i="42"/>
  <c r="B12" i="42"/>
  <c r="B11" i="42"/>
  <c r="B10" i="42"/>
  <c r="B9" i="42"/>
  <c r="B8" i="42"/>
  <c r="B7" i="42"/>
  <c r="B6" i="42"/>
  <c r="B19" i="42" s="1"/>
  <c r="C18" i="43" l="1"/>
  <c r="D18" i="43"/>
  <c r="B153" i="42"/>
  <c r="B154" i="42"/>
  <c r="B150" i="42"/>
  <c r="B156" i="42"/>
  <c r="C150" i="42"/>
  <c r="B157" i="42" l="1"/>
  <c r="B158" i="42" s="1"/>
  <c r="K25" i="54" l="1"/>
  <c r="C11" i="52"/>
  <c r="C8" i="52"/>
  <c r="C7" i="52"/>
  <c r="C6" i="52"/>
  <c r="L25" i="54"/>
  <c r="L24" i="54"/>
  <c r="K17" i="54"/>
  <c r="L17" i="54" s="1"/>
  <c r="E24" i="54"/>
  <c r="J21" i="54"/>
  <c r="J17" i="54"/>
  <c r="H16" i="54"/>
  <c r="K12" i="54"/>
  <c r="L12" i="54"/>
  <c r="J12" i="54"/>
  <c r="H11" i="54"/>
  <c r="D22" i="54"/>
  <c r="E20" i="54"/>
  <c r="E22" i="54" s="1"/>
  <c r="D18" i="54"/>
  <c r="E17" i="54"/>
  <c r="E16" i="54"/>
  <c r="E15" i="54"/>
  <c r="D13" i="54"/>
  <c r="E12" i="54"/>
  <c r="E11" i="54"/>
  <c r="E10" i="54"/>
  <c r="C11" i="51"/>
  <c r="C8" i="51"/>
  <c r="C7" i="51"/>
  <c r="C6" i="51"/>
  <c r="C11" i="34"/>
  <c r="C8" i="34"/>
  <c r="C7" i="34"/>
  <c r="C6" i="34"/>
  <c r="E13" i="54" l="1"/>
  <c r="E18" i="54"/>
  <c r="D24" i="54"/>
  <c r="I24" i="54" l="1"/>
  <c r="K21" i="54"/>
  <c r="L21" i="54" s="1"/>
  <c r="H20" i="54"/>
  <c r="K20" i="54" s="1"/>
  <c r="L20" i="54" s="1"/>
  <c r="K16" i="54"/>
  <c r="L16" i="54" s="1"/>
  <c r="H15" i="54"/>
  <c r="K15" i="54" s="1"/>
  <c r="L15" i="54" s="1"/>
  <c r="K11" i="54"/>
  <c r="L11" i="54" s="1"/>
  <c r="K9" i="54"/>
  <c r="L9" i="54" s="1"/>
  <c r="G8" i="54"/>
  <c r="K8" i="54" s="1"/>
  <c r="L8" i="54" s="1"/>
  <c r="G24" i="54" l="1"/>
  <c r="H10" i="54"/>
  <c r="D8" i="48"/>
  <c r="D7" i="48"/>
  <c r="D6" i="48"/>
  <c r="D8" i="35"/>
  <c r="D7" i="35"/>
  <c r="D6" i="35"/>
  <c r="D7" i="34"/>
  <c r="D8" i="34"/>
  <c r="D6" i="34"/>
  <c r="J24" i="54" l="1"/>
  <c r="H24" i="54"/>
  <c r="K10" i="54"/>
  <c r="C8" i="26"/>
  <c r="D37" i="45"/>
  <c r="F34" i="5"/>
  <c r="C8" i="35"/>
  <c r="Q17" i="44"/>
  <c r="C8" i="41" s="1"/>
  <c r="P17" i="44"/>
  <c r="C8" i="50" s="1"/>
  <c r="Q16" i="44"/>
  <c r="Q15" i="44"/>
  <c r="R14" i="44"/>
  <c r="R18" i="44" s="1"/>
  <c r="C14" i="44"/>
  <c r="C18" i="44" s="1"/>
  <c r="Q13" i="44"/>
  <c r="P13" i="44"/>
  <c r="L11" i="44"/>
  <c r="M11" i="44" s="1"/>
  <c r="N11" i="44" s="1"/>
  <c r="O11" i="44" s="1"/>
  <c r="P11" i="44" s="1"/>
  <c r="D11" i="44"/>
  <c r="E11" i="44" s="1"/>
  <c r="F11" i="44" s="1"/>
  <c r="G11" i="44" s="1"/>
  <c r="H11" i="44" s="1"/>
  <c r="I11" i="44" s="1"/>
  <c r="J11" i="44" s="1"/>
  <c r="D10" i="44"/>
  <c r="E10" i="44" s="1"/>
  <c r="F10" i="44" s="1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D9" i="44"/>
  <c r="D6" i="44"/>
  <c r="E6" i="44" s="1"/>
  <c r="F6" i="44" s="1"/>
  <c r="L10" i="54" l="1"/>
  <c r="K24" i="54"/>
  <c r="Q11" i="44"/>
  <c r="G6" i="44"/>
  <c r="D14" i="44"/>
  <c r="D18" i="44" s="1"/>
  <c r="E9" i="44"/>
  <c r="Q10" i="44"/>
  <c r="F9" i="44" l="1"/>
  <c r="E14" i="44"/>
  <c r="E18" i="44" s="1"/>
  <c r="H6" i="44"/>
  <c r="I6" i="44" l="1"/>
  <c r="G9" i="44"/>
  <c r="F14" i="44"/>
  <c r="F18" i="44" s="1"/>
  <c r="H9" i="44" l="1"/>
  <c r="G14" i="44"/>
  <c r="G18" i="44" s="1"/>
  <c r="J6" i="44"/>
  <c r="K6" i="44" l="1"/>
  <c r="I9" i="44"/>
  <c r="H14" i="44"/>
  <c r="J9" i="44" l="1"/>
  <c r="I14" i="44"/>
  <c r="I18" i="44" s="1"/>
  <c r="H18" i="44"/>
  <c r="L6" i="44"/>
  <c r="M6" i="44" l="1"/>
  <c r="K9" i="44"/>
  <c r="J14" i="44"/>
  <c r="J18" i="44" s="1"/>
  <c r="K14" i="44" l="1"/>
  <c r="K18" i="44" s="1"/>
  <c r="L9" i="44"/>
  <c r="N6" i="44"/>
  <c r="O6" i="44" l="1"/>
  <c r="Q6" i="44"/>
  <c r="C11" i="41" s="1"/>
  <c r="L14" i="44"/>
  <c r="L18" i="44" s="1"/>
  <c r="M9" i="44"/>
  <c r="M14" i="44" l="1"/>
  <c r="M18" i="44" s="1"/>
  <c r="N9" i="44"/>
  <c r="P6" i="44"/>
  <c r="C11" i="50" l="1"/>
  <c r="C11" i="35"/>
  <c r="N14" i="44"/>
  <c r="N18" i="44" s="1"/>
  <c r="O9" i="44"/>
  <c r="P9" i="44" l="1"/>
  <c r="O14" i="44"/>
  <c r="Q9" i="44"/>
  <c r="P14" i="44" l="1"/>
  <c r="Q14" i="44"/>
  <c r="O18" i="44"/>
  <c r="Q18" i="44" l="1"/>
  <c r="C6" i="41"/>
  <c r="P18" i="44"/>
  <c r="C6" i="35"/>
  <c r="C6" i="50"/>
  <c r="C31" i="26"/>
  <c r="H16" i="5"/>
  <c r="G36" i="52" l="1"/>
  <c r="E36" i="52"/>
  <c r="G35" i="52"/>
  <c r="G34" i="52"/>
  <c r="G33" i="52"/>
  <c r="G32" i="52"/>
  <c r="L25" i="52"/>
  <c r="N24" i="52"/>
  <c r="H24" i="52"/>
  <c r="G24" i="52"/>
  <c r="C23" i="52"/>
  <c r="E23" i="52" s="1"/>
  <c r="E22" i="52"/>
  <c r="F22" i="52" s="1"/>
  <c r="C22" i="52"/>
  <c r="C21" i="52"/>
  <c r="C20" i="52"/>
  <c r="K18" i="52"/>
  <c r="K19" i="52" s="1"/>
  <c r="C24" i="52"/>
  <c r="E24" i="52" s="1"/>
  <c r="M24" i="52" s="1"/>
  <c r="P24" i="52" s="1"/>
  <c r="P10" i="52"/>
  <c r="G10" i="52"/>
  <c r="H10" i="52"/>
  <c r="J10" i="52" s="1"/>
  <c r="D35" i="52" s="1"/>
  <c r="P9" i="52"/>
  <c r="G9" i="52"/>
  <c r="F12" i="52"/>
  <c r="P8" i="52"/>
  <c r="G8" i="52"/>
  <c r="H8" i="52" s="1"/>
  <c r="J8" i="52" s="1"/>
  <c r="D33" i="52" s="1"/>
  <c r="P7" i="52"/>
  <c r="P6" i="52"/>
  <c r="H6" i="45"/>
  <c r="G36" i="51"/>
  <c r="E36" i="51"/>
  <c r="G35" i="51"/>
  <c r="G34" i="51"/>
  <c r="G33" i="51"/>
  <c r="G32" i="51"/>
  <c r="L25" i="51"/>
  <c r="N24" i="51"/>
  <c r="H24" i="51"/>
  <c r="G24" i="51"/>
  <c r="K23" i="51"/>
  <c r="C23" i="51"/>
  <c r="C22" i="51"/>
  <c r="E22" i="51" s="1"/>
  <c r="M22" i="51" s="1"/>
  <c r="C21" i="51"/>
  <c r="C20" i="51"/>
  <c r="K18" i="51"/>
  <c r="K19" i="51" s="1"/>
  <c r="P11" i="51"/>
  <c r="P10" i="51"/>
  <c r="G10" i="51"/>
  <c r="P9" i="51"/>
  <c r="G9" i="51"/>
  <c r="P7" i="51"/>
  <c r="P6" i="51"/>
  <c r="F10" i="50"/>
  <c r="F9" i="50"/>
  <c r="G36" i="50"/>
  <c r="E36" i="50"/>
  <c r="G35" i="50"/>
  <c r="G34" i="50"/>
  <c r="G33" i="50"/>
  <c r="G32" i="50"/>
  <c r="C23" i="50"/>
  <c r="K22" i="50"/>
  <c r="C22" i="50"/>
  <c r="E22" i="50" s="1"/>
  <c r="M22" i="50" s="1"/>
  <c r="K21" i="50"/>
  <c r="K18" i="50"/>
  <c r="K20" i="50" s="1"/>
  <c r="P11" i="50"/>
  <c r="P10" i="50"/>
  <c r="G10" i="50"/>
  <c r="H10" i="50" s="1"/>
  <c r="J10" i="50" s="1"/>
  <c r="D35" i="50" s="1"/>
  <c r="P9" i="50"/>
  <c r="G9" i="50"/>
  <c r="H9" i="50"/>
  <c r="J9" i="50" s="1"/>
  <c r="D34" i="50" s="1"/>
  <c r="G8" i="50"/>
  <c r="C21" i="50"/>
  <c r="G7" i="50"/>
  <c r="C19" i="50"/>
  <c r="C12" i="49"/>
  <c r="E8" i="5"/>
  <c r="F11" i="49"/>
  <c r="G36" i="49"/>
  <c r="E36" i="49"/>
  <c r="G35" i="49"/>
  <c r="G34" i="49"/>
  <c r="G33" i="49"/>
  <c r="G32" i="49"/>
  <c r="L24" i="49"/>
  <c r="C23" i="49"/>
  <c r="C22" i="49"/>
  <c r="C21" i="49"/>
  <c r="C20" i="49"/>
  <c r="C19" i="49"/>
  <c r="K18" i="49"/>
  <c r="K20" i="49" s="1"/>
  <c r="C11" i="49"/>
  <c r="P11" i="49" s="1"/>
  <c r="P10" i="49"/>
  <c r="G10" i="49"/>
  <c r="H10" i="49" s="1"/>
  <c r="J10" i="49" s="1"/>
  <c r="D35" i="49" s="1"/>
  <c r="F10" i="49"/>
  <c r="P9" i="49"/>
  <c r="G9" i="49"/>
  <c r="F9" i="49"/>
  <c r="H9" i="49" s="1"/>
  <c r="J9" i="49" s="1"/>
  <c r="D34" i="49" s="1"/>
  <c r="P8" i="49"/>
  <c r="G8" i="49"/>
  <c r="C8" i="49"/>
  <c r="C7" i="49"/>
  <c r="G7" i="49" s="1"/>
  <c r="P6" i="49"/>
  <c r="G6" i="49"/>
  <c r="C6" i="49"/>
  <c r="F23" i="51" l="1"/>
  <c r="G23" i="51" s="1"/>
  <c r="E23" i="51"/>
  <c r="M23" i="51" s="1"/>
  <c r="P7" i="50"/>
  <c r="C20" i="50"/>
  <c r="C12" i="50"/>
  <c r="F8" i="5" s="1"/>
  <c r="C19" i="52"/>
  <c r="E19" i="52" s="1"/>
  <c r="F19" i="52" s="1"/>
  <c r="G6" i="52"/>
  <c r="H6" i="52" s="1"/>
  <c r="H22" i="52"/>
  <c r="G22" i="52"/>
  <c r="N22" i="52" s="1"/>
  <c r="F23" i="52"/>
  <c r="M23" i="52"/>
  <c r="C25" i="52"/>
  <c r="E20" i="52"/>
  <c r="M20" i="52" s="1"/>
  <c r="G7" i="52"/>
  <c r="H7" i="52" s="1"/>
  <c r="J7" i="52" s="1"/>
  <c r="D32" i="52" s="1"/>
  <c r="H9" i="52"/>
  <c r="J9" i="52" s="1"/>
  <c r="D34" i="52" s="1"/>
  <c r="K21" i="52"/>
  <c r="M22" i="52"/>
  <c r="K23" i="52"/>
  <c r="K22" i="52"/>
  <c r="P11" i="52"/>
  <c r="P12" i="52" s="1"/>
  <c r="G11" i="52" s="1"/>
  <c r="H11" i="52" s="1"/>
  <c r="J11" i="52" s="1"/>
  <c r="D36" i="52" s="1"/>
  <c r="F36" i="52" s="1"/>
  <c r="H36" i="52" s="1"/>
  <c r="K20" i="52"/>
  <c r="E21" i="52"/>
  <c r="M21" i="52" s="1"/>
  <c r="C12" i="52"/>
  <c r="H8" i="5" s="1"/>
  <c r="E21" i="51"/>
  <c r="M21" i="51" s="1"/>
  <c r="F22" i="51"/>
  <c r="G8" i="51"/>
  <c r="C19" i="51"/>
  <c r="E20" i="51"/>
  <c r="K20" i="51"/>
  <c r="C12" i="51"/>
  <c r="G8" i="5" s="1"/>
  <c r="G7" i="51"/>
  <c r="C24" i="51"/>
  <c r="E24" i="51" s="1"/>
  <c r="M24" i="51" s="1"/>
  <c r="P24" i="51" s="1"/>
  <c r="G6" i="51"/>
  <c r="K22" i="51"/>
  <c r="P8" i="51"/>
  <c r="P12" i="51" s="1"/>
  <c r="G11" i="51" s="1"/>
  <c r="K21" i="51"/>
  <c r="K23" i="50"/>
  <c r="K19" i="50"/>
  <c r="P8" i="50"/>
  <c r="C24" i="50"/>
  <c r="C25" i="50" s="1"/>
  <c r="E23" i="50"/>
  <c r="M23" i="50" s="1"/>
  <c r="F22" i="50"/>
  <c r="G6" i="50"/>
  <c r="P6" i="50"/>
  <c r="F19" i="49"/>
  <c r="K19" i="49"/>
  <c r="K21" i="49"/>
  <c r="K22" i="49"/>
  <c r="K23" i="49"/>
  <c r="P7" i="49"/>
  <c r="P12" i="49" s="1"/>
  <c r="G11" i="49" s="1"/>
  <c r="C24" i="49"/>
  <c r="E19" i="49"/>
  <c r="E20" i="49"/>
  <c r="M20" i="49" s="1"/>
  <c r="E21" i="49"/>
  <c r="M21" i="49" s="1"/>
  <c r="E22" i="49"/>
  <c r="M22" i="49" s="1"/>
  <c r="E23" i="49"/>
  <c r="M23" i="49" s="1"/>
  <c r="F20" i="52" l="1"/>
  <c r="N23" i="51"/>
  <c r="H23" i="51"/>
  <c r="O23" i="51" s="1"/>
  <c r="P23" i="51" s="1"/>
  <c r="R23" i="51" s="1"/>
  <c r="E35" i="51" s="1"/>
  <c r="F21" i="52"/>
  <c r="G23" i="52"/>
  <c r="N23" i="52" s="1"/>
  <c r="H23" i="52"/>
  <c r="O23" i="52" s="1"/>
  <c r="G21" i="52"/>
  <c r="N21" i="52" s="1"/>
  <c r="G20" i="52"/>
  <c r="N20" i="52" s="1"/>
  <c r="H12" i="52"/>
  <c r="H10" i="5" s="1"/>
  <c r="J6" i="52"/>
  <c r="G12" i="52"/>
  <c r="C11" i="26" s="1"/>
  <c r="F25" i="52"/>
  <c r="G19" i="52"/>
  <c r="M19" i="52"/>
  <c r="E25" i="52"/>
  <c r="O22" i="52"/>
  <c r="P22" i="52" s="1"/>
  <c r="R22" i="52" s="1"/>
  <c r="E34" i="52" s="1"/>
  <c r="F34" i="52" s="1"/>
  <c r="H34" i="52" s="1"/>
  <c r="G12" i="51"/>
  <c r="C10" i="26" s="1"/>
  <c r="F20" i="51"/>
  <c r="M20" i="51"/>
  <c r="F21" i="51"/>
  <c r="C25" i="51"/>
  <c r="E19" i="51"/>
  <c r="G22" i="51"/>
  <c r="N22" i="51" s="1"/>
  <c r="F23" i="50"/>
  <c r="P12" i="50"/>
  <c r="G11" i="50" s="1"/>
  <c r="G22" i="50"/>
  <c r="N22" i="50" s="1"/>
  <c r="G12" i="49"/>
  <c r="H11" i="49"/>
  <c r="J11" i="49" s="1"/>
  <c r="D36" i="49" s="1"/>
  <c r="F36" i="49" s="1"/>
  <c r="H36" i="49" s="1"/>
  <c r="F20" i="49"/>
  <c r="F23" i="49"/>
  <c r="F22" i="49"/>
  <c r="F21" i="49"/>
  <c r="G19" i="49"/>
  <c r="M19" i="49"/>
  <c r="E24" i="49"/>
  <c r="M24" i="49" s="1"/>
  <c r="C25" i="49"/>
  <c r="H20" i="52" l="1"/>
  <c r="O20" i="52" s="1"/>
  <c r="P20" i="52" s="1"/>
  <c r="R20" i="52" s="1"/>
  <c r="E32" i="52" s="1"/>
  <c r="F32" i="52" s="1"/>
  <c r="H32" i="52" s="1"/>
  <c r="P23" i="52"/>
  <c r="R23" i="52" s="1"/>
  <c r="E35" i="52" s="1"/>
  <c r="F35" i="52" s="1"/>
  <c r="H35" i="52" s="1"/>
  <c r="G25" i="52"/>
  <c r="N19" i="52"/>
  <c r="N25" i="52" s="1"/>
  <c r="H19" i="52"/>
  <c r="M25" i="52"/>
  <c r="H21" i="52"/>
  <c r="O21" i="52" s="1"/>
  <c r="P21" i="52" s="1"/>
  <c r="R21" i="52" s="1"/>
  <c r="E33" i="52" s="1"/>
  <c r="F33" i="52" s="1"/>
  <c r="H33" i="52" s="1"/>
  <c r="J12" i="52"/>
  <c r="D31" i="52"/>
  <c r="D37" i="52" s="1"/>
  <c r="G21" i="51"/>
  <c r="N21" i="51" s="1"/>
  <c r="M19" i="51"/>
  <c r="E25" i="51"/>
  <c r="F19" i="51"/>
  <c r="G20" i="51"/>
  <c r="N20" i="51" s="1"/>
  <c r="H22" i="51"/>
  <c r="O22" i="51" s="1"/>
  <c r="P22" i="51" s="1"/>
  <c r="R22" i="51" s="1"/>
  <c r="E34" i="51" s="1"/>
  <c r="G23" i="50"/>
  <c r="N23" i="50" s="1"/>
  <c r="H22" i="50"/>
  <c r="O22" i="50" s="1"/>
  <c r="G12" i="50"/>
  <c r="C9" i="26" s="1"/>
  <c r="C12" i="26" s="1"/>
  <c r="G22" i="49"/>
  <c r="N22" i="49" s="1"/>
  <c r="N19" i="49"/>
  <c r="H19" i="49"/>
  <c r="F24" i="49"/>
  <c r="M25" i="49"/>
  <c r="G23" i="49"/>
  <c r="N23" i="49" s="1"/>
  <c r="E25" i="49"/>
  <c r="F25" i="49"/>
  <c r="G20" i="49"/>
  <c r="N20" i="49" s="1"/>
  <c r="G21" i="49"/>
  <c r="N21" i="49" s="1"/>
  <c r="H25" i="52" l="1"/>
  <c r="O19" i="52"/>
  <c r="H20" i="51"/>
  <c r="O20" i="51" s="1"/>
  <c r="P20" i="51" s="1"/>
  <c r="R20" i="51" s="1"/>
  <c r="E32" i="51" s="1"/>
  <c r="F25" i="51"/>
  <c r="G19" i="51"/>
  <c r="M25" i="51"/>
  <c r="H21" i="51"/>
  <c r="O21" i="51" s="1"/>
  <c r="P21" i="51" s="1"/>
  <c r="R21" i="51" s="1"/>
  <c r="E33" i="51" s="1"/>
  <c r="H23" i="50"/>
  <c r="O23" i="50" s="1"/>
  <c r="G24" i="49"/>
  <c r="N24" i="49" s="1"/>
  <c r="P24" i="49" s="1"/>
  <c r="G25" i="49"/>
  <c r="H20" i="49"/>
  <c r="O20" i="49" s="1"/>
  <c r="H22" i="49"/>
  <c r="O22" i="49" s="1"/>
  <c r="H23" i="49"/>
  <c r="O23" i="49" s="1"/>
  <c r="O19" i="49"/>
  <c r="H21" i="49"/>
  <c r="O21" i="49" s="1"/>
  <c r="O25" i="52" l="1"/>
  <c r="P19" i="52"/>
  <c r="G25" i="51"/>
  <c r="N19" i="51"/>
  <c r="H19" i="51"/>
  <c r="O25" i="49"/>
  <c r="N25" i="49"/>
  <c r="H24" i="49"/>
  <c r="H25" i="49" s="1"/>
  <c r="P25" i="52" l="1"/>
  <c r="R19" i="52"/>
  <c r="H25" i="51"/>
  <c r="O19" i="51"/>
  <c r="O25" i="51" s="1"/>
  <c r="N25" i="51"/>
  <c r="P19" i="51" l="1"/>
  <c r="P25" i="51" s="1"/>
  <c r="E31" i="52"/>
  <c r="R25" i="52"/>
  <c r="R19" i="51" l="1"/>
  <c r="R25" i="51" s="1"/>
  <c r="E37" i="52"/>
  <c r="F31" i="52"/>
  <c r="E31" i="51" l="1"/>
  <c r="E37" i="51" s="1"/>
  <c r="F37" i="52"/>
  <c r="H31" i="52"/>
  <c r="H37" i="52" s="1"/>
  <c r="H11" i="5" l="1"/>
  <c r="H12" i="5" s="1"/>
  <c r="E22" i="41"/>
  <c r="E23" i="41"/>
  <c r="L24" i="48"/>
  <c r="F22" i="48"/>
  <c r="F23" i="48"/>
  <c r="F24" i="48"/>
  <c r="E20" i="48"/>
  <c r="E21" i="48"/>
  <c r="F21" i="48" s="1"/>
  <c r="E22" i="48"/>
  <c r="E23" i="48"/>
  <c r="E24" i="48"/>
  <c r="L24" i="46"/>
  <c r="F22" i="46"/>
  <c r="F23" i="46"/>
  <c r="F24" i="46"/>
  <c r="E22" i="46"/>
  <c r="E23" i="46"/>
  <c r="E24" i="46"/>
  <c r="F22" i="45"/>
  <c r="F23" i="45"/>
  <c r="F24" i="45"/>
  <c r="E22" i="45"/>
  <c r="E23" i="45"/>
  <c r="E24" i="45"/>
  <c r="G6" i="34"/>
  <c r="F20" i="48"/>
  <c r="F19" i="48"/>
  <c r="E19" i="48"/>
  <c r="F21" i="46"/>
  <c r="F20" i="46"/>
  <c r="F19" i="46"/>
  <c r="E21" i="46"/>
  <c r="E20" i="46"/>
  <c r="E19" i="46"/>
  <c r="K19" i="41"/>
  <c r="K20" i="41"/>
  <c r="P8" i="35"/>
  <c r="P6" i="35"/>
  <c r="G8" i="34"/>
  <c r="P8" i="34"/>
  <c r="P7" i="34"/>
  <c r="P6" i="34"/>
  <c r="G16" i="5" l="1"/>
  <c r="F16" i="5"/>
  <c r="E16" i="5"/>
  <c r="P8" i="41"/>
  <c r="P6" i="41"/>
  <c r="G8" i="41"/>
  <c r="G6" i="41"/>
  <c r="F11" i="48"/>
  <c r="G36" i="48"/>
  <c r="E36" i="48"/>
  <c r="G35" i="48"/>
  <c r="G34" i="48"/>
  <c r="G33" i="48"/>
  <c r="G32" i="48"/>
  <c r="M24" i="48"/>
  <c r="G24" i="48"/>
  <c r="N24" i="48" s="1"/>
  <c r="K23" i="48"/>
  <c r="M23" i="48"/>
  <c r="C23" i="48"/>
  <c r="K22" i="48"/>
  <c r="C22" i="48"/>
  <c r="K21" i="48"/>
  <c r="C21" i="48"/>
  <c r="K20" i="48"/>
  <c r="C20" i="48"/>
  <c r="K19" i="48"/>
  <c r="C19" i="48"/>
  <c r="K18" i="48"/>
  <c r="C12" i="48"/>
  <c r="P11" i="48"/>
  <c r="C11" i="48"/>
  <c r="C24" i="48" s="1"/>
  <c r="P10" i="48"/>
  <c r="G10" i="48"/>
  <c r="P9" i="48"/>
  <c r="G9" i="48"/>
  <c r="P8" i="48"/>
  <c r="C8" i="48"/>
  <c r="G8" i="48" s="1"/>
  <c r="C7" i="48"/>
  <c r="P7" i="48" s="1"/>
  <c r="P6" i="48"/>
  <c r="G6" i="48"/>
  <c r="C6" i="48"/>
  <c r="C11" i="46"/>
  <c r="C8" i="46"/>
  <c r="C7" i="46"/>
  <c r="C6" i="46"/>
  <c r="C11" i="45"/>
  <c r="C8" i="45"/>
  <c r="C7" i="45"/>
  <c r="G7" i="45" s="1"/>
  <c r="H7" i="45" s="1"/>
  <c r="F7" i="46" s="1"/>
  <c r="C6" i="45"/>
  <c r="C26" i="47"/>
  <c r="D25" i="47"/>
  <c r="D22" i="47"/>
  <c r="E22" i="47" s="1"/>
  <c r="F22" i="47" s="1"/>
  <c r="G22" i="47" s="1"/>
  <c r="H22" i="47" s="1"/>
  <c r="I22" i="47" s="1"/>
  <c r="J22" i="47" s="1"/>
  <c r="K22" i="47" s="1"/>
  <c r="L22" i="47" s="1"/>
  <c r="M22" i="47" s="1"/>
  <c r="N22" i="47" s="1"/>
  <c r="O22" i="47" s="1"/>
  <c r="P22" i="47" s="1"/>
  <c r="R19" i="47"/>
  <c r="R26" i="47" s="1"/>
  <c r="I18" i="47"/>
  <c r="J18" i="47" s="1"/>
  <c r="K18" i="47" s="1"/>
  <c r="L18" i="47" s="1"/>
  <c r="M18" i="47" s="1"/>
  <c r="N18" i="47" s="1"/>
  <c r="O18" i="47" s="1"/>
  <c r="P18" i="47" s="1"/>
  <c r="J16" i="47"/>
  <c r="K16" i="47" s="1"/>
  <c r="L16" i="47" s="1"/>
  <c r="M16" i="47" s="1"/>
  <c r="N16" i="47" s="1"/>
  <c r="O16" i="47" s="1"/>
  <c r="P16" i="47" s="1"/>
  <c r="D14" i="47"/>
  <c r="D12" i="47"/>
  <c r="F11" i="47"/>
  <c r="G11" i="47" s="1"/>
  <c r="H11" i="47" s="1"/>
  <c r="I11" i="47" s="1"/>
  <c r="J11" i="47" s="1"/>
  <c r="K11" i="47" s="1"/>
  <c r="L11" i="47" s="1"/>
  <c r="M11" i="47" s="1"/>
  <c r="N11" i="47" s="1"/>
  <c r="O11" i="47" s="1"/>
  <c r="P11" i="47" s="1"/>
  <c r="E11" i="47"/>
  <c r="D11" i="47"/>
  <c r="Q11" i="47" s="1"/>
  <c r="D10" i="47"/>
  <c r="D19" i="47" s="1"/>
  <c r="J9" i="47"/>
  <c r="I9" i="47"/>
  <c r="M6" i="47"/>
  <c r="N6" i="47" s="1"/>
  <c r="L6" i="47"/>
  <c r="G36" i="46"/>
  <c r="E36" i="46"/>
  <c r="G35" i="46"/>
  <c r="G34" i="46"/>
  <c r="G33" i="46"/>
  <c r="G32" i="46"/>
  <c r="P24" i="46"/>
  <c r="N24" i="46"/>
  <c r="M24" i="46"/>
  <c r="G24" i="46"/>
  <c r="H24" i="46" s="1"/>
  <c r="M23" i="46"/>
  <c r="C23" i="46"/>
  <c r="C22" i="46"/>
  <c r="C20" i="46"/>
  <c r="C19" i="46"/>
  <c r="K18" i="46"/>
  <c r="K19" i="46" s="1"/>
  <c r="C24" i="46"/>
  <c r="P10" i="46"/>
  <c r="G10" i="46"/>
  <c r="P9" i="46"/>
  <c r="G9" i="46"/>
  <c r="G8" i="46"/>
  <c r="P7" i="46"/>
  <c r="G7" i="46"/>
  <c r="P6" i="46"/>
  <c r="E36" i="5"/>
  <c r="E35" i="5"/>
  <c r="E34" i="5"/>
  <c r="G36" i="45"/>
  <c r="E36" i="45"/>
  <c r="G35" i="45"/>
  <c r="G34" i="45"/>
  <c r="G33" i="45"/>
  <c r="G32" i="45"/>
  <c r="L25" i="45"/>
  <c r="M24" i="45"/>
  <c r="G24" i="45"/>
  <c r="H24" i="45" s="1"/>
  <c r="M23" i="45"/>
  <c r="C23" i="45"/>
  <c r="M22" i="45"/>
  <c r="C22" i="45"/>
  <c r="C21" i="45"/>
  <c r="K18" i="45"/>
  <c r="K19" i="45" s="1"/>
  <c r="F12" i="45"/>
  <c r="P11" i="45"/>
  <c r="C24" i="45"/>
  <c r="P10" i="45"/>
  <c r="G10" i="45"/>
  <c r="H10" i="45" s="1"/>
  <c r="J10" i="45" s="1"/>
  <c r="D35" i="45" s="1"/>
  <c r="P9" i="45"/>
  <c r="G9" i="45"/>
  <c r="H9" i="45" s="1"/>
  <c r="J9" i="45" s="1"/>
  <c r="D34" i="45" s="1"/>
  <c r="P8" i="45"/>
  <c r="P7" i="45"/>
  <c r="C12" i="45"/>
  <c r="G14" i="5" l="1"/>
  <c r="H14" i="5"/>
  <c r="E37" i="5"/>
  <c r="H15" i="5" s="1"/>
  <c r="H17" i="5" s="1"/>
  <c r="H24" i="48"/>
  <c r="P24" i="48"/>
  <c r="N24" i="45"/>
  <c r="P24" i="45" s="1"/>
  <c r="F10" i="48"/>
  <c r="H10" i="48" s="1"/>
  <c r="J10" i="48" s="1"/>
  <c r="D35" i="48" s="1"/>
  <c r="F9" i="46"/>
  <c r="H9" i="46" s="1"/>
  <c r="J9" i="46" s="1"/>
  <c r="D34" i="46" s="1"/>
  <c r="F9" i="48"/>
  <c r="H9" i="48" s="1"/>
  <c r="J9" i="48" s="1"/>
  <c r="D34" i="48" s="1"/>
  <c r="F10" i="46"/>
  <c r="E14" i="5"/>
  <c r="F14" i="5"/>
  <c r="P12" i="48"/>
  <c r="G11" i="48" s="1"/>
  <c r="H11" i="48" s="1"/>
  <c r="J11" i="48" s="1"/>
  <c r="D36" i="48" s="1"/>
  <c r="F36" i="48" s="1"/>
  <c r="H36" i="48" s="1"/>
  <c r="M20" i="48"/>
  <c r="M21" i="48"/>
  <c r="M22" i="48"/>
  <c r="G7" i="48"/>
  <c r="G12" i="48" s="1"/>
  <c r="C25" i="48"/>
  <c r="M20" i="46"/>
  <c r="D26" i="47"/>
  <c r="O6" i="47"/>
  <c r="K9" i="47"/>
  <c r="Q18" i="47"/>
  <c r="E10" i="47"/>
  <c r="Q6" i="47"/>
  <c r="Q22" i="47"/>
  <c r="Q16" i="47"/>
  <c r="E14" i="47"/>
  <c r="F14" i="47" s="1"/>
  <c r="G14" i="47" s="1"/>
  <c r="H14" i="47" s="1"/>
  <c r="I14" i="47" s="1"/>
  <c r="J14" i="47" s="1"/>
  <c r="K14" i="47" s="1"/>
  <c r="L14" i="47" s="1"/>
  <c r="M14" i="47" s="1"/>
  <c r="N14" i="47" s="1"/>
  <c r="O14" i="47" s="1"/>
  <c r="P14" i="47" s="1"/>
  <c r="E25" i="47"/>
  <c r="F25" i="47" s="1"/>
  <c r="G25" i="47" s="1"/>
  <c r="H25" i="47" s="1"/>
  <c r="I25" i="47" s="1"/>
  <c r="J25" i="47" s="1"/>
  <c r="K25" i="47" s="1"/>
  <c r="L25" i="47" s="1"/>
  <c r="M25" i="47" s="1"/>
  <c r="N25" i="47" s="1"/>
  <c r="O25" i="47" s="1"/>
  <c r="P25" i="47" s="1"/>
  <c r="E12" i="47"/>
  <c r="F12" i="47" s="1"/>
  <c r="G12" i="47" s="1"/>
  <c r="H12" i="47" s="1"/>
  <c r="I12" i="47" s="1"/>
  <c r="J12" i="47" s="1"/>
  <c r="K12" i="47" s="1"/>
  <c r="L12" i="47" s="1"/>
  <c r="M12" i="47" s="1"/>
  <c r="N12" i="47" s="1"/>
  <c r="O12" i="47" s="1"/>
  <c r="P12" i="47" s="1"/>
  <c r="H10" i="46"/>
  <c r="J10" i="46" s="1"/>
  <c r="D35" i="46" s="1"/>
  <c r="H7" i="46"/>
  <c r="C21" i="46"/>
  <c r="M22" i="46"/>
  <c r="M19" i="46"/>
  <c r="K23" i="46"/>
  <c r="G6" i="46"/>
  <c r="P8" i="46"/>
  <c r="K21" i="46"/>
  <c r="P11" i="46"/>
  <c r="K20" i="46"/>
  <c r="K22" i="46"/>
  <c r="C12" i="46"/>
  <c r="K20" i="45"/>
  <c r="J7" i="45"/>
  <c r="D32" i="45" s="1"/>
  <c r="C20" i="45"/>
  <c r="E21" i="45"/>
  <c r="M21" i="45" s="1"/>
  <c r="G23" i="45"/>
  <c r="N23" i="45" s="1"/>
  <c r="C19" i="45"/>
  <c r="K23" i="45"/>
  <c r="G8" i="45"/>
  <c r="H8" i="45" s="1"/>
  <c r="G6" i="45"/>
  <c r="K22" i="45"/>
  <c r="K21" i="45"/>
  <c r="P6" i="45"/>
  <c r="P12" i="45" s="1"/>
  <c r="G11" i="45" s="1"/>
  <c r="H11" i="45" s="1"/>
  <c r="G15" i="5" l="1"/>
  <c r="E15" i="5"/>
  <c r="F15" i="5"/>
  <c r="J7" i="46"/>
  <c r="D32" i="46" s="1"/>
  <c r="F7" i="48"/>
  <c r="H7" i="48" s="1"/>
  <c r="F7" i="49" s="1"/>
  <c r="H7" i="49" s="1"/>
  <c r="J7" i="49" s="1"/>
  <c r="D32" i="49" s="1"/>
  <c r="G19" i="48"/>
  <c r="G23" i="48"/>
  <c r="N23" i="48" s="1"/>
  <c r="E25" i="48"/>
  <c r="M19" i="48"/>
  <c r="G22" i="48"/>
  <c r="N22" i="48" s="1"/>
  <c r="G20" i="46"/>
  <c r="N20" i="46" s="1"/>
  <c r="J8" i="45"/>
  <c r="D33" i="45" s="1"/>
  <c r="F8" i="46"/>
  <c r="H8" i="46" s="1"/>
  <c r="J11" i="45"/>
  <c r="D36" i="45" s="1"/>
  <c r="F36" i="45" s="1"/>
  <c r="H36" i="45" s="1"/>
  <c r="F11" i="46"/>
  <c r="E19" i="47"/>
  <c r="F10" i="47"/>
  <c r="P6" i="47"/>
  <c r="L9" i="47"/>
  <c r="Q25" i="47"/>
  <c r="Q14" i="47"/>
  <c r="Q12" i="47"/>
  <c r="P12" i="46"/>
  <c r="G11" i="46" s="1"/>
  <c r="M21" i="46"/>
  <c r="C25" i="46"/>
  <c r="G23" i="46"/>
  <c r="N23" i="46" s="1"/>
  <c r="E20" i="45"/>
  <c r="M20" i="45" s="1"/>
  <c r="G12" i="45"/>
  <c r="F6" i="46"/>
  <c r="F21" i="45"/>
  <c r="G22" i="45"/>
  <c r="N22" i="45" s="1"/>
  <c r="C25" i="45"/>
  <c r="E19" i="45"/>
  <c r="F19" i="45"/>
  <c r="H23" i="45"/>
  <c r="O23" i="45" s="1"/>
  <c r="P23" i="45" s="1"/>
  <c r="R23" i="45" l="1"/>
  <c r="E35" i="45" s="1"/>
  <c r="F35" i="45" s="1"/>
  <c r="H35" i="45" s="1"/>
  <c r="L23" i="46"/>
  <c r="J8" i="46"/>
  <c r="D33" i="46" s="1"/>
  <c r="F8" i="48"/>
  <c r="H8" i="48" s="1"/>
  <c r="G21" i="48"/>
  <c r="N21" i="48" s="1"/>
  <c r="H23" i="48"/>
  <c r="O23" i="48" s="1"/>
  <c r="J7" i="48"/>
  <c r="G20" i="48"/>
  <c r="N20" i="48" s="1"/>
  <c r="N19" i="48"/>
  <c r="H22" i="48"/>
  <c r="O22" i="48" s="1"/>
  <c r="F25" i="48"/>
  <c r="H19" i="48"/>
  <c r="O19" i="48" s="1"/>
  <c r="M25" i="48"/>
  <c r="E25" i="46"/>
  <c r="H20" i="46"/>
  <c r="O20" i="46" s="1"/>
  <c r="F12" i="46"/>
  <c r="H11" i="46"/>
  <c r="J11" i="46" s="1"/>
  <c r="D36" i="46" s="1"/>
  <c r="F36" i="46" s="1"/>
  <c r="H36" i="46" s="1"/>
  <c r="H6" i="46"/>
  <c r="F6" i="48" s="1"/>
  <c r="E26" i="47"/>
  <c r="M9" i="47"/>
  <c r="F19" i="47"/>
  <c r="F26" i="47" s="1"/>
  <c r="G10" i="47"/>
  <c r="G12" i="46"/>
  <c r="G22" i="46"/>
  <c r="N22" i="46" s="1"/>
  <c r="M25" i="46"/>
  <c r="H23" i="46"/>
  <c r="O23" i="46" s="1"/>
  <c r="G19" i="46"/>
  <c r="H22" i="45"/>
  <c r="O22" i="45" s="1"/>
  <c r="P22" i="45" s="1"/>
  <c r="G21" i="45"/>
  <c r="N21" i="45" s="1"/>
  <c r="H21" i="45"/>
  <c r="O21" i="45" s="1"/>
  <c r="H12" i="45"/>
  <c r="J6" i="45"/>
  <c r="F25" i="45"/>
  <c r="G19" i="45"/>
  <c r="M19" i="45"/>
  <c r="E25" i="45"/>
  <c r="F20" i="45"/>
  <c r="J8" i="48" l="1"/>
  <c r="D33" i="48" s="1"/>
  <c r="F8" i="49"/>
  <c r="H8" i="49" s="1"/>
  <c r="J8" i="49" s="1"/>
  <c r="D33" i="49" s="1"/>
  <c r="P23" i="46"/>
  <c r="L23" i="49" s="1"/>
  <c r="P23" i="49" s="1"/>
  <c r="R23" i="49" s="1"/>
  <c r="E35" i="49" s="1"/>
  <c r="F35" i="49" s="1"/>
  <c r="H35" i="49" s="1"/>
  <c r="L23" i="48"/>
  <c r="P23" i="48" s="1"/>
  <c r="R23" i="48" s="1"/>
  <c r="E35" i="48" s="1"/>
  <c r="F35" i="48" s="1"/>
  <c r="H35" i="48" s="1"/>
  <c r="R22" i="45"/>
  <c r="E34" i="45" s="1"/>
  <c r="F34" i="45" s="1"/>
  <c r="H34" i="45" s="1"/>
  <c r="L22" i="46"/>
  <c r="H22" i="46"/>
  <c r="O22" i="46" s="1"/>
  <c r="J6" i="46"/>
  <c r="D31" i="46" s="1"/>
  <c r="D37" i="46" s="1"/>
  <c r="G25" i="48"/>
  <c r="H20" i="48"/>
  <c r="O20" i="48" s="1"/>
  <c r="D32" i="48"/>
  <c r="H21" i="48"/>
  <c r="O21" i="48" s="1"/>
  <c r="N25" i="48"/>
  <c r="H12" i="46"/>
  <c r="N9" i="47"/>
  <c r="G19" i="47"/>
  <c r="G26" i="47" s="1"/>
  <c r="H10" i="47"/>
  <c r="N19" i="46"/>
  <c r="H19" i="46"/>
  <c r="G21" i="46"/>
  <c r="N21" i="46" s="1"/>
  <c r="F25" i="46"/>
  <c r="M25" i="45"/>
  <c r="N19" i="45"/>
  <c r="H19" i="45"/>
  <c r="D31" i="45"/>
  <c r="J12" i="45"/>
  <c r="P21" i="45"/>
  <c r="G20" i="45"/>
  <c r="N20" i="45" s="1"/>
  <c r="P22" i="46" l="1"/>
  <c r="L22" i="49" s="1"/>
  <c r="P22" i="49" s="1"/>
  <c r="R22" i="49" s="1"/>
  <c r="E34" i="49" s="1"/>
  <c r="F34" i="49" s="1"/>
  <c r="H34" i="49" s="1"/>
  <c r="R23" i="46"/>
  <c r="E35" i="46" s="1"/>
  <c r="F35" i="46" s="1"/>
  <c r="H35" i="46" s="1"/>
  <c r="J12" i="46"/>
  <c r="L22" i="48"/>
  <c r="P22" i="48" s="1"/>
  <c r="R22" i="48" s="1"/>
  <c r="E34" i="48" s="1"/>
  <c r="F34" i="48" s="1"/>
  <c r="H34" i="48" s="1"/>
  <c r="R21" i="45"/>
  <c r="E33" i="45" s="1"/>
  <c r="F33" i="45" s="1"/>
  <c r="H33" i="45" s="1"/>
  <c r="L21" i="46"/>
  <c r="H6" i="48"/>
  <c r="F6" i="49" s="1"/>
  <c r="F12" i="48"/>
  <c r="O25" i="48"/>
  <c r="H25" i="48"/>
  <c r="H19" i="47"/>
  <c r="H26" i="47" s="1"/>
  <c r="I10" i="47"/>
  <c r="O9" i="47"/>
  <c r="H21" i="46"/>
  <c r="O21" i="46" s="1"/>
  <c r="H25" i="46"/>
  <c r="O19" i="46"/>
  <c r="G25" i="46"/>
  <c r="N25" i="46"/>
  <c r="H20" i="45"/>
  <c r="O20" i="45" s="1"/>
  <c r="P20" i="45" s="1"/>
  <c r="G25" i="45"/>
  <c r="O19" i="45"/>
  <c r="N25" i="45"/>
  <c r="R22" i="46" l="1"/>
  <c r="E34" i="46" s="1"/>
  <c r="F34" i="46" s="1"/>
  <c r="H34" i="46" s="1"/>
  <c r="H6" i="49"/>
  <c r="F12" i="49"/>
  <c r="R20" i="45"/>
  <c r="E32" i="45" s="1"/>
  <c r="F32" i="45" s="1"/>
  <c r="H32" i="45" s="1"/>
  <c r="L20" i="46"/>
  <c r="P20" i="46" s="1"/>
  <c r="L20" i="49" s="1"/>
  <c r="P20" i="49" s="1"/>
  <c r="R20" i="49" s="1"/>
  <c r="E32" i="49" s="1"/>
  <c r="F32" i="49" s="1"/>
  <c r="H32" i="49" s="1"/>
  <c r="P21" i="46"/>
  <c r="L21" i="49" s="1"/>
  <c r="P21" i="49" s="1"/>
  <c r="R21" i="49" s="1"/>
  <c r="E33" i="49" s="1"/>
  <c r="F33" i="49" s="1"/>
  <c r="H33" i="49" s="1"/>
  <c r="J6" i="48"/>
  <c r="H12" i="48"/>
  <c r="H25" i="45"/>
  <c r="P9" i="47"/>
  <c r="Q9" i="47"/>
  <c r="J10" i="47"/>
  <c r="I19" i="47"/>
  <c r="O25" i="46"/>
  <c r="O25" i="45"/>
  <c r="P19" i="45"/>
  <c r="L19" i="46" s="1"/>
  <c r="J6" i="49" l="1"/>
  <c r="H12" i="49"/>
  <c r="E10" i="5" s="1"/>
  <c r="L25" i="46"/>
  <c r="P19" i="46"/>
  <c r="L19" i="49" s="1"/>
  <c r="R21" i="46"/>
  <c r="E33" i="46" s="1"/>
  <c r="F33" i="46" s="1"/>
  <c r="H33" i="46" s="1"/>
  <c r="L21" i="48"/>
  <c r="P21" i="48" s="1"/>
  <c r="R21" i="48" s="1"/>
  <c r="E33" i="48" s="1"/>
  <c r="F33" i="48" s="1"/>
  <c r="H33" i="48" s="1"/>
  <c r="R20" i="46"/>
  <c r="E32" i="46" s="1"/>
  <c r="F32" i="46" s="1"/>
  <c r="H32" i="46" s="1"/>
  <c r="L20" i="48"/>
  <c r="P20" i="48" s="1"/>
  <c r="R20" i="48" s="1"/>
  <c r="E32" i="48" s="1"/>
  <c r="F32" i="48" s="1"/>
  <c r="H32" i="48" s="1"/>
  <c r="D31" i="48"/>
  <c r="D37" i="48" s="1"/>
  <c r="J12" i="48"/>
  <c r="K10" i="47"/>
  <c r="J19" i="47"/>
  <c r="J26" i="47" s="1"/>
  <c r="I26" i="47"/>
  <c r="P25" i="45"/>
  <c r="R19" i="45"/>
  <c r="L25" i="49" l="1"/>
  <c r="P19" i="49"/>
  <c r="D31" i="49"/>
  <c r="J12" i="49"/>
  <c r="L19" i="48"/>
  <c r="R19" i="46"/>
  <c r="P25" i="46"/>
  <c r="L10" i="47"/>
  <c r="K19" i="47"/>
  <c r="K26" i="47" s="1"/>
  <c r="E31" i="45"/>
  <c r="R25" i="45"/>
  <c r="P25" i="49" l="1"/>
  <c r="R19" i="49"/>
  <c r="D37" i="49"/>
  <c r="E31" i="46"/>
  <c r="R25" i="46"/>
  <c r="L25" i="48"/>
  <c r="P19" i="48"/>
  <c r="M10" i="47"/>
  <c r="L19" i="47"/>
  <c r="L26" i="47" s="1"/>
  <c r="E37" i="45"/>
  <c r="F31" i="45"/>
  <c r="R25" i="49" l="1"/>
  <c r="E31" i="49"/>
  <c r="R19" i="48"/>
  <c r="P25" i="48"/>
  <c r="E37" i="46"/>
  <c r="F31" i="46"/>
  <c r="N10" i="47"/>
  <c r="M19" i="47"/>
  <c r="M26" i="47" s="1"/>
  <c r="F37" i="45"/>
  <c r="H31" i="45"/>
  <c r="H37" i="45" s="1"/>
  <c r="E37" i="49" l="1"/>
  <c r="F31" i="49"/>
  <c r="F37" i="46"/>
  <c r="H31" i="46"/>
  <c r="H37" i="46" s="1"/>
  <c r="R25" i="48"/>
  <c r="E31" i="48"/>
  <c r="O10" i="47"/>
  <c r="N19" i="47"/>
  <c r="N26" i="47" s="1"/>
  <c r="F37" i="49" l="1"/>
  <c r="H31" i="49"/>
  <c r="H37" i="49" s="1"/>
  <c r="E11" i="5" s="1"/>
  <c r="F31" i="48"/>
  <c r="E37" i="48"/>
  <c r="P10" i="47"/>
  <c r="P19" i="47" s="1"/>
  <c r="P26" i="47" s="1"/>
  <c r="O19" i="47"/>
  <c r="Q10" i="47"/>
  <c r="F37" i="48" l="1"/>
  <c r="H31" i="48"/>
  <c r="H37" i="48" s="1"/>
  <c r="E12" i="5" s="1"/>
  <c r="E17" i="5" s="1"/>
  <c r="O26" i="47"/>
  <c r="Q19" i="47"/>
  <c r="Q26" i="47" s="1"/>
  <c r="C22" i="26" l="1"/>
  <c r="G7" i="41" l="1"/>
  <c r="P7" i="41"/>
  <c r="E14" i="16" l="1"/>
  <c r="C14" i="16"/>
  <c r="C30" i="5" l="1"/>
  <c r="D26" i="5" s="1"/>
  <c r="F30" i="5"/>
  <c r="D29" i="5" l="1"/>
  <c r="D28" i="5"/>
  <c r="D27" i="5"/>
  <c r="D30" i="5" l="1"/>
  <c r="C24" i="41"/>
  <c r="E24" i="41" s="1"/>
  <c r="E24" i="50" s="1"/>
  <c r="M24" i="50" l="1"/>
  <c r="F24" i="50"/>
  <c r="H7" i="41"/>
  <c r="J7" i="41" s="1"/>
  <c r="G24" i="50" l="1"/>
  <c r="N24" i="50" s="1"/>
  <c r="C19" i="41"/>
  <c r="H6" i="41"/>
  <c r="J6" i="41" s="1"/>
  <c r="E19" i="24"/>
  <c r="E18" i="24"/>
  <c r="L18" i="24" s="1"/>
  <c r="E17" i="24"/>
  <c r="I17" i="24" s="1"/>
  <c r="E16" i="24"/>
  <c r="D31" i="41" l="1"/>
  <c r="H24" i="50"/>
  <c r="J16" i="24"/>
  <c r="F16" i="24"/>
  <c r="E19" i="41"/>
  <c r="J17" i="24"/>
  <c r="L17" i="24"/>
  <c r="G19" i="24"/>
  <c r="K17" i="24"/>
  <c r="G16" i="24"/>
  <c r="H19" i="24"/>
  <c r="L16" i="24"/>
  <c r="H18" i="24"/>
  <c r="K19" i="24"/>
  <c r="I16" i="24"/>
  <c r="K16" i="24"/>
  <c r="G18" i="24"/>
  <c r="I18" i="24"/>
  <c r="L19" i="24"/>
  <c r="I19" i="24"/>
  <c r="F17" i="24"/>
  <c r="G17" i="24"/>
  <c r="J18" i="24"/>
  <c r="F18" i="24"/>
  <c r="H17" i="24"/>
  <c r="K18" i="24"/>
  <c r="H16" i="24"/>
  <c r="J19" i="24"/>
  <c r="F19" i="24"/>
  <c r="M19" i="41" l="1"/>
  <c r="E19" i="50"/>
  <c r="F19" i="41"/>
  <c r="G19" i="41" s="1"/>
  <c r="N19" i="41" s="1"/>
  <c r="F19" i="50" l="1"/>
  <c r="M19" i="50"/>
  <c r="H19" i="41"/>
  <c r="O19" i="41" s="1"/>
  <c r="P19" i="41" s="1"/>
  <c r="L19" i="50" l="1"/>
  <c r="L19" i="35"/>
  <c r="G19" i="50"/>
  <c r="G36" i="41"/>
  <c r="E36" i="41"/>
  <c r="G35" i="41"/>
  <c r="G34" i="41"/>
  <c r="G33" i="41"/>
  <c r="G32" i="41"/>
  <c r="L25" i="41"/>
  <c r="M24" i="41"/>
  <c r="G24" i="41"/>
  <c r="H24" i="41" s="1"/>
  <c r="C23" i="41"/>
  <c r="F23" i="41" s="1"/>
  <c r="C22" i="41"/>
  <c r="K18" i="41"/>
  <c r="R19" i="41" s="1"/>
  <c r="E31" i="41" s="1"/>
  <c r="F12" i="41"/>
  <c r="P11" i="41"/>
  <c r="P10" i="41"/>
  <c r="G10" i="41"/>
  <c r="H10" i="41" s="1"/>
  <c r="P9" i="41"/>
  <c r="G9" i="41"/>
  <c r="H9" i="41" s="1"/>
  <c r="H19" i="50" l="1"/>
  <c r="N19" i="50"/>
  <c r="N24" i="41"/>
  <c r="J9" i="41"/>
  <c r="D34" i="41" s="1"/>
  <c r="F9" i="35"/>
  <c r="J10" i="41"/>
  <c r="D35" i="41" s="1"/>
  <c r="F10" i="35"/>
  <c r="P24" i="41"/>
  <c r="G23" i="41"/>
  <c r="N23" i="41" s="1"/>
  <c r="M22" i="41"/>
  <c r="K22" i="41"/>
  <c r="M23" i="41"/>
  <c r="K23" i="41"/>
  <c r="K21" i="41"/>
  <c r="L24" i="35" l="1"/>
  <c r="L24" i="50"/>
  <c r="P24" i="50" s="1"/>
  <c r="O19" i="50"/>
  <c r="F22" i="41"/>
  <c r="G22" i="41" s="1"/>
  <c r="N22" i="41" s="1"/>
  <c r="H23" i="41"/>
  <c r="O23" i="41" s="1"/>
  <c r="P23" i="41" s="1"/>
  <c r="L23" i="50" s="1"/>
  <c r="P23" i="50" s="1"/>
  <c r="R23" i="50" s="1"/>
  <c r="E35" i="50" s="1"/>
  <c r="F35" i="50" s="1"/>
  <c r="H35" i="50" s="1"/>
  <c r="P19" i="50" l="1"/>
  <c r="R23" i="41"/>
  <c r="E35" i="41" s="1"/>
  <c r="F35" i="41" s="1"/>
  <c r="H35" i="41" s="1"/>
  <c r="L23" i="35"/>
  <c r="H22" i="41"/>
  <c r="O22" i="41" s="1"/>
  <c r="P22" i="41" s="1"/>
  <c r="L22" i="50" s="1"/>
  <c r="P22" i="50" s="1"/>
  <c r="R22" i="50" s="1"/>
  <c r="E34" i="50" s="1"/>
  <c r="F34" i="50" s="1"/>
  <c r="H34" i="50" s="1"/>
  <c r="R19" i="50" l="1"/>
  <c r="R22" i="41"/>
  <c r="E34" i="41" s="1"/>
  <c r="F34" i="41" s="1"/>
  <c r="H34" i="41" s="1"/>
  <c r="L22" i="35"/>
  <c r="E31" i="50" l="1"/>
  <c r="C21" i="41"/>
  <c r="H8" i="41"/>
  <c r="C20" i="35"/>
  <c r="C20" i="41"/>
  <c r="J8" i="41" l="1"/>
  <c r="D33" i="41" s="1"/>
  <c r="F8" i="35"/>
  <c r="D32" i="41"/>
  <c r="F7" i="35"/>
  <c r="E21" i="41"/>
  <c r="M21" i="41" l="1"/>
  <c r="E21" i="50"/>
  <c r="F21" i="41"/>
  <c r="G21" i="41" s="1"/>
  <c r="N21" i="41" s="1"/>
  <c r="P12" i="41"/>
  <c r="G11" i="41" s="1"/>
  <c r="C12" i="41"/>
  <c r="M21" i="50" l="1"/>
  <c r="F21" i="50"/>
  <c r="H11" i="41"/>
  <c r="J11" i="41" s="1"/>
  <c r="F11" i="35"/>
  <c r="H21" i="41"/>
  <c r="O21" i="41" s="1"/>
  <c r="P21" i="41" s="1"/>
  <c r="L21" i="50" s="1"/>
  <c r="F6" i="35"/>
  <c r="C25" i="41"/>
  <c r="D36" i="41" l="1"/>
  <c r="F36" i="41" s="1"/>
  <c r="H36" i="41" s="1"/>
  <c r="J12" i="41"/>
  <c r="G21" i="50"/>
  <c r="H21" i="50" s="1"/>
  <c r="G12" i="41"/>
  <c r="R21" i="41"/>
  <c r="E33" i="41" s="1"/>
  <c r="F33" i="41" s="1"/>
  <c r="H33" i="41" s="1"/>
  <c r="L21" i="35"/>
  <c r="H12" i="41"/>
  <c r="G36" i="34"/>
  <c r="E36" i="34"/>
  <c r="G35" i="34"/>
  <c r="G34" i="34"/>
  <c r="G33" i="34"/>
  <c r="G32" i="34"/>
  <c r="L25" i="34"/>
  <c r="G24" i="34"/>
  <c r="N24" i="34" s="1"/>
  <c r="C23" i="34"/>
  <c r="C22" i="34"/>
  <c r="E22" i="34" s="1"/>
  <c r="K18" i="34"/>
  <c r="K20" i="34" s="1"/>
  <c r="F12" i="34"/>
  <c r="P10" i="34"/>
  <c r="G10" i="34"/>
  <c r="H10" i="34" s="1"/>
  <c r="P9" i="34"/>
  <c r="G9" i="34"/>
  <c r="H9" i="34" s="1"/>
  <c r="G36" i="35"/>
  <c r="E36" i="35"/>
  <c r="G35" i="35"/>
  <c r="G34" i="35"/>
  <c r="G33" i="35"/>
  <c r="G32" i="35"/>
  <c r="C24" i="35"/>
  <c r="C23" i="35"/>
  <c r="C22" i="35"/>
  <c r="C21" i="35"/>
  <c r="C19" i="35"/>
  <c r="K18" i="35"/>
  <c r="K20" i="35" s="1"/>
  <c r="F12" i="35"/>
  <c r="C12" i="35"/>
  <c r="P11" i="35"/>
  <c r="P10" i="35"/>
  <c r="G10" i="35"/>
  <c r="H10" i="35" s="1"/>
  <c r="J10" i="35" s="1"/>
  <c r="D35" i="35" s="1"/>
  <c r="P9" i="35"/>
  <c r="G9" i="35"/>
  <c r="H9" i="35" s="1"/>
  <c r="J9" i="35" s="1"/>
  <c r="D34" i="35" s="1"/>
  <c r="G8" i="35"/>
  <c r="H8" i="35" s="1"/>
  <c r="P7" i="35"/>
  <c r="G7" i="35"/>
  <c r="H7" i="35" s="1"/>
  <c r="G6" i="35"/>
  <c r="E23" i="34" l="1"/>
  <c r="M23" i="34" s="1"/>
  <c r="E22" i="35"/>
  <c r="F22" i="35" s="1"/>
  <c r="E23" i="35"/>
  <c r="M23" i="35" s="1"/>
  <c r="J7" i="35"/>
  <c r="D32" i="35" s="1"/>
  <c r="F7" i="50"/>
  <c r="H7" i="50" s="1"/>
  <c r="J7" i="50" s="1"/>
  <c r="D32" i="50" s="1"/>
  <c r="J9" i="34"/>
  <c r="D34" i="34" s="1"/>
  <c r="F9" i="51"/>
  <c r="H9" i="51" s="1"/>
  <c r="J9" i="51" s="1"/>
  <c r="D34" i="51" s="1"/>
  <c r="F34" i="51" s="1"/>
  <c r="H34" i="51" s="1"/>
  <c r="J10" i="34"/>
  <c r="D35" i="34" s="1"/>
  <c r="F10" i="51"/>
  <c r="H10" i="51" s="1"/>
  <c r="J10" i="51" s="1"/>
  <c r="D35" i="51" s="1"/>
  <c r="F35" i="51" s="1"/>
  <c r="H35" i="51" s="1"/>
  <c r="E21" i="35"/>
  <c r="M21" i="35" s="1"/>
  <c r="E19" i="35"/>
  <c r="M19" i="35" s="1"/>
  <c r="O21" i="50"/>
  <c r="J8" i="35"/>
  <c r="D33" i="35" s="1"/>
  <c r="F8" i="50"/>
  <c r="H8" i="50" s="1"/>
  <c r="J8" i="50" s="1"/>
  <c r="D33" i="50" s="1"/>
  <c r="N21" i="50"/>
  <c r="E24" i="35"/>
  <c r="M24" i="35" s="1"/>
  <c r="K23" i="35"/>
  <c r="H24" i="34"/>
  <c r="K23" i="34"/>
  <c r="D37" i="41"/>
  <c r="C25" i="35"/>
  <c r="P12" i="35"/>
  <c r="K19" i="34"/>
  <c r="M22" i="34"/>
  <c r="K22" i="34"/>
  <c r="K21" i="34"/>
  <c r="K19" i="35"/>
  <c r="M22" i="35"/>
  <c r="K22" i="35"/>
  <c r="H6" i="35"/>
  <c r="F6" i="50" s="1"/>
  <c r="K21" i="35"/>
  <c r="F23" i="34" l="1"/>
  <c r="F19" i="35"/>
  <c r="F23" i="35"/>
  <c r="F21" i="35"/>
  <c r="G21" i="35" s="1"/>
  <c r="N21" i="35" s="1"/>
  <c r="P21" i="50"/>
  <c r="H6" i="50"/>
  <c r="F24" i="35"/>
  <c r="G11" i="35"/>
  <c r="H11" i="35" s="1"/>
  <c r="F11" i="50" s="1"/>
  <c r="H11" i="50" s="1"/>
  <c r="J11" i="50" s="1"/>
  <c r="D36" i="50" s="1"/>
  <c r="F36" i="50" s="1"/>
  <c r="H36" i="50" s="1"/>
  <c r="F31" i="41"/>
  <c r="H31" i="41" s="1"/>
  <c r="G22" i="35"/>
  <c r="N22" i="35" s="1"/>
  <c r="F22" i="34"/>
  <c r="G23" i="34"/>
  <c r="N23" i="34" s="1"/>
  <c r="G23" i="35"/>
  <c r="N23" i="35" s="1"/>
  <c r="J6" i="35"/>
  <c r="G12" i="35" l="1"/>
  <c r="R21" i="50"/>
  <c r="J6" i="50"/>
  <c r="H12" i="50"/>
  <c r="F10" i="5" s="1"/>
  <c r="F12" i="50"/>
  <c r="G24" i="35"/>
  <c r="N24" i="35" s="1"/>
  <c r="P24" i="35" s="1"/>
  <c r="H24" i="35"/>
  <c r="J11" i="35"/>
  <c r="D36" i="35" s="1"/>
  <c r="F36" i="35" s="1"/>
  <c r="H36" i="35" s="1"/>
  <c r="H12" i="35"/>
  <c r="H23" i="34"/>
  <c r="O23" i="34" s="1"/>
  <c r="P23" i="34" s="1"/>
  <c r="R23" i="34" s="1"/>
  <c r="E35" i="34" s="1"/>
  <c r="F35" i="34" s="1"/>
  <c r="H35" i="34" s="1"/>
  <c r="G22" i="34"/>
  <c r="N22" i="34" s="1"/>
  <c r="D31" i="35"/>
  <c r="H23" i="35"/>
  <c r="O23" i="35" s="1"/>
  <c r="P23" i="35" s="1"/>
  <c r="R23" i="35" s="1"/>
  <c r="E35" i="35" s="1"/>
  <c r="F35" i="35" s="1"/>
  <c r="H35" i="35" s="1"/>
  <c r="H21" i="35"/>
  <c r="O21" i="35" s="1"/>
  <c r="P21" i="35" s="1"/>
  <c r="R21" i="35" s="1"/>
  <c r="E33" i="35" s="1"/>
  <c r="F33" i="35" s="1"/>
  <c r="H33" i="35" s="1"/>
  <c r="H22" i="35"/>
  <c r="O22" i="35" s="1"/>
  <c r="P22" i="35" s="1"/>
  <c r="R22" i="35" s="1"/>
  <c r="E34" i="35" s="1"/>
  <c r="F34" i="35" s="1"/>
  <c r="H34" i="35" s="1"/>
  <c r="G19" i="35"/>
  <c r="H19" i="35" s="1"/>
  <c r="E33" i="50" l="1"/>
  <c r="J12" i="50"/>
  <c r="D31" i="50"/>
  <c r="D37" i="35"/>
  <c r="J12" i="35"/>
  <c r="H22" i="34"/>
  <c r="O22" i="34" s="1"/>
  <c r="N19" i="35"/>
  <c r="O19" i="35"/>
  <c r="F33" i="50" l="1"/>
  <c r="H33" i="50" s="1"/>
  <c r="D37" i="50"/>
  <c r="F31" i="50"/>
  <c r="P22" i="34"/>
  <c r="R22" i="34" s="1"/>
  <c r="E34" i="34" s="1"/>
  <c r="F34" i="34" s="1"/>
  <c r="H34" i="34" s="1"/>
  <c r="P19" i="35"/>
  <c r="H31" i="50" l="1"/>
  <c r="R19" i="35"/>
  <c r="E31" i="35" l="1"/>
  <c r="F31" i="35" l="1"/>
  <c r="H31" i="35" l="1"/>
  <c r="W4" i="4"/>
  <c r="W3" i="4"/>
  <c r="W2" i="4"/>
  <c r="E10" i="24" l="1"/>
  <c r="E9" i="24"/>
  <c r="E12" i="24"/>
  <c r="E11" i="24"/>
  <c r="E20" i="41" l="1"/>
  <c r="M20" i="41" l="1"/>
  <c r="E20" i="50"/>
  <c r="E20" i="35"/>
  <c r="M25" i="41"/>
  <c r="F20" i="41"/>
  <c r="E25" i="41"/>
  <c r="M20" i="35" l="1"/>
  <c r="M25" i="35" s="1"/>
  <c r="F20" i="35"/>
  <c r="E25" i="35"/>
  <c r="M20" i="50"/>
  <c r="M25" i="50" s="1"/>
  <c r="F20" i="50"/>
  <c r="E25" i="50"/>
  <c r="G20" i="41"/>
  <c r="H20" i="41" s="1"/>
  <c r="F25" i="41"/>
  <c r="G20" i="50" l="1"/>
  <c r="H20" i="50"/>
  <c r="F25" i="50"/>
  <c r="G20" i="35"/>
  <c r="H20" i="35"/>
  <c r="F25" i="35"/>
  <c r="O20" i="41"/>
  <c r="O25" i="41" s="1"/>
  <c r="H25" i="41"/>
  <c r="G25" i="41"/>
  <c r="N20" i="41"/>
  <c r="O20" i="35" l="1"/>
  <c r="O25" i="35" s="1"/>
  <c r="H25" i="35"/>
  <c r="N20" i="35"/>
  <c r="N25" i="35" s="1"/>
  <c r="G25" i="35"/>
  <c r="O20" i="50"/>
  <c r="O25" i="50" s="1"/>
  <c r="H25" i="50"/>
  <c r="N20" i="50"/>
  <c r="N25" i="50" s="1"/>
  <c r="G25" i="50"/>
  <c r="N25" i="41"/>
  <c r="P20" i="41"/>
  <c r="L20" i="35" l="1"/>
  <c r="L25" i="35" s="1"/>
  <c r="L20" i="50"/>
  <c r="R20" i="41"/>
  <c r="P25" i="41"/>
  <c r="P20" i="35" l="1"/>
  <c r="P25" i="35" s="1"/>
  <c r="P20" i="50"/>
  <c r="L25" i="50"/>
  <c r="E32" i="41"/>
  <c r="F32" i="41" s="1"/>
  <c r="R25" i="41"/>
  <c r="R20" i="35" l="1"/>
  <c r="E32" i="35" s="1"/>
  <c r="E37" i="35" s="1"/>
  <c r="R20" i="50"/>
  <c r="P25" i="50"/>
  <c r="E37" i="41"/>
  <c r="R25" i="35" l="1"/>
  <c r="E32" i="50"/>
  <c r="R25" i="50"/>
  <c r="F32" i="35"/>
  <c r="H32" i="41"/>
  <c r="H37" i="41" s="1"/>
  <c r="F37" i="41"/>
  <c r="F32" i="50" l="1"/>
  <c r="E37" i="50"/>
  <c r="H32" i="35"/>
  <c r="H37" i="35" s="1"/>
  <c r="F37" i="35"/>
  <c r="H32" i="50" l="1"/>
  <c r="H37" i="50" s="1"/>
  <c r="F11" i="5" s="1"/>
  <c r="F12" i="5" s="1"/>
  <c r="F17" i="5" s="1"/>
  <c r="F37" i="50"/>
  <c r="C21" i="34"/>
  <c r="C20" i="34"/>
  <c r="H8" i="34" l="1"/>
  <c r="G7" i="34"/>
  <c r="H7" i="34" s="1"/>
  <c r="E20" i="34"/>
  <c r="M20" i="34" s="1"/>
  <c r="E21" i="34"/>
  <c r="M21" i="34" s="1"/>
  <c r="C24" i="34"/>
  <c r="E24" i="34" s="1"/>
  <c r="M24" i="34" s="1"/>
  <c r="P24" i="34" s="1"/>
  <c r="C19" i="34"/>
  <c r="P11" i="34"/>
  <c r="J8" i="34" l="1"/>
  <c r="D33" i="34" s="1"/>
  <c r="F8" i="51"/>
  <c r="H8" i="51" s="1"/>
  <c r="J8" i="51" s="1"/>
  <c r="D33" i="51" s="1"/>
  <c r="F33" i="51" s="1"/>
  <c r="H33" i="51" s="1"/>
  <c r="J7" i="34"/>
  <c r="D32" i="34" s="1"/>
  <c r="F7" i="51"/>
  <c r="H7" i="51" s="1"/>
  <c r="J7" i="51" s="1"/>
  <c r="D32" i="51" s="1"/>
  <c r="F32" i="51" s="1"/>
  <c r="H32" i="51" s="1"/>
  <c r="P12" i="34"/>
  <c r="G11" i="34" s="1"/>
  <c r="H11" i="34" s="1"/>
  <c r="C25" i="34"/>
  <c r="E19" i="34"/>
  <c r="F19" i="34" s="1"/>
  <c r="F20" i="34"/>
  <c r="F21" i="34"/>
  <c r="H6" i="34"/>
  <c r="F6" i="51" s="1"/>
  <c r="G12" i="34" l="1"/>
  <c r="H6" i="51"/>
  <c r="J11" i="34"/>
  <c r="D36" i="34" s="1"/>
  <c r="F36" i="34" s="1"/>
  <c r="H36" i="34" s="1"/>
  <c r="F11" i="51"/>
  <c r="H11" i="51" s="1"/>
  <c r="J11" i="51" s="1"/>
  <c r="D36" i="51" s="1"/>
  <c r="F36" i="51" s="1"/>
  <c r="H36" i="51" s="1"/>
  <c r="H12" i="34"/>
  <c r="J6" i="34"/>
  <c r="G21" i="34"/>
  <c r="N21" i="34" s="1"/>
  <c r="G20" i="34"/>
  <c r="N20" i="34" s="1"/>
  <c r="E25" i="34"/>
  <c r="M19" i="34"/>
  <c r="H12" i="51" l="1"/>
  <c r="G10" i="5" s="1"/>
  <c r="C33" i="26" s="1"/>
  <c r="J6" i="51"/>
  <c r="F12" i="51"/>
  <c r="H20" i="34"/>
  <c r="O20" i="34" s="1"/>
  <c r="P20" i="34" s="1"/>
  <c r="R20" i="34" s="1"/>
  <c r="E32" i="34" s="1"/>
  <c r="F32" i="34" s="1"/>
  <c r="H32" i="34" s="1"/>
  <c r="H21" i="34"/>
  <c r="O21" i="34" s="1"/>
  <c r="P21" i="34" s="1"/>
  <c r="R21" i="34" s="1"/>
  <c r="E33" i="34" s="1"/>
  <c r="F33" i="34" s="1"/>
  <c r="H33" i="34" s="1"/>
  <c r="D31" i="34"/>
  <c r="D37" i="34" s="1"/>
  <c r="J12" i="34"/>
  <c r="F25" i="34"/>
  <c r="G19" i="34"/>
  <c r="H19" i="34" s="1"/>
  <c r="M25" i="34"/>
  <c r="C35" i="26" l="1"/>
  <c r="C38" i="26" s="1"/>
  <c r="I18" i="5" s="1"/>
  <c r="J12" i="51"/>
  <c r="D31" i="51"/>
  <c r="O19" i="34"/>
  <c r="O25" i="34" s="1"/>
  <c r="H25" i="34"/>
  <c r="N19" i="34"/>
  <c r="G25" i="34"/>
  <c r="D37" i="51" l="1"/>
  <c r="F31" i="51"/>
  <c r="N25" i="34"/>
  <c r="P19" i="34"/>
  <c r="H31" i="51" l="1"/>
  <c r="H37" i="51" s="1"/>
  <c r="G11" i="5" s="1"/>
  <c r="F37" i="51"/>
  <c r="P25" i="34"/>
  <c r="R19" i="34"/>
  <c r="R25" i="34" l="1"/>
  <c r="E31" i="34"/>
  <c r="E37" i="34" l="1"/>
  <c r="F31" i="34"/>
  <c r="H31" i="34" l="1"/>
  <c r="H37" i="34" s="1"/>
  <c r="G12" i="5" s="1"/>
  <c r="G17" i="5" s="1"/>
  <c r="I17" i="5" s="1"/>
  <c r="F37" i="34"/>
  <c r="I19" i="5" l="1"/>
  <c r="E28" i="5" s="1"/>
  <c r="G28" i="5" s="1"/>
  <c r="E27" i="24" s="1"/>
  <c r="E5" i="24" l="1"/>
  <c r="F6" i="24" s="1"/>
  <c r="E26" i="5"/>
  <c r="G26" i="5" s="1"/>
  <c r="E25" i="24" s="1"/>
  <c r="E27" i="5"/>
  <c r="G27" i="5" s="1"/>
  <c r="E26" i="24" s="1"/>
  <c r="E29" i="5"/>
  <c r="G29" i="5" l="1"/>
  <c r="E28" i="24" s="1"/>
  <c r="G10" i="24"/>
  <c r="G26" i="24" s="1"/>
  <c r="F12" i="24"/>
  <c r="F28" i="24" s="1"/>
  <c r="E30" i="5"/>
  <c r="F10" i="24" l="1"/>
  <c r="F26" i="24" s="1"/>
  <c r="F9" i="24"/>
  <c r="F25" i="24" s="1"/>
  <c r="F11" i="24"/>
  <c r="F27" i="24" s="1"/>
  <c r="G12" i="24"/>
  <c r="G28" i="24" s="1"/>
  <c r="G9" i="24"/>
  <c r="G25" i="24" s="1"/>
  <c r="G11" i="24"/>
  <c r="G27" i="24" s="1"/>
  <c r="H12" i="24" l="1"/>
  <c r="H28" i="24" s="1"/>
  <c r="H11" i="24"/>
  <c r="H27" i="24" s="1"/>
  <c r="H10" i="24"/>
  <c r="H26" i="24" s="1"/>
  <c r="H9" i="24"/>
  <c r="H25" i="24" s="1"/>
  <c r="I11" i="24"/>
  <c r="I27" i="24" s="1"/>
  <c r="I9" i="24" l="1"/>
  <c r="I25" i="24" s="1"/>
  <c r="I12" i="24"/>
  <c r="I28" i="24" s="1"/>
  <c r="I10" i="24"/>
  <c r="I26" i="24" s="1"/>
  <c r="J12" i="24" l="1"/>
  <c r="J28" i="24" s="1"/>
  <c r="J10" i="24"/>
  <c r="J26" i="24" s="1"/>
  <c r="J9" i="24"/>
  <c r="J25" i="24" s="1"/>
  <c r="J11" i="24"/>
  <c r="J27" i="24" s="1"/>
  <c r="K11" i="24" l="1"/>
  <c r="K27" i="24" s="1"/>
  <c r="K12" i="24"/>
  <c r="K28" i="24" s="1"/>
  <c r="K9" i="24"/>
  <c r="K25" i="24" s="1"/>
  <c r="K10" i="24"/>
  <c r="K26" i="24" s="1"/>
  <c r="L12" i="24" l="1"/>
  <c r="L28" i="24" s="1"/>
  <c r="L9" i="24"/>
  <c r="L25" i="24" s="1"/>
  <c r="L11" i="24"/>
  <c r="L27" i="24" s="1"/>
  <c r="L10" i="24"/>
  <c r="L2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Panpilas Fischer</author>
  </authors>
  <commentList>
    <comment ref="B24" authorId="0" shapeId="0" xr:uid="{EB8A184F-90C4-4C06-81B8-36366E85529B}">
      <text>
        <r>
          <rPr>
            <b/>
            <sz val="9"/>
            <color indexed="81"/>
            <rFont val="Tahoma"/>
            <family val="2"/>
          </rPr>
          <t>Panpilas Fischer:</t>
        </r>
        <r>
          <rPr>
            <sz val="9"/>
            <color indexed="81"/>
            <rFont val="Tahoma"/>
            <family val="2"/>
          </rPr>
          <t xml:space="preserve">
Assuming this is COR incurred/spend.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all3394</author>
  </authors>
  <commentList>
    <comment ref="D6" authorId="0" shapeId="0" xr:uid="{AAA167E1-32DE-40D7-9A06-882CD68A5117}">
      <text>
        <r>
          <rPr>
            <sz val="9"/>
            <color indexed="81"/>
            <rFont val="Tahoma"/>
            <family val="2"/>
          </rPr>
          <t>Average of old and new reates</t>
        </r>
      </text>
    </comment>
    <comment ref="D7" authorId="0" shapeId="0" xr:uid="{C8A2A11C-EDB7-4545-9221-2FF7300C0B63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  <comment ref="D8" authorId="0" shapeId="0" xr:uid="{CEFAE338-4D47-44A3-B0E2-7E0068DA3F6C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7" authorId="0" shapeId="0" xr:uid="{911AA0C2-CCA4-4A97-B6FC-2AD9D48769CD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8" authorId="0" shapeId="0" xr:uid="{6D17D525-384D-4235-9F84-DAEB293F414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9" authorId="0" shapeId="0" xr:uid="{00000000-0006-0000-0100-000004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10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all3394</author>
  </authors>
  <commentList>
    <comment ref="D6" authorId="0" shapeId="0" xr:uid="{A6D1B5D8-8139-4319-BE19-2F69D4A09BD8}">
      <text>
        <r>
          <rPr>
            <sz val="9"/>
            <color indexed="81"/>
            <rFont val="Tahoma"/>
            <family val="2"/>
          </rPr>
          <t>Average of old and new reates</t>
        </r>
      </text>
    </comment>
    <comment ref="D7" authorId="0" shapeId="0" xr:uid="{1DD98653-C40E-44F0-B82C-5716AEBE2B9C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  <comment ref="D8" authorId="0" shapeId="0" xr:uid="{AF2665F6-0174-4C90-86D9-DC44705C8508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all3394</author>
    <author xml:space="preserve"> </author>
  </authors>
  <commentList>
    <comment ref="D6" authorId="0" shapeId="0" xr:uid="{1BA843FA-7553-4809-8BD6-CD6E8177C0E6}">
      <text>
        <r>
          <rPr>
            <sz val="9"/>
            <color indexed="81"/>
            <rFont val="Tahoma"/>
            <family val="2"/>
          </rPr>
          <t>Average of old and new reates</t>
        </r>
      </text>
    </comment>
    <comment ref="G6" authorId="1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D7" authorId="0" shapeId="0" xr:uid="{9FDAB111-02D4-4174-B002-28460484B854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  <comment ref="G7" authorId="1" shapeId="0" xr:uid="{00000000-0006-0000-0300-000002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D8" authorId="0" shapeId="0" xr:uid="{B152EA08-3155-41BC-AF08-214F5892B3A2}">
      <text>
        <r>
          <rPr>
            <sz val="9"/>
            <color indexed="81"/>
            <rFont val="Tahoma"/>
            <family val="2"/>
          </rPr>
          <t xml:space="preserve">Average of old and new rates
</t>
        </r>
      </text>
    </comment>
    <comment ref="G8" authorId="1" shapeId="0" xr:uid="{00000000-0006-0000-0300-000003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9" authorId="1" shapeId="0" xr:uid="{00000000-0006-0000-0300-000004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10" authorId="1" shapeId="0" xr:uid="{00000000-0006-0000-0300-000005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6" authorId="0" shapeId="0" xr:uid="{2E4AB5A5-8277-42C6-8A84-2BAEB73D786C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7" authorId="0" shapeId="0" xr:uid="{5B2BE17B-9753-4D23-ADD3-4BBE90203C4A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8" authorId="0" shapeId="0" xr:uid="{6C650F1B-2C94-49A5-B848-645736B13D7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9" authorId="0" shapeId="0" xr:uid="{B2E6630C-02B1-484A-B202-833B97F43C96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10" authorId="0" shapeId="0" xr:uid="{2BE19AED-9399-4FCA-B4C7-DC99C806A70D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6" authorId="0" shapeId="0" xr:uid="{31D7356C-A178-4A3A-83E4-8295B781867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7" authorId="0" shapeId="0" xr:uid="{4861C69F-9BB6-4067-AEE7-4F1C5F062E1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8" authorId="0" shapeId="0" xr:uid="{C7D17106-115D-4C49-9FBE-ABDF1EA0047F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9" authorId="0" shapeId="0" xr:uid="{5707E39B-C69E-4F34-A243-F39B6DC5BE4F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10" authorId="0" shapeId="0" xr:uid="{DEF90E77-F9D2-44D6-95DC-BF286A6E3FC9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all3394</author>
  </authors>
  <commentList>
    <comment ref="E8" authorId="0" shapeId="0" xr:uid="{6AE9FDF6-BE4C-4C51-AA21-C8369BBA36C4}">
      <text>
        <r>
          <rPr>
            <sz val="9"/>
            <color indexed="81"/>
            <rFont val="Tahoma"/>
            <family val="2"/>
          </rPr>
          <t xml:space="preserve">Alli will handle COR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Brown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G5" authorId="0" shapeId="0" xr:uid="{5CC005E9-E3EB-47C9-B1D5-273B43B3E9E0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H5" authorId="0" shapeId="0" xr:uid="{56C2C29C-09C0-4714-BEA0-6E9E1FE88A0E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I5" authorId="0" shapeId="0" xr:uid="{A2E1AC2C-DF45-469C-8CCD-8506489E29B9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J5" authorId="0" shapeId="0" xr:uid="{B8F554A3-61A0-41B9-B076-0327E55ECBC5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K5" authorId="0" shapeId="0" xr:uid="{370956A4-3B1B-4B6D-859D-F3BEBF96B20D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  <comment ref="L5" authorId="0" shapeId="0" xr:uid="{3F309AB1-81CE-47CB-8D29-0154B0578891}">
      <text>
        <r>
          <rPr>
            <b/>
            <sz val="9"/>
            <color indexed="81"/>
            <rFont val="Tahoma"/>
            <family val="2"/>
          </rPr>
          <t>John Brown:</t>
        </r>
        <r>
          <rPr>
            <sz val="9"/>
            <color indexed="81"/>
            <rFont val="Tahoma"/>
            <family val="2"/>
          </rPr>
          <t xml:space="preserve">
Estimate average annual increase of $350,000
</t>
        </r>
      </text>
    </comment>
  </commentList>
</comments>
</file>

<file path=xl/sharedStrings.xml><?xml version="1.0" encoding="utf-8"?>
<sst xmlns="http://schemas.openxmlformats.org/spreadsheetml/2006/main" count="1376" uniqueCount="307">
  <si>
    <t>Transmission Mains</t>
  </si>
  <si>
    <t>Services</t>
  </si>
  <si>
    <t>Depreciation</t>
  </si>
  <si>
    <t>Income Taxes</t>
  </si>
  <si>
    <t>Residential</t>
  </si>
  <si>
    <t>Small Non-Residential</t>
  </si>
  <si>
    <t>Large Non-Residential</t>
  </si>
  <si>
    <t>Interruptible</t>
  </si>
  <si>
    <t>Class</t>
  </si>
  <si>
    <t>Allocation</t>
  </si>
  <si>
    <t>Allocated</t>
  </si>
  <si>
    <t>Rate</t>
  </si>
  <si>
    <t>Tax</t>
  </si>
  <si>
    <t>Depr</t>
  </si>
  <si>
    <t>Expense</t>
  </si>
  <si>
    <t>Storage Lines</t>
  </si>
  <si>
    <t>Gathering Lines</t>
  </si>
  <si>
    <t>Tax Life</t>
  </si>
  <si>
    <t>Investment</t>
  </si>
  <si>
    <t>Beginning</t>
  </si>
  <si>
    <t>Ending</t>
  </si>
  <si>
    <t>MACRS</t>
  </si>
  <si>
    <t>Year</t>
  </si>
  <si>
    <t xml:space="preserve">Calendar Year </t>
  </si>
  <si>
    <t>YEAR</t>
  </si>
  <si>
    <t>Bonus</t>
  </si>
  <si>
    <t>Qualifying Tax</t>
  </si>
  <si>
    <t>Percentage</t>
  </si>
  <si>
    <t>Additions</t>
  </si>
  <si>
    <t>Depreciable</t>
  </si>
  <si>
    <t>Base</t>
  </si>
  <si>
    <t>Book</t>
  </si>
  <si>
    <t xml:space="preserve"> Book Depreciation Reserve</t>
  </si>
  <si>
    <t>Tax Depreciation Reserve</t>
  </si>
  <si>
    <t>Book Depr</t>
  </si>
  <si>
    <t>Net Book Value</t>
  </si>
  <si>
    <t>Deferred</t>
  </si>
  <si>
    <t>Timing</t>
  </si>
  <si>
    <t>Difference</t>
  </si>
  <si>
    <t>Net Book</t>
  </si>
  <si>
    <t>Value</t>
  </si>
  <si>
    <t>Less:</t>
  </si>
  <si>
    <t>Accumulated depreciation</t>
  </si>
  <si>
    <t>Accumulated deferred income taxes</t>
  </si>
  <si>
    <t>PRP Worksheet</t>
  </si>
  <si>
    <t>Distribution Mains</t>
  </si>
  <si>
    <t xml:space="preserve">Cumulative </t>
  </si>
  <si>
    <t>Delta Natural Gas Company, Inc.</t>
  </si>
  <si>
    <t>Pipe Replacement Program Filing</t>
  </si>
  <si>
    <t>Calculated Net Revenue</t>
  </si>
  <si>
    <t>Return, grossed up for income taxes</t>
  </si>
  <si>
    <t>@ Approved Rates</t>
  </si>
  <si>
    <t>Statutory</t>
  </si>
  <si>
    <t>various</t>
  </si>
  <si>
    <t>Cost of Removal</t>
  </si>
  <si>
    <t>NA</t>
  </si>
  <si>
    <t>PRP</t>
  </si>
  <si>
    <t xml:space="preserve"> </t>
  </si>
  <si>
    <t>Total</t>
  </si>
  <si>
    <t>COR</t>
  </si>
  <si>
    <t>A</t>
  </si>
  <si>
    <t>Cost of Service Impact from PRP</t>
  </si>
  <si>
    <t>Increased property tax expense</t>
  </si>
  <si>
    <t>Average ad valorem tax rate</t>
  </si>
  <si>
    <t>Cost of Service Items (Schedule III)</t>
  </si>
  <si>
    <t>Adjustment</t>
  </si>
  <si>
    <t>DELTA NATURAL GAS</t>
  </si>
  <si>
    <t>AND TYPE</t>
  </si>
  <si>
    <t>FOOTAGE</t>
  </si>
  <si>
    <t xml:space="preserve">( A )    Represents cost of removal incurred.  No pipe installed. </t>
  </si>
  <si>
    <t>{1}</t>
  </si>
  <si>
    <t>{2}</t>
  </si>
  <si>
    <t>Service line removals</t>
  </si>
  <si>
    <t>{4}</t>
  </si>
  <si>
    <t>Service line replacements</t>
  </si>
  <si>
    <t>Schedule VII</t>
  </si>
  <si>
    <t>Increased depreciation expense (Schedule II)</t>
  </si>
  <si>
    <t>Main &amp; service relocations</t>
  </si>
  <si>
    <t>Low</t>
  </si>
  <si>
    <t>Estimate Range</t>
  </si>
  <si>
    <t>Main replacements &amp; retirements (unprotected &amp; Aldyl A)</t>
  </si>
  <si>
    <t>High</t>
  </si>
  <si>
    <t>DISTRICT</t>
  </si>
  <si>
    <t>Owingsville</t>
  </si>
  <si>
    <t>Berea</t>
  </si>
  <si>
    <t>Stanton</t>
  </si>
  <si>
    <t>London</t>
  </si>
  <si>
    <t>Williamsburg</t>
  </si>
  <si>
    <t>Barbourville</t>
  </si>
  <si>
    <t>Middlesboro</t>
  </si>
  <si>
    <t>Corbin</t>
  </si>
  <si>
    <t>Manchester</t>
  </si>
  <si>
    <t>PIPE SIZE</t>
  </si>
  <si>
    <t xml:space="preserve">TO BE </t>
  </si>
  <si>
    <t>REPLACED</t>
  </si>
  <si>
    <t>ESTIMATED</t>
  </si>
  <si>
    <t>1" Bare Steel</t>
  </si>
  <si>
    <t>2" Bare Steel</t>
  </si>
  <si>
    <t>4" Bare Steel</t>
  </si>
  <si>
    <t>3/4" Bare Steel</t>
  </si>
  <si>
    <t>6" Bare Steel</t>
  </si>
  <si>
    <t xml:space="preserve">PLANT </t>
  </si>
  <si>
    <t>DISTRICT BRANCH</t>
  </si>
  <si>
    <t>CLASSIFICATION</t>
  </si>
  <si>
    <t>SIZE AND PIPE INSTALLED</t>
  </si>
  <si>
    <t>TOTAL COST</t>
  </si>
  <si>
    <t>(A)</t>
  </si>
  <si>
    <t>Estimated Future PRP Surcharges</t>
  </si>
  <si>
    <t>District Location</t>
  </si>
  <si>
    <t>Unknown Year</t>
  </si>
  <si>
    <t>2" Aldyl-A</t>
  </si>
  <si>
    <t>Owingsville Total</t>
  </si>
  <si>
    <t>Berea Total</t>
  </si>
  <si>
    <t>Nicholasville</t>
  </si>
  <si>
    <t>Nicholasville Total</t>
  </si>
  <si>
    <t>Stanton Total</t>
  </si>
  <si>
    <t>London Total</t>
  </si>
  <si>
    <t>Williamsburg Total</t>
  </si>
  <si>
    <t>Barbourville Total</t>
  </si>
  <si>
    <t>Middlesboro Total</t>
  </si>
  <si>
    <t>Corbin Total</t>
  </si>
  <si>
    <t>Manchester Total</t>
  </si>
  <si>
    <t>Delta Total System</t>
  </si>
  <si>
    <t>Total PRP Eligble Footage</t>
  </si>
  <si>
    <t>Net Book Value, PSC Report Page 110</t>
  </si>
  <si>
    <t>PRP Net Book Value</t>
  </si>
  <si>
    <t>PRP Property Tax</t>
  </si>
  <si>
    <t>Total increased cost of service</t>
  </si>
  <si>
    <t>Property tax expense for current year is based on plant balances at the end of the prior year</t>
  </si>
  <si>
    <t>Schedule III</t>
  </si>
  <si>
    <t>ESTIMATE RANGE</t>
  </si>
  <si>
    <t>PRP Adjustment</t>
  </si>
  <si>
    <t>Class Allocation</t>
  </si>
  <si>
    <t>Currently</t>
  </si>
  <si>
    <t>Effective</t>
  </si>
  <si>
    <t>Proposed</t>
  </si>
  <si>
    <t>Schedule IX</t>
  </si>
  <si>
    <t>Estimated Remaining PRP Costs Per Year</t>
  </si>
  <si>
    <t xml:space="preserve">3" Bare Steel </t>
  </si>
  <si>
    <t>DOT Transmission</t>
  </si>
  <si>
    <t>Dot Transmission Total</t>
  </si>
  <si>
    <t>Gathering</t>
  </si>
  <si>
    <t>Gathering Total</t>
  </si>
  <si>
    <t>Systems total</t>
  </si>
  <si>
    <t>Systems Total</t>
  </si>
  <si>
    <t>{3}</t>
  </si>
  <si>
    <t xml:space="preserve">( C )    Delta does not track the footage of each individual service line. </t>
  </si>
  <si>
    <t>( B )    Charges relating to footage reported in prior year.</t>
  </si>
  <si>
    <t>Volumes</t>
  </si>
  <si>
    <t>Per MCF</t>
  </si>
  <si>
    <t>PRP Rate</t>
  </si>
  <si>
    <t>Transmission</t>
  </si>
  <si>
    <t>Check Total</t>
  </si>
  <si>
    <t>Increase amount</t>
  </si>
  <si>
    <t>PRP Rate per Mcf</t>
  </si>
  <si>
    <t>miles</t>
  </si>
  <si>
    <t>Dist</t>
  </si>
  <si>
    <t>( D )    These projects are not yet complete.  Footages will be reported in the year projects are closed to plant.</t>
  </si>
  <si>
    <t xml:space="preserve">To calculate the estimate range, Delta utilized the average and highest cost per foot experienced under the PRP, net of relocations, of $57.78 and 95.38. </t>
  </si>
  <si>
    <t>Vintage 2024</t>
  </si>
  <si>
    <t>Operating expense reductions</t>
  </si>
  <si>
    <t>Maintenance of Transmission and Distribution Mains, per Case</t>
  </si>
  <si>
    <t>Decrease in Operating Expense</t>
  </si>
  <si>
    <t>4" Plastic</t>
  </si>
  <si>
    <t>2" Plastic</t>
  </si>
  <si>
    <t>4" Steel</t>
  </si>
  <si>
    <t>(C) (D)</t>
  </si>
  <si>
    <t>6" Steel</t>
  </si>
  <si>
    <t>Distribution Main</t>
  </si>
  <si>
    <t>4</t>
  </si>
  <si>
    <t>1/2" Vintage Plastic</t>
  </si>
  <si>
    <t>3/4" Vintage Plastic</t>
  </si>
  <si>
    <t>1" Unprotected Coated Steel</t>
  </si>
  <si>
    <t>1" Vintage Plastic</t>
  </si>
  <si>
    <t>1 1/4" Vintage Plastic</t>
  </si>
  <si>
    <t>1 1/2" Vintage Plastic</t>
  </si>
  <si>
    <t>2" Unprotected Coated Steel</t>
  </si>
  <si>
    <t>2" Vintage Plastic</t>
  </si>
  <si>
    <t>3" Vintage Plastic</t>
  </si>
  <si>
    <t>4" Unprotected Coated Steel</t>
  </si>
  <si>
    <t>4" Vintage Plastic</t>
  </si>
  <si>
    <t>3" Unprotected Coated Steel</t>
  </si>
  <si>
    <t>8" Unprotected Coated Steel</t>
  </si>
  <si>
    <t>6" Coated Steel (Exposed or Shallow Depth)</t>
  </si>
  <si>
    <t>6" Coated Steel (Exposed)</t>
  </si>
  <si>
    <t>1 1/4" Unprotected Coated Steel</t>
  </si>
  <si>
    <t>6" Unprotected Coated Steel</t>
  </si>
  <si>
    <t>1 1/4" Bare Steel</t>
  </si>
  <si>
    <t xml:space="preserve">2" Bare Steel </t>
  </si>
  <si>
    <t>Bare Steel</t>
  </si>
  <si>
    <t>Unprotected Coated Steel</t>
  </si>
  <si>
    <t>Coated Steel (Exposed or Shallow Depth)</t>
  </si>
  <si>
    <t>Aldyl-A / Vintage Plastic</t>
  </si>
  <si>
    <t>Vintage 2025</t>
  </si>
  <si>
    <t>0</t>
  </si>
  <si>
    <t>4" Plastic Pipe</t>
  </si>
  <si>
    <t>2" Plastic Pipe</t>
  </si>
  <si>
    <t>2</t>
  </si>
  <si>
    <t>10132842 - Corbin</t>
  </si>
  <si>
    <t>Cost of Removal and Replacement Projects for 01/01/2025 - 12/31/2025</t>
  </si>
  <si>
    <t>10135599 - Stanton</t>
  </si>
  <si>
    <t>10131214 - Nicholasville</t>
  </si>
  <si>
    <t>8" Steel Pipe</t>
  </si>
  <si>
    <t>2" Steel Pipe</t>
  </si>
  <si>
    <t>10126880 - Nicholasville</t>
  </si>
  <si>
    <t>10126882 - Nicholasville</t>
  </si>
  <si>
    <t>10126883 - Nicholasville</t>
  </si>
  <si>
    <t>10135598 - Stanton</t>
  </si>
  <si>
    <t>10136776 - Stanton</t>
  </si>
  <si>
    <t>10132841 - Berea</t>
  </si>
  <si>
    <t>Total 2026 PRP Estimate</t>
  </si>
  <si>
    <t>Schedule II 2023</t>
  </si>
  <si>
    <t>Weighted Cost of Capital</t>
  </si>
  <si>
    <t>Gross Revenue Conversion Factor</t>
  </si>
  <si>
    <t>Pretax Weighted Average Cost of Capital</t>
  </si>
  <si>
    <t>Equity</t>
  </si>
  <si>
    <t>Long-term debt</t>
  </si>
  <si>
    <t>Short-term debt</t>
  </si>
  <si>
    <t>WACC, grossed up for income taxes, PSC assessment, and bad debt</t>
  </si>
  <si>
    <t>Schedule IV</t>
  </si>
  <si>
    <t>Cost of Removal and Replacement Projects for 2023</t>
  </si>
  <si>
    <t>Months</t>
  </si>
  <si>
    <t>Classification</t>
  </si>
  <si>
    <t>2023 Total</t>
  </si>
  <si>
    <t>13 Month
Average</t>
  </si>
  <si>
    <t>Original Estimate</t>
  </si>
  <si>
    <t>Under 2" Plastic</t>
  </si>
  <si>
    <t>2" Steel</t>
  </si>
  <si>
    <t>Retirement Only</t>
  </si>
  <si>
    <t>1" Aldyl-A</t>
  </si>
  <si>
    <t>Engineering Services Only</t>
  </si>
  <si>
    <t xml:space="preserve">Aldyl-A Replacement </t>
  </si>
  <si>
    <t>Cumulative Total</t>
  </si>
  <si>
    <t>Year 1</t>
  </si>
  <si>
    <t>Year 2</t>
  </si>
  <si>
    <t>Year 3</t>
  </si>
  <si>
    <t>Schedule II 2024</t>
  </si>
  <si>
    <t>Schedule II 2025</t>
  </si>
  <si>
    <t>Eligible expenditures under the PRP (Schedule II)</t>
  </si>
  <si>
    <t>Current Year Projected PRP Revenue Requirement</t>
  </si>
  <si>
    <t>Vintage 2023</t>
  </si>
  <si>
    <t>Forecasted Period Ending December 31, 2026</t>
  </si>
  <si>
    <t>Net PRP Rate Base, as of December 31, 2026</t>
  </si>
  <si>
    <t>Vintage 2026</t>
  </si>
  <si>
    <t>Updated Rates</t>
  </si>
  <si>
    <t>Year 4</t>
  </si>
  <si>
    <t>Schedule II 2026</t>
  </si>
  <si>
    <t>Pulling Yr 4</t>
  </si>
  <si>
    <t>Pulling Yr 3</t>
  </si>
  <si>
    <t>Pulling Yr 2</t>
  </si>
  <si>
    <t>Pulling Yr 1</t>
  </si>
  <si>
    <t>December 31, 2024</t>
  </si>
  <si>
    <t>2024 Property Tax Expense - PSC Page 262</t>
  </si>
  <si>
    <t>per Case No.</t>
  </si>
  <si>
    <t>2024-00346</t>
  </si>
  <si>
    <t>Cost of Removal and Replacement Projects for 2024</t>
  </si>
  <si>
    <t>13 Months Ended
12/31/2024</t>
  </si>
  <si>
    <t>2024 
Total</t>
  </si>
  <si>
    <t>KY tax rate=5%</t>
  </si>
  <si>
    <t>Estimate of Current Year Actual Expense (Calendar 2025)</t>
  </si>
  <si>
    <t>10100886 - Owingsville</t>
  </si>
  <si>
    <t>56</t>
  </si>
  <si>
    <t>(B) (C)</t>
  </si>
  <si>
    <t>10100887 - Owingsville</t>
  </si>
  <si>
    <t>41</t>
  </si>
  <si>
    <t>28</t>
  </si>
  <si>
    <t>(C)</t>
  </si>
  <si>
    <t>10121916 - Barbourville</t>
  </si>
  <si>
    <t>6</t>
  </si>
  <si>
    <t>23</t>
  </si>
  <si>
    <t>10100687 - Corbin</t>
  </si>
  <si>
    <t>10086605 - Corbin</t>
  </si>
  <si>
    <t>10132846 - Corbin</t>
  </si>
  <si>
    <t>1" Plastic Pipe</t>
  </si>
  <si>
    <t>3/4" Plastic Pipe</t>
  </si>
  <si>
    <t>39</t>
  </si>
  <si>
    <t>10137384 - Corbin</t>
  </si>
  <si>
    <t>10138056 - Owingsville</t>
  </si>
  <si>
    <t>11</t>
  </si>
  <si>
    <t>10149237 - Owingsville</t>
  </si>
  <si>
    <t>115</t>
  </si>
  <si>
    <t>10100688 - Corbin</t>
  </si>
  <si>
    <t>10086604 - Corbin</t>
  </si>
  <si>
    <t>10145712 - Owingsville</t>
  </si>
  <si>
    <t>170</t>
  </si>
  <si>
    <t>10150261 - Williamsburg</t>
  </si>
  <si>
    <t>Engineering Services</t>
  </si>
  <si>
    <t>(D)</t>
  </si>
  <si>
    <t>10141346 - Berea</t>
  </si>
  <si>
    <t>10141347 - Berea</t>
  </si>
  <si>
    <t>10146501 - Owingsville</t>
  </si>
  <si>
    <t>10146500 - Owingsville</t>
  </si>
  <si>
    <t>10146847 - Owingsville</t>
  </si>
  <si>
    <t>10146972 - Manchester</t>
  </si>
  <si>
    <t>10147798 - Berea</t>
  </si>
  <si>
    <t>TBD</t>
  </si>
  <si>
    <t>2027 PRP Estimate</t>
  </si>
  <si>
    <t>10146847 - Stanton</t>
  </si>
  <si>
    <t>Pipe Remaining to be Replaced as of 6/30/2025</t>
  </si>
  <si>
    <t xml:space="preserve">Delta has approximately 1,769 services that have been inactive for five years or longer and based on recent history expects to remove 200-300 inactive services each year to reduce this backlog.  The average cost to remove a service has been $720.  Delta estimates an average cost of $225,000-$315,000 per year.  </t>
  </si>
  <si>
    <t xml:space="preserve">Delta has approximately 5,150 bare steel and Aldyl-A services and will need to average approximately 628 per year over the remaining life of the PRP to replace the remaining services.  The average cost to replace a service has been $1500.  Delta estimates an average cost of $375,000-$500,000 per year. 
</t>
  </si>
  <si>
    <t xml:space="preserve">Performed as needed. Mandatory relocations have averaged $900,000 per year with a range of $448,000 - $1,527,000 per year. </t>
  </si>
  <si>
    <t>The average cost per foot, net of relocations, has been $75 per year, with a range of $50 - $130 per foot. Delta used these prices in estimating the high and low estimates, escalated annually for inflation.</t>
  </si>
  <si>
    <r>
      <t xml:space="preserve">Rates Effective: </t>
    </r>
    <r>
      <rPr>
        <b/>
        <u/>
        <sz val="11"/>
        <rFont val="Calibri"/>
        <family val="2"/>
        <scheme val="minor"/>
      </rPr>
      <t>January 1, 2026</t>
    </r>
  </si>
  <si>
    <t>WACC, per case no 2021-00185</t>
  </si>
  <si>
    <t>Tax expansion factor, w PSC (per Case No. 2021-00185)</t>
  </si>
  <si>
    <t>per Case No. 2024-00346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</si>
</sst>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0000_);_(* \(#,##0.00000\);_(* &quot;-&quot;??_);_(@_)"/>
    <numFmt numFmtId="168" formatCode="0.000%"/>
    <numFmt numFmtId="169" formatCode="_(&quot;$&quot;* #,##0.00000_);_(&quot;$&quot;* \(#,##0.00000\);_(&quot;$&quot;* &quot;-&quot;??_);_(@_)"/>
    <numFmt numFmtId="170" formatCode="_(* #,##0.0_);_(* \(#,##0.0\);_(* &quot;-&quot;??_);_(@_)"/>
    <numFmt numFmtId="171" formatCode="0.0000%"/>
    <numFmt numFmtId="172" formatCode="[$-409]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1"/>
      <color rgb="FFFFFF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308">
    <xf numFmtId="0" fontId="0" fillId="0" borderId="0" xfId="0"/>
    <xf numFmtId="164" fontId="4" fillId="0" borderId="0" xfId="1" applyNumberFormat="1" applyFont="1" applyFill="1"/>
    <xf numFmtId="164" fontId="4" fillId="0" borderId="1" xfId="1" applyNumberFormat="1" applyFont="1" applyFill="1" applyBorder="1"/>
    <xf numFmtId="168" fontId="0" fillId="0" borderId="0" xfId="2" applyNumberFormat="1" applyFont="1"/>
    <xf numFmtId="164" fontId="4" fillId="0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0" fontId="0" fillId="0" borderId="0" xfId="2" applyNumberFormat="1" applyFont="1" applyFill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3" applyNumberFormat="1" applyFont="1" applyFill="1"/>
    <xf numFmtId="164" fontId="0" fillId="0" borderId="0" xfId="1" applyNumberFormat="1" applyFont="1" applyFill="1"/>
    <xf numFmtId="164" fontId="0" fillId="0" borderId="1" xfId="1" applyNumberFormat="1" applyFont="1" applyFill="1" applyBorder="1"/>
    <xf numFmtId="0" fontId="2" fillId="0" borderId="0" xfId="0" applyFont="1"/>
    <xf numFmtId="10" fontId="0" fillId="0" borderId="1" xfId="2" applyNumberFormat="1" applyFont="1" applyFill="1" applyBorder="1"/>
    <xf numFmtId="43" fontId="0" fillId="0" borderId="0" xfId="1" applyFont="1"/>
    <xf numFmtId="4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3" fontId="1" fillId="0" borderId="0" xfId="1" applyFont="1" applyFill="1"/>
    <xf numFmtId="43" fontId="1" fillId="0" borderId="0" xfId="1" applyFont="1"/>
    <xf numFmtId="164" fontId="1" fillId="0" borderId="0" xfId="1" applyNumberFormat="1" applyFont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  <xf numFmtId="164" fontId="16" fillId="2" borderId="0" xfId="1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5" fillId="2" borderId="0" xfId="1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65" fontId="1" fillId="0" borderId="0" xfId="3" applyNumberFormat="1" applyFont="1" applyFill="1" applyBorder="1"/>
    <xf numFmtId="165" fontId="1" fillId="0" borderId="0" xfId="1" applyNumberFormat="1" applyFont="1" applyFill="1" applyBorder="1"/>
    <xf numFmtId="165" fontId="1" fillId="0" borderId="3" xfId="3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5" fontId="19" fillId="0" borderId="0" xfId="3" applyNumberFormat="1" applyFont="1" applyBorder="1" applyAlignment="1">
      <alignment vertical="center"/>
    </xf>
    <xf numFmtId="43" fontId="19" fillId="0" borderId="0" xfId="0" applyNumberFormat="1" applyFont="1" applyAlignment="1">
      <alignment vertical="center"/>
    </xf>
    <xf numFmtId="164" fontId="2" fillId="0" borderId="1" xfId="1" quotePrefix="1" applyNumberFormat="1" applyFont="1" applyFill="1" applyBorder="1" applyAlignment="1">
      <alignment horizontal="center" vertical="center"/>
    </xf>
    <xf numFmtId="165" fontId="0" fillId="0" borderId="0" xfId="3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164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5" fontId="2" fillId="0" borderId="0" xfId="3" applyNumberFormat="1" applyFont="1" applyFill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12" fillId="0" borderId="0" xfId="0" applyFont="1" applyAlignment="1">
      <alignment horizontal="right" vertical="center"/>
    </xf>
    <xf numFmtId="164" fontId="0" fillId="0" borderId="1" xfId="1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vertical="center"/>
    </xf>
    <xf numFmtId="166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0" fontId="0" fillId="0" borderId="0" xfId="0" applyNumberFormat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43" fontId="0" fillId="0" borderId="1" xfId="0" applyNumberForma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4" fillId="0" borderId="0" xfId="0" applyNumberFormat="1" applyFont="1" applyAlignment="1">
      <alignment vertical="center"/>
    </xf>
    <xf numFmtId="10" fontId="0" fillId="0" borderId="1" xfId="0" applyNumberForma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0" xfId="3" applyNumberFormat="1" applyFont="1" applyFill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17" fillId="0" borderId="0" xfId="0" applyFont="1" applyAlignment="1">
      <alignment vertical="center"/>
    </xf>
    <xf numFmtId="164" fontId="0" fillId="0" borderId="0" xfId="1" applyNumberFormat="1" applyFont="1"/>
    <xf numFmtId="168" fontId="0" fillId="0" borderId="0" xfId="0" applyNumberFormat="1"/>
    <xf numFmtId="164" fontId="1" fillId="0" borderId="1" xfId="1" applyNumberFormat="1" applyFont="1" applyFill="1" applyBorder="1"/>
    <xf numFmtId="43" fontId="2" fillId="0" borderId="0" xfId="1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0" fontId="8" fillId="0" borderId="0" xfId="0" applyFont="1"/>
    <xf numFmtId="164" fontId="22" fillId="0" borderId="0" xfId="1" applyNumberFormat="1" applyFont="1" applyFill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23" fillId="0" borderId="0" xfId="3" applyNumberFormat="1" applyFont="1" applyBorder="1" applyAlignment="1">
      <alignment vertical="center"/>
    </xf>
    <xf numFmtId="165" fontId="23" fillId="0" borderId="3" xfId="3" applyNumberFormat="1" applyFont="1" applyFill="1" applyBorder="1" applyAlignment="1">
      <alignment vertical="center"/>
    </xf>
    <xf numFmtId="164" fontId="23" fillId="0" borderId="4" xfId="1" applyNumberFormat="1" applyFont="1" applyBorder="1" applyAlignment="1">
      <alignment vertical="center"/>
    </xf>
    <xf numFmtId="165" fontId="23" fillId="0" borderId="4" xfId="3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6" fontId="0" fillId="0" borderId="0" xfId="2" applyNumberFormat="1" applyFont="1" applyFill="1"/>
    <xf numFmtId="164" fontId="8" fillId="0" borderId="0" xfId="1" applyNumberFormat="1" applyFont="1" applyFill="1" applyBorder="1"/>
    <xf numFmtId="44" fontId="0" fillId="0" borderId="0" xfId="3" applyFont="1" applyFill="1"/>
    <xf numFmtId="43" fontId="0" fillId="0" borderId="0" xfId="1" applyFont="1" applyFill="1"/>
    <xf numFmtId="43" fontId="0" fillId="0" borderId="0" xfId="1" applyFont="1" applyFill="1" applyBorder="1"/>
    <xf numFmtId="44" fontId="0" fillId="0" borderId="0" xfId="0" applyNumberFormat="1"/>
    <xf numFmtId="0" fontId="18" fillId="0" borderId="0" xfId="0" applyFont="1" applyAlignment="1">
      <alignment horizontal="right" vertical="center"/>
    </xf>
    <xf numFmtId="164" fontId="15" fillId="2" borderId="0" xfId="1" applyNumberFormat="1" applyFont="1" applyFill="1" applyAlignment="1">
      <alignment vertical="center"/>
    </xf>
    <xf numFmtId="9" fontId="0" fillId="0" borderId="0" xfId="2" applyFont="1"/>
    <xf numFmtId="169" fontId="0" fillId="0" borderId="0" xfId="0" applyNumberFormat="1"/>
    <xf numFmtId="169" fontId="0" fillId="0" borderId="0" xfId="1" applyNumberFormat="1" applyFont="1" applyFill="1" applyBorder="1"/>
    <xf numFmtId="169" fontId="0" fillId="0" borderId="0" xfId="0" applyNumberFormat="1" applyAlignment="1">
      <alignment vertical="center"/>
    </xf>
    <xf numFmtId="169" fontId="0" fillId="0" borderId="0" xfId="3" applyNumberFormat="1" applyFont="1" applyFill="1"/>
    <xf numFmtId="170" fontId="0" fillId="0" borderId="0" xfId="1" applyNumberFormat="1" applyFont="1"/>
    <xf numFmtId="165" fontId="0" fillId="0" borderId="0" xfId="0" applyNumberFormat="1"/>
    <xf numFmtId="166" fontId="8" fillId="0" borderId="0" xfId="0" applyNumberFormat="1" applyFont="1" applyAlignment="1">
      <alignment vertical="center"/>
    </xf>
    <xf numFmtId="44" fontId="2" fillId="0" borderId="0" xfId="3" applyFont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164" fontId="2" fillId="0" borderId="0" xfId="1" applyNumberFormat="1" applyFont="1"/>
    <xf numFmtId="44" fontId="1" fillId="0" borderId="0" xfId="3" applyFont="1"/>
    <xf numFmtId="44" fontId="2" fillId="0" borderId="0" xfId="3" applyFont="1" applyAlignment="1">
      <alignment vertical="center"/>
    </xf>
    <xf numFmtId="44" fontId="1" fillId="0" borderId="0" xfId="3" applyFont="1" applyFill="1"/>
    <xf numFmtId="44" fontId="2" fillId="0" borderId="0" xfId="3" applyFont="1"/>
    <xf numFmtId="0" fontId="22" fillId="0" borderId="0" xfId="0" applyFont="1"/>
    <xf numFmtId="0" fontId="22" fillId="0" borderId="0" xfId="0" applyFont="1" applyAlignment="1">
      <alignment horizontal="right"/>
    </xf>
    <xf numFmtId="164" fontId="8" fillId="0" borderId="0" xfId="1" applyNumberFormat="1" applyFont="1" applyFill="1"/>
    <xf numFmtId="0" fontId="19" fillId="0" borderId="0" xfId="0" applyFont="1" applyAlignment="1">
      <alignment vertical="top" wrapText="1"/>
    </xf>
    <xf numFmtId="10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0" fontId="2" fillId="0" borderId="0" xfId="1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/>
    </xf>
    <xf numFmtId="49" fontId="26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quotePrefix="1" applyNumberFormat="1" applyAlignment="1">
      <alignment horizontal="left" vertical="center"/>
    </xf>
    <xf numFmtId="49" fontId="0" fillId="0" borderId="0" xfId="0" quotePrefix="1" applyNumberFormat="1" applyAlignment="1">
      <alignment vertical="center"/>
    </xf>
    <xf numFmtId="0" fontId="11" fillId="0" borderId="0" xfId="0" applyFont="1"/>
    <xf numFmtId="49" fontId="8" fillId="0" borderId="0" xfId="0" applyNumberFormat="1" applyFont="1" applyAlignment="1">
      <alignment vertical="center"/>
    </xf>
    <xf numFmtId="164" fontId="8" fillId="0" borderId="0" xfId="1" applyNumberFormat="1" applyFont="1" applyFill="1" applyBorder="1" applyAlignment="1">
      <alignment horizontal="right"/>
    </xf>
    <xf numFmtId="165" fontId="8" fillId="0" borderId="0" xfId="0" applyNumberFormat="1" applyFont="1"/>
    <xf numFmtId="165" fontId="8" fillId="0" borderId="0" xfId="3" applyNumberFormat="1" applyFont="1" applyFill="1" applyBorder="1"/>
    <xf numFmtId="165" fontId="8" fillId="0" borderId="0" xfId="1" applyNumberFormat="1" applyFont="1" applyFill="1" applyBorder="1"/>
    <xf numFmtId="164" fontId="8" fillId="0" borderId="3" xfId="1" applyNumberFormat="1" applyFont="1" applyFill="1" applyBorder="1"/>
    <xf numFmtId="165" fontId="8" fillId="0" borderId="3" xfId="3" applyNumberFormat="1" applyFont="1" applyFill="1" applyBorder="1"/>
    <xf numFmtId="49" fontId="8" fillId="0" borderId="0" xfId="0" quotePrefix="1" applyNumberFormat="1" applyFont="1" applyAlignment="1">
      <alignment vertical="center"/>
    </xf>
    <xf numFmtId="43" fontId="1" fillId="0" borderId="0" xfId="1" applyFont="1" applyBorder="1"/>
    <xf numFmtId="10" fontId="4" fillId="0" borderId="0" xfId="0" applyNumberFormat="1" applyFont="1"/>
    <xf numFmtId="44" fontId="1" fillId="0" borderId="0" xfId="3" applyFont="1" applyFill="1" applyBorder="1"/>
    <xf numFmtId="44" fontId="1" fillId="0" borderId="0" xfId="3" applyFont="1" applyBorder="1"/>
    <xf numFmtId="44" fontId="2" fillId="0" borderId="0" xfId="3" applyFont="1" applyBorder="1"/>
    <xf numFmtId="164" fontId="2" fillId="0" borderId="0" xfId="1" applyNumberFormat="1" applyFont="1" applyBorder="1"/>
    <xf numFmtId="15" fontId="0" fillId="0" borderId="0" xfId="0" quotePrefix="1" applyNumberFormat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0" borderId="3" xfId="0" applyNumberFormat="1" applyFont="1" applyBorder="1" applyAlignment="1">
      <alignment vertical="center"/>
    </xf>
    <xf numFmtId="43" fontId="19" fillId="0" borderId="0" xfId="1" applyFont="1" applyBorder="1" applyAlignment="1">
      <alignment vertical="center"/>
    </xf>
    <xf numFmtId="3" fontId="0" fillId="0" borderId="0" xfId="0" applyNumberFormat="1"/>
    <xf numFmtId="0" fontId="8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0" fontId="8" fillId="0" borderId="0" xfId="2" applyNumberFormat="1" applyFont="1" applyFill="1"/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/>
    <xf numFmtId="10" fontId="8" fillId="0" borderId="1" xfId="2" applyNumberFormat="1" applyFont="1" applyFill="1" applyBorder="1"/>
    <xf numFmtId="164" fontId="22" fillId="0" borderId="0" xfId="1" applyNumberFormat="1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22" fillId="0" borderId="1" xfId="1" applyNumberFormat="1" applyFont="1" applyFill="1" applyBorder="1" applyAlignment="1">
      <alignment vertical="center"/>
    </xf>
    <xf numFmtId="164" fontId="8" fillId="0" borderId="0" xfId="1" applyNumberFormat="1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right"/>
    </xf>
    <xf numFmtId="164" fontId="1" fillId="0" borderId="0" xfId="1" applyNumberFormat="1" applyFont="1" applyFill="1"/>
    <xf numFmtId="164" fontId="2" fillId="0" borderId="1" xfId="1" applyNumberFormat="1" applyFont="1" applyFill="1" applyBorder="1" applyAlignment="1">
      <alignment horizontal="center"/>
    </xf>
    <xf numFmtId="164" fontId="2" fillId="0" borderId="6" xfId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/>
    <xf numFmtId="0" fontId="2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164" fontId="8" fillId="0" borderId="0" xfId="0" applyNumberFormat="1" applyFont="1"/>
    <xf numFmtId="165" fontId="8" fillId="0" borderId="0" xfId="3" applyNumberFormat="1" applyFont="1" applyFill="1"/>
    <xf numFmtId="164" fontId="8" fillId="0" borderId="1" xfId="0" applyNumberFormat="1" applyFont="1" applyBorder="1"/>
    <xf numFmtId="0" fontId="22" fillId="0" borderId="0" xfId="0" applyFont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8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vertical="center"/>
    </xf>
    <xf numFmtId="0" fontId="0" fillId="0" borderId="1" xfId="0" applyBorder="1"/>
    <xf numFmtId="172" fontId="0" fillId="0" borderId="1" xfId="1" applyNumberFormat="1" applyFont="1" applyFill="1" applyBorder="1" applyAlignment="1">
      <alignment horizontal="center"/>
    </xf>
    <xf numFmtId="172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Fill="1" applyBorder="1" applyAlignment="1">
      <alignment horizontal="center" wrapText="1"/>
    </xf>
    <xf numFmtId="164" fontId="2" fillId="0" borderId="5" xfId="1" applyNumberFormat="1" applyFont="1" applyFill="1" applyBorder="1"/>
    <xf numFmtId="164" fontId="2" fillId="0" borderId="7" xfId="1" applyNumberFormat="1" applyFont="1" applyFill="1" applyBorder="1"/>
    <xf numFmtId="164" fontId="2" fillId="0" borderId="1" xfId="1" applyNumberFormat="1" applyFont="1" applyFill="1" applyBorder="1"/>
    <xf numFmtId="164" fontId="2" fillId="0" borderId="8" xfId="1" applyNumberFormat="1" applyFont="1" applyFill="1" applyBorder="1"/>
    <xf numFmtId="0" fontId="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wrapText="1"/>
    </xf>
    <xf numFmtId="43" fontId="8" fillId="0" borderId="0" xfId="0" applyNumberFormat="1" applyFont="1"/>
    <xf numFmtId="9" fontId="8" fillId="0" borderId="1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4" fillId="3" borderId="0" xfId="0" applyNumberFormat="1" applyFont="1" applyFill="1"/>
    <xf numFmtId="0" fontId="8" fillId="3" borderId="0" xfId="0" applyFont="1" applyFill="1"/>
    <xf numFmtId="165" fontId="8" fillId="0" borderId="0" xfId="3" applyNumberFormat="1" applyFont="1" applyFill="1" applyBorder="1" applyAlignment="1">
      <alignment vertical="center"/>
    </xf>
    <xf numFmtId="44" fontId="27" fillId="0" borderId="0" xfId="3" applyFont="1" applyFill="1"/>
    <xf numFmtId="44" fontId="27" fillId="0" borderId="0" xfId="3" applyFont="1" applyFill="1" applyBorder="1"/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0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64" fontId="0" fillId="0" borderId="10" xfId="1" applyNumberFormat="1" applyFont="1" applyFill="1" applyBorder="1" applyAlignment="1">
      <alignment horizontal="center"/>
    </xf>
    <xf numFmtId="164" fontId="0" fillId="0" borderId="10" xfId="1" applyNumberFormat="1" applyFont="1" applyFill="1" applyBorder="1"/>
    <xf numFmtId="164" fontId="0" fillId="0" borderId="10" xfId="1" applyNumberFormat="1" applyFont="1" applyFill="1" applyBorder="1" applyAlignment="1">
      <alignment horizontal="right"/>
    </xf>
    <xf numFmtId="0" fontId="0" fillId="0" borderId="0" xfId="0" applyFill="1"/>
    <xf numFmtId="0" fontId="10" fillId="0" borderId="11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" xfId="0" applyFill="1" applyBorder="1"/>
    <xf numFmtId="172" fontId="2" fillId="0" borderId="1" xfId="1" applyNumberFormat="1" applyFont="1" applyFill="1" applyBorder="1" applyAlignment="1">
      <alignment horizontal="center" wrapText="1"/>
    </xf>
    <xf numFmtId="0" fontId="2" fillId="0" borderId="11" xfId="0" applyFont="1" applyFill="1" applyBorder="1"/>
    <xf numFmtId="0" fontId="2" fillId="0" borderId="0" xfId="0" applyFont="1" applyFill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quotePrefix="1" applyNumberFormat="1" applyFont="1" applyFill="1" applyAlignment="1">
      <alignment horizontal="left" vertical="center"/>
    </xf>
    <xf numFmtId="165" fontId="8" fillId="0" borderId="0" xfId="0" applyNumberFormat="1" applyFont="1" applyFill="1"/>
    <xf numFmtId="43" fontId="0" fillId="0" borderId="0" xfId="0" applyNumberFormat="1" applyFill="1"/>
    <xf numFmtId="0" fontId="0" fillId="0" borderId="0" xfId="0" applyFill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44" fontId="0" fillId="0" borderId="0" xfId="0" applyNumberFormat="1" applyFill="1"/>
    <xf numFmtId="165" fontId="0" fillId="0" borderId="0" xfId="0" applyNumberFormat="1" applyFill="1"/>
    <xf numFmtId="165" fontId="0" fillId="0" borderId="0" xfId="0" applyNumberFormat="1" applyFill="1" applyAlignment="1">
      <alignment horizontal="center" vertical="center"/>
    </xf>
    <xf numFmtId="49" fontId="8" fillId="0" borderId="0" xfId="0" quotePrefix="1" applyNumberFormat="1" applyFont="1" applyFill="1" applyAlignment="1">
      <alignment vertical="center"/>
    </xf>
    <xf numFmtId="0" fontId="8" fillId="0" borderId="0" xfId="0" applyFont="1" applyFill="1"/>
    <xf numFmtId="49" fontId="0" fillId="0" borderId="0" xfId="0" applyNumberFormat="1" applyFill="1" applyAlignment="1">
      <alignment vertical="center"/>
    </xf>
    <xf numFmtId="49" fontId="0" fillId="0" borderId="0" xfId="0" quotePrefix="1" applyNumberForma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4" fontId="2" fillId="0" borderId="0" xfId="3" applyFont="1" applyFill="1" applyBorder="1" applyAlignment="1">
      <alignment horizontal="center" vertical="center"/>
    </xf>
    <xf numFmtId="44" fontId="2" fillId="0" borderId="0" xfId="0" applyNumberFormat="1" applyFont="1" applyFill="1"/>
    <xf numFmtId="43" fontId="1" fillId="0" borderId="0" xfId="1" applyFont="1" applyFill="1" applyBorder="1"/>
    <xf numFmtId="0" fontId="11" fillId="0" borderId="0" xfId="0" applyFont="1" applyFill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164" fontId="1" fillId="0" borderId="2" xfId="1" applyNumberFormat="1" applyFont="1" applyFill="1" applyBorder="1"/>
    <xf numFmtId="165" fontId="1" fillId="0" borderId="2" xfId="3" applyNumberFormat="1" applyFont="1" applyFill="1" applyBorder="1"/>
    <xf numFmtId="0" fontId="0" fillId="0" borderId="0" xfId="0" applyFill="1" applyAlignment="1">
      <alignment vertical="center"/>
    </xf>
    <xf numFmtId="168" fontId="0" fillId="0" borderId="0" xfId="2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0" borderId="1" xfId="3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22" fillId="0" borderId="0" xfId="0" applyFont="1" applyAlignment="1">
      <alignment vertical="center"/>
    </xf>
    <xf numFmtId="1" fontId="22" fillId="0" borderId="1" xfId="1" quotePrefix="1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1" applyNumberFormat="1" applyFont="1" applyAlignment="1">
      <alignment vertical="center"/>
    </xf>
    <xf numFmtId="171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7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22" fillId="0" borderId="0" xfId="3" applyNumberFormat="1" applyFont="1" applyFill="1" applyAlignment="1">
      <alignment vertical="center"/>
    </xf>
    <xf numFmtId="164" fontId="22" fillId="0" borderId="0" xfId="1" applyNumberFormat="1" applyFont="1" applyFill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166" fontId="8" fillId="0" borderId="0" xfId="2" applyNumberFormat="1" applyFont="1" applyFill="1" applyAlignment="1">
      <alignment vertical="center"/>
    </xf>
    <xf numFmtId="169" fontId="8" fillId="0" borderId="0" xfId="0" applyNumberFormat="1" applyFont="1" applyAlignment="1">
      <alignment vertical="center"/>
    </xf>
    <xf numFmtId="166" fontId="8" fillId="0" borderId="0" xfId="2" applyNumberFormat="1" applyFont="1" applyFill="1" applyBorder="1" applyAlignment="1">
      <alignment vertical="center"/>
    </xf>
    <xf numFmtId="166" fontId="8" fillId="0" borderId="1" xfId="2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171" fontId="8" fillId="0" borderId="0" xfId="2" applyNumberFormat="1" applyFont="1" applyFill="1" applyAlignment="1">
      <alignment vertical="center"/>
    </xf>
    <xf numFmtId="167" fontId="8" fillId="0" borderId="0" xfId="1" applyNumberFormat="1" applyFont="1" applyFill="1" applyAlignment="1">
      <alignment vertical="center"/>
    </xf>
    <xf numFmtId="171" fontId="29" fillId="0" borderId="0" xfId="2" applyNumberFormat="1" applyFont="1" applyFill="1" applyAlignment="1">
      <alignment vertical="center"/>
    </xf>
  </cellXfs>
  <cellStyles count="6">
    <cellStyle name="Comma" xfId="1" builtinId="3"/>
    <cellStyle name="Comma 2" xfId="5" xr:uid="{00000000-0005-0000-0000-000001000000}"/>
    <cellStyle name="Currency" xfId="3" builtinId="4"/>
    <cellStyle name="Normal" xfId="0" builtinId="0"/>
    <cellStyle name="Normal 2" xfId="4" xr:uid="{00000000-0005-0000-0000-000005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15</xdr:col>
      <xdr:colOff>338930</xdr:colOff>
      <xdr:row>46</xdr:row>
      <xdr:rowOff>15575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1DC39-E9FE-608E-5757-1B6B4AF9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6629400"/>
          <a:ext cx="6361905" cy="24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419203</xdr:colOff>
      <xdr:row>15</xdr:row>
      <xdr:rowOff>66674</xdr:rowOff>
    </xdr:from>
    <xdr:to>
      <xdr:col>18</xdr:col>
      <xdr:colOff>1178</xdr:colOff>
      <xdr:row>32</xdr:row>
      <xdr:rowOff>600808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2D9DF9-B43E-8F1A-6A26-E242E5E7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8978" y="2781299"/>
          <a:ext cx="5792275" cy="3607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2946\Downloads\2023_PRP_Adjustment_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I Summary"/>
      <sheetName val="Sch II 2023"/>
      <sheetName val="Schedule III"/>
      <sheetName val="Schedule IV 2023 "/>
      <sheetName val="Schedule IV 2023 Monthly"/>
      <sheetName val="Tax Rates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</row>
        <row r="2">
          <cell r="A2">
            <v>7</v>
          </cell>
          <cell r="B2">
            <v>0.14285999999999999</v>
          </cell>
          <cell r="C2">
            <v>0.24490000000000001</v>
          </cell>
          <cell r="D2">
            <v>0.17491999999999999</v>
          </cell>
          <cell r="E2">
            <v>0.12495000000000001</v>
          </cell>
          <cell r="F2">
            <v>8.9249999999999996E-2</v>
          </cell>
          <cell r="G2">
            <v>8.9249999999999996E-2</v>
          </cell>
          <cell r="H2">
            <v>8.9249999999999996E-2</v>
          </cell>
          <cell r="I2">
            <v>4.462E-2</v>
          </cell>
          <cell r="J2"/>
          <cell r="K2"/>
          <cell r="W2">
            <v>1.0000000000000002</v>
          </cell>
        </row>
        <row r="3">
          <cell r="A3">
            <v>15</v>
          </cell>
          <cell r="B3">
            <v>0.05</v>
          </cell>
          <cell r="C3">
            <v>9.5000000000000001E-2</v>
          </cell>
          <cell r="D3">
            <v>8.5500000000000007E-2</v>
          </cell>
          <cell r="E3">
            <v>7.6950000000000005E-2</v>
          </cell>
          <cell r="F3">
            <v>6.9250000000000006E-2</v>
          </cell>
          <cell r="G3">
            <v>6.2330000000000003E-2</v>
          </cell>
          <cell r="H3">
            <v>5.9049999999999998E-2</v>
          </cell>
          <cell r="I3">
            <v>5.9049999999999998E-2</v>
          </cell>
          <cell r="J3">
            <v>5.9049999999999998E-2</v>
          </cell>
          <cell r="K3">
            <v>5.9049999999999998E-2</v>
          </cell>
          <cell r="L3">
            <v>5.9049999999999998E-2</v>
          </cell>
          <cell r="M3">
            <v>5.9049999999999998E-2</v>
          </cell>
          <cell r="N3">
            <v>5.9049999999999998E-2</v>
          </cell>
          <cell r="O3">
            <v>5.9049999999999998E-2</v>
          </cell>
          <cell r="P3">
            <v>5.9049999999999998E-2</v>
          </cell>
          <cell r="Q3">
            <v>2.9520000000000001E-2</v>
          </cell>
          <cell r="W3">
            <v>1.0000000000000004</v>
          </cell>
        </row>
        <row r="4">
          <cell r="A4">
            <v>20</v>
          </cell>
          <cell r="B4">
            <v>3.7499999999999999E-2</v>
          </cell>
          <cell r="C4">
            <v>7.2190000000000004E-2</v>
          </cell>
          <cell r="D4">
            <v>6.6769999999999996E-2</v>
          </cell>
          <cell r="E4">
            <v>6.1769999999999999E-2</v>
          </cell>
          <cell r="F4">
            <v>5.713E-2</v>
          </cell>
          <cell r="G4">
            <v>5.2850000000000001E-2</v>
          </cell>
          <cell r="H4">
            <v>4.888E-2</v>
          </cell>
          <cell r="I4">
            <v>4.5220000000000003E-2</v>
          </cell>
          <cell r="J4">
            <v>4.462E-2</v>
          </cell>
          <cell r="K4">
            <v>4.4609999999999997E-2</v>
          </cell>
          <cell r="L4">
            <v>4.462E-2</v>
          </cell>
          <cell r="M4">
            <v>4.4610000000000004E-2</v>
          </cell>
          <cell r="N4">
            <v>4.462E-2</v>
          </cell>
          <cell r="O4">
            <v>4.4610000000000004E-2</v>
          </cell>
          <cell r="P4">
            <v>4.462E-2</v>
          </cell>
          <cell r="Q4">
            <v>4.4610000000000004E-2</v>
          </cell>
          <cell r="R4">
            <v>4.462E-2</v>
          </cell>
          <cell r="S4">
            <v>4.4610000000000004E-2</v>
          </cell>
          <cell r="T4">
            <v>4.462E-2</v>
          </cell>
          <cell r="U4">
            <v>4.4610000000000004E-2</v>
          </cell>
          <cell r="V4">
            <v>2.231E-2</v>
          </cell>
          <cell r="W4">
            <v>1.0000000000000002</v>
          </cell>
        </row>
        <row r="5">
          <cell r="K5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zoomScaleNormal="100" workbookViewId="0">
      <selection activeCell="H4" sqref="H4:H19"/>
    </sheetView>
  </sheetViews>
  <sheetFormatPr defaultColWidth="9.1796875" defaultRowHeight="14.5" x14ac:dyDescent="0.35"/>
  <cols>
    <col min="1" max="1" width="9.1796875" style="36"/>
    <col min="2" max="2" width="33.7265625" style="36" customWidth="1"/>
    <col min="3" max="3" width="22.1796875" style="36" bestFit="1" customWidth="1"/>
    <col min="4" max="4" width="10.81640625" style="36" customWidth="1"/>
    <col min="5" max="5" width="13.54296875" style="36" bestFit="1" customWidth="1"/>
    <col min="6" max="6" width="12.54296875" style="36" bestFit="1" customWidth="1"/>
    <col min="7" max="7" width="11.54296875" style="36" bestFit="1" customWidth="1"/>
    <col min="8" max="8" width="11.54296875" style="36" customWidth="1"/>
    <col min="9" max="9" width="12.7265625" style="36" customWidth="1"/>
    <col min="10" max="10" width="13.7265625" style="36" bestFit="1" customWidth="1"/>
    <col min="11" max="12" width="9.1796875" style="36"/>
    <col min="13" max="13" width="11.54296875" style="36" bestFit="1" customWidth="1"/>
    <col min="14" max="16384" width="9.1796875" style="36"/>
  </cols>
  <sheetData>
    <row r="1" spans="1:13" x14ac:dyDescent="0.35">
      <c r="A1" s="35" t="s">
        <v>47</v>
      </c>
    </row>
    <row r="2" spans="1:13" x14ac:dyDescent="0.35">
      <c r="A2" s="35" t="s">
        <v>48</v>
      </c>
    </row>
    <row r="3" spans="1:13" x14ac:dyDescent="0.35">
      <c r="A3" s="35" t="s">
        <v>241</v>
      </c>
    </row>
    <row r="4" spans="1:13" x14ac:dyDescent="0.35">
      <c r="A4" s="286" t="s">
        <v>303</v>
      </c>
      <c r="B4" s="171"/>
      <c r="C4" s="171"/>
      <c r="D4" s="171"/>
      <c r="E4" s="171"/>
      <c r="F4" s="171"/>
      <c r="G4" s="171"/>
      <c r="H4" s="171"/>
    </row>
    <row r="5" spans="1:13" x14ac:dyDescent="0.35">
      <c r="A5" s="171"/>
      <c r="B5" s="171"/>
      <c r="C5" s="171"/>
      <c r="D5" s="171"/>
      <c r="E5" s="171"/>
      <c r="F5" s="171"/>
      <c r="G5" s="171"/>
      <c r="H5" s="171"/>
    </row>
    <row r="6" spans="1:13" x14ac:dyDescent="0.35">
      <c r="A6" s="171"/>
      <c r="B6" s="171"/>
      <c r="C6" s="171"/>
      <c r="D6" s="171"/>
      <c r="E6" s="171" t="s">
        <v>247</v>
      </c>
      <c r="F6" s="171" t="s">
        <v>248</v>
      </c>
      <c r="G6" s="171" t="s">
        <v>249</v>
      </c>
      <c r="H6" s="171" t="s">
        <v>250</v>
      </c>
    </row>
    <row r="7" spans="1:13" x14ac:dyDescent="0.35">
      <c r="A7" s="171"/>
      <c r="B7" s="171"/>
      <c r="C7" s="171"/>
      <c r="D7" s="171"/>
      <c r="E7" s="287">
        <v>2023</v>
      </c>
      <c r="F7" s="287">
        <v>2024</v>
      </c>
      <c r="G7" s="287">
        <v>2025</v>
      </c>
      <c r="H7" s="287">
        <v>2026</v>
      </c>
      <c r="I7" s="48" t="s">
        <v>58</v>
      </c>
    </row>
    <row r="8" spans="1:13" x14ac:dyDescent="0.35">
      <c r="A8" s="171">
        <v>1</v>
      </c>
      <c r="B8" s="171" t="s">
        <v>238</v>
      </c>
      <c r="C8" s="171"/>
      <c r="D8" s="171"/>
      <c r="E8" s="288">
        <f>+'Sch II 2023 Yr 4'!C12</f>
        <v>6691501.563000001</v>
      </c>
      <c r="F8" s="288">
        <f>'Sch II 2024 Yr 3'!C12</f>
        <v>8915083.5700000003</v>
      </c>
      <c r="G8" s="288">
        <f>'Sch II 2025 Yr 2'!C12</f>
        <v>8605645.7799999993</v>
      </c>
      <c r="H8" s="288">
        <f>'Sch II 2026 Yr 1'!C12</f>
        <v>2927404.77</v>
      </c>
    </row>
    <row r="9" spans="1:13" x14ac:dyDescent="0.35">
      <c r="A9" s="171">
        <v>2</v>
      </c>
      <c r="B9" s="171" t="s">
        <v>41</v>
      </c>
      <c r="C9" s="171"/>
      <c r="D9" s="171"/>
      <c r="E9" s="171"/>
      <c r="F9" s="180"/>
      <c r="G9" s="180"/>
      <c r="H9" s="180"/>
    </row>
    <row r="10" spans="1:13" x14ac:dyDescent="0.35">
      <c r="A10" s="171">
        <v>3</v>
      </c>
      <c r="B10" s="289" t="s">
        <v>42</v>
      </c>
      <c r="C10" s="171"/>
      <c r="D10" s="171"/>
      <c r="E10" s="180">
        <f>+'Sch II 2023 Yr 4'!H12</f>
        <v>-701888</v>
      </c>
      <c r="F10" s="180">
        <f>ROUND('Sch II 2024 Yr 3'!H12,0)</f>
        <v>-648701</v>
      </c>
      <c r="G10" s="180">
        <f>ROUND('Sch II 2025 Yr 2'!H12,0)</f>
        <v>-386208</v>
      </c>
      <c r="H10" s="180">
        <f>ROUND('Sch II 2026 Yr 1'!H12,0)</f>
        <v>-84353</v>
      </c>
    </row>
    <row r="11" spans="1:13" x14ac:dyDescent="0.35">
      <c r="A11" s="171">
        <v>4</v>
      </c>
      <c r="B11" s="289" t="s">
        <v>43</v>
      </c>
      <c r="C11" s="171"/>
      <c r="D11" s="171"/>
      <c r="E11" s="201">
        <f>+'Sch II 2023 Yr 4'!H37</f>
        <v>-1494408</v>
      </c>
      <c r="F11" s="201">
        <f>ROUND('Sch II 2024 Yr 3'!H37,0)</f>
        <v>-2062462</v>
      </c>
      <c r="G11" s="201">
        <f>ROUND('Sch II 2025 Yr 2'!H37,0)</f>
        <v>-2050751</v>
      </c>
      <c r="H11" s="201">
        <f>ROUND('Sch II 2026 Yr 1'!H37,0)</f>
        <v>-709342</v>
      </c>
      <c r="J11" s="222"/>
      <c r="K11" s="222"/>
      <c r="L11" s="222"/>
    </row>
    <row r="12" spans="1:13" x14ac:dyDescent="0.35">
      <c r="A12" s="171">
        <v>5</v>
      </c>
      <c r="B12" s="171" t="s">
        <v>242</v>
      </c>
      <c r="C12" s="171"/>
      <c r="D12" s="171"/>
      <c r="E12" s="200">
        <f>SUM(E8:E11)</f>
        <v>4495205.563000001</v>
      </c>
      <c r="F12" s="180">
        <f t="shared" ref="F12:G12" si="0">SUM(F8:F11)</f>
        <v>6203920.5700000003</v>
      </c>
      <c r="G12" s="180">
        <f t="shared" si="0"/>
        <v>6168686.7799999993</v>
      </c>
      <c r="H12" s="180">
        <f>SUM(H8:H11)</f>
        <v>2133709.77</v>
      </c>
      <c r="M12" s="66"/>
    </row>
    <row r="13" spans="1:13" x14ac:dyDescent="0.35">
      <c r="A13" s="171"/>
      <c r="B13" s="171"/>
      <c r="C13" s="171"/>
      <c r="D13" s="171"/>
      <c r="E13" s="290"/>
      <c r="F13" s="290"/>
      <c r="G13" s="290"/>
      <c r="H13" s="290"/>
    </row>
    <row r="14" spans="1:13" x14ac:dyDescent="0.35">
      <c r="A14" s="171">
        <v>6</v>
      </c>
      <c r="B14" s="171" t="s">
        <v>304</v>
      </c>
      <c r="C14" s="171"/>
      <c r="D14" s="171"/>
      <c r="E14" s="291">
        <f>+$C37</f>
        <v>7.22E-2</v>
      </c>
      <c r="F14" s="291">
        <f>+$C37</f>
        <v>7.22E-2</v>
      </c>
      <c r="G14" s="291">
        <f>+$C37</f>
        <v>7.22E-2</v>
      </c>
      <c r="H14" s="291">
        <f>+$C37</f>
        <v>7.22E-2</v>
      </c>
    </row>
    <row r="15" spans="1:13" x14ac:dyDescent="0.35">
      <c r="A15" s="171">
        <v>7</v>
      </c>
      <c r="B15" s="171" t="s">
        <v>218</v>
      </c>
      <c r="C15" s="171"/>
      <c r="D15" s="171"/>
      <c r="E15" s="291">
        <f>+$E37</f>
        <v>8.9616070999999992E-2</v>
      </c>
      <c r="F15" s="291">
        <f>+$E37</f>
        <v>8.9616070999999992E-2</v>
      </c>
      <c r="G15" s="291">
        <f>+$E37</f>
        <v>8.9616070999999992E-2</v>
      </c>
      <c r="H15" s="291">
        <f>+$E37</f>
        <v>8.9616070999999992E-2</v>
      </c>
    </row>
    <row r="16" spans="1:13" x14ac:dyDescent="0.35">
      <c r="A16" s="292">
        <v>8</v>
      </c>
      <c r="B16" s="171" t="s">
        <v>305</v>
      </c>
      <c r="C16" s="171"/>
      <c r="D16" s="171"/>
      <c r="E16" s="293">
        <f>+$D34</f>
        <v>1.3398399999999999</v>
      </c>
      <c r="F16" s="293">
        <f>+$D34</f>
        <v>1.3398399999999999</v>
      </c>
      <c r="G16" s="293">
        <f>+$D34</f>
        <v>1.3398399999999999</v>
      </c>
      <c r="H16" s="293">
        <f>+$D34</f>
        <v>1.3398399999999999</v>
      </c>
    </row>
    <row r="17" spans="1:10" x14ac:dyDescent="0.35">
      <c r="A17" s="171">
        <v>9</v>
      </c>
      <c r="B17" s="171" t="s">
        <v>50</v>
      </c>
      <c r="C17" s="171"/>
      <c r="D17" s="171"/>
      <c r="E17" s="180">
        <f>+E12*E15</f>
        <v>402842.66089340305</v>
      </c>
      <c r="F17" s="180">
        <f>+F12*F15</f>
        <v>555970.98627948039</v>
      </c>
      <c r="G17" s="180">
        <f>+G12*G15</f>
        <v>552813.47245324124</v>
      </c>
      <c r="H17" s="180">
        <f>+H12*H15</f>
        <v>191214.68624171364</v>
      </c>
      <c r="I17" s="49">
        <f>SUM(E17:H17)</f>
        <v>1702841.8058678382</v>
      </c>
    </row>
    <row r="18" spans="1:10" x14ac:dyDescent="0.35">
      <c r="A18" s="171">
        <v>10</v>
      </c>
      <c r="B18" s="171" t="s">
        <v>64</v>
      </c>
      <c r="C18" s="171"/>
      <c r="D18" s="171"/>
      <c r="E18" s="171"/>
      <c r="F18" s="294"/>
      <c r="G18" s="294"/>
      <c r="H18" s="294"/>
      <c r="I18" s="53">
        <f>'Schedule III'!C38</f>
        <v>1116633.7376819481</v>
      </c>
    </row>
    <row r="19" spans="1:10" x14ac:dyDescent="0.35">
      <c r="A19" s="171">
        <v>11</v>
      </c>
      <c r="B19" s="171" t="s">
        <v>239</v>
      </c>
      <c r="C19" s="171"/>
      <c r="D19" s="171"/>
      <c r="E19" s="171"/>
      <c r="F19" s="288"/>
      <c r="G19" s="288"/>
      <c r="H19" s="288"/>
      <c r="I19" s="54">
        <f>I17+I18</f>
        <v>2819475.5435497863</v>
      </c>
    </row>
    <row r="20" spans="1:10" x14ac:dyDescent="0.35">
      <c r="A20" s="171"/>
      <c r="B20" s="171"/>
      <c r="C20" s="171"/>
      <c r="D20" s="171"/>
      <c r="E20" s="288"/>
      <c r="F20" s="288"/>
      <c r="G20" s="295"/>
      <c r="H20" s="54"/>
    </row>
    <row r="21" spans="1:10" x14ac:dyDescent="0.35">
      <c r="A21" s="171"/>
      <c r="B21" s="171"/>
      <c r="C21" s="171"/>
      <c r="D21" s="171"/>
      <c r="E21" s="171"/>
      <c r="F21" s="171"/>
      <c r="G21" s="171"/>
    </row>
    <row r="22" spans="1:10" x14ac:dyDescent="0.35">
      <c r="A22" s="171"/>
      <c r="B22" s="171"/>
      <c r="C22" s="171"/>
      <c r="D22" s="171"/>
      <c r="E22" s="171"/>
      <c r="F22" s="296"/>
      <c r="G22" s="171"/>
    </row>
    <row r="23" spans="1:10" x14ac:dyDescent="0.35">
      <c r="A23" s="171"/>
      <c r="B23" s="171"/>
      <c r="C23" s="296" t="s">
        <v>49</v>
      </c>
      <c r="D23" s="296"/>
      <c r="E23" s="296" t="s">
        <v>10</v>
      </c>
      <c r="F23" s="196" t="s">
        <v>148</v>
      </c>
      <c r="G23" s="196"/>
      <c r="H23" s="58"/>
    </row>
    <row r="24" spans="1:10" x14ac:dyDescent="0.35">
      <c r="A24" s="171"/>
      <c r="B24" s="171"/>
      <c r="C24" s="297" t="s">
        <v>51</v>
      </c>
      <c r="D24" s="196" t="s">
        <v>8</v>
      </c>
      <c r="E24" s="196" t="s">
        <v>56</v>
      </c>
      <c r="F24" s="296" t="s">
        <v>253</v>
      </c>
      <c r="G24" s="196" t="s">
        <v>150</v>
      </c>
      <c r="H24" s="58"/>
    </row>
    <row r="25" spans="1:10" x14ac:dyDescent="0.35">
      <c r="A25" s="171"/>
      <c r="B25" s="171"/>
      <c r="C25" s="275" t="s">
        <v>306</v>
      </c>
      <c r="D25" s="275" t="s">
        <v>9</v>
      </c>
      <c r="E25" s="275" t="s">
        <v>65</v>
      </c>
      <c r="F25" s="275" t="s">
        <v>254</v>
      </c>
      <c r="G25" s="275" t="s">
        <v>149</v>
      </c>
      <c r="H25" s="58"/>
    </row>
    <row r="26" spans="1:10" x14ac:dyDescent="0.35">
      <c r="A26" s="171">
        <v>12</v>
      </c>
      <c r="B26" s="289" t="s">
        <v>4</v>
      </c>
      <c r="C26" s="288">
        <v>22439709</v>
      </c>
      <c r="D26" s="298">
        <f>C26/C30</f>
        <v>0.5234048871769108</v>
      </c>
      <c r="E26" s="294">
        <f>ROUND(D26*I$19,0)</f>
        <v>1475727</v>
      </c>
      <c r="F26" s="180">
        <v>1731476</v>
      </c>
      <c r="G26" s="299">
        <f>E26/F26</f>
        <v>0.85229422758386486</v>
      </c>
      <c r="H26" s="119"/>
      <c r="J26" s="56"/>
    </row>
    <row r="27" spans="1:10" x14ac:dyDescent="0.35">
      <c r="A27" s="171">
        <v>13</v>
      </c>
      <c r="B27" s="289" t="s">
        <v>5</v>
      </c>
      <c r="C27" s="180">
        <v>6815974</v>
      </c>
      <c r="D27" s="298">
        <f>C27/C30</f>
        <v>0.15898219101106692</v>
      </c>
      <c r="E27" s="294">
        <f>ROUND(D27*I$19,0)</f>
        <v>448246</v>
      </c>
      <c r="F27" s="180">
        <v>679115</v>
      </c>
      <c r="G27" s="299">
        <f>E27/F27</f>
        <v>0.66004432239016952</v>
      </c>
      <c r="H27" s="119"/>
      <c r="J27" s="56"/>
    </row>
    <row r="28" spans="1:10" x14ac:dyDescent="0.35">
      <c r="A28" s="171">
        <v>14</v>
      </c>
      <c r="B28" s="289" t="s">
        <v>6</v>
      </c>
      <c r="C28" s="178">
        <v>11525282</v>
      </c>
      <c r="D28" s="300">
        <f>C28/C30</f>
        <v>0.26882652198796697</v>
      </c>
      <c r="E28" s="294">
        <f>ROUND(D28*I$19,0)</f>
        <v>757950</v>
      </c>
      <c r="F28" s="178">
        <v>2360540</v>
      </c>
      <c r="G28" s="299">
        <f>E28/F28</f>
        <v>0.32109178408330297</v>
      </c>
      <c r="H28" s="119"/>
      <c r="J28" s="56"/>
    </row>
    <row r="29" spans="1:10" x14ac:dyDescent="0.35">
      <c r="A29" s="171">
        <v>15</v>
      </c>
      <c r="B29" s="289" t="s">
        <v>7</v>
      </c>
      <c r="C29" s="201">
        <v>2091598</v>
      </c>
      <c r="D29" s="301">
        <f>C29/C30</f>
        <v>4.8786399824055304E-2</v>
      </c>
      <c r="E29" s="302">
        <f>ROUND(D29*I$19,0)</f>
        <v>137552</v>
      </c>
      <c r="F29" s="201">
        <v>1653683</v>
      </c>
      <c r="G29" s="303">
        <f>E29/F29</f>
        <v>8.3179182467256418E-2</v>
      </c>
      <c r="H29" s="119"/>
      <c r="J29" s="56"/>
    </row>
    <row r="30" spans="1:10" x14ac:dyDescent="0.35">
      <c r="A30" s="171">
        <v>16</v>
      </c>
      <c r="B30" s="171" t="s">
        <v>58</v>
      </c>
      <c r="C30" s="288">
        <f>SUM(C26:C29)</f>
        <v>42872563</v>
      </c>
      <c r="D30" s="298">
        <f>SUM(D26:D29)</f>
        <v>1</v>
      </c>
      <c r="E30" s="294">
        <f>SUM(E26:E29)</f>
        <v>2819475</v>
      </c>
      <c r="F30" s="180">
        <f>SUM(F26:F29)</f>
        <v>6424814</v>
      </c>
      <c r="G30" s="304"/>
      <c r="H30" s="60"/>
      <c r="J30" s="55"/>
    </row>
    <row r="31" spans="1:10" x14ac:dyDescent="0.35">
      <c r="A31" s="171"/>
      <c r="B31" s="171"/>
      <c r="C31" s="171"/>
      <c r="D31" s="171"/>
      <c r="E31" s="171"/>
      <c r="F31" s="171"/>
      <c r="G31" s="171"/>
    </row>
    <row r="32" spans="1:10" x14ac:dyDescent="0.35">
      <c r="A32" s="171"/>
      <c r="B32" s="171"/>
      <c r="C32" s="171"/>
      <c r="D32" s="171"/>
      <c r="E32" s="171"/>
      <c r="F32" s="171"/>
      <c r="G32" s="171"/>
    </row>
    <row r="33" spans="1:7" ht="58" x14ac:dyDescent="0.35">
      <c r="A33" s="171"/>
      <c r="B33" s="171"/>
      <c r="C33" s="218" t="s">
        <v>212</v>
      </c>
      <c r="D33" s="218" t="s">
        <v>213</v>
      </c>
      <c r="E33" s="218" t="s">
        <v>214</v>
      </c>
      <c r="F33" s="171"/>
      <c r="G33" s="171"/>
    </row>
    <row r="34" spans="1:7" x14ac:dyDescent="0.35">
      <c r="A34" s="171">
        <v>17</v>
      </c>
      <c r="B34" s="171" t="s">
        <v>215</v>
      </c>
      <c r="C34" s="305">
        <v>5.0900000000000001E-2</v>
      </c>
      <c r="D34" s="306">
        <v>1.3398399999999999</v>
      </c>
      <c r="E34" s="305">
        <f>+C34*D34</f>
        <v>6.8197856000000001E-2</v>
      </c>
      <c r="F34" s="171">
        <f>1/(1-((0.95*0.21)+0.05))</f>
        <v>1.3324450366422387</v>
      </c>
      <c r="G34" s="171"/>
    </row>
    <row r="35" spans="1:7" x14ac:dyDescent="0.35">
      <c r="A35" s="171">
        <v>18</v>
      </c>
      <c r="B35" s="171" t="s">
        <v>216</v>
      </c>
      <c r="C35" s="305">
        <v>2.1299999999999999E-2</v>
      </c>
      <c r="D35" s="306">
        <v>1.0055499999999999</v>
      </c>
      <c r="E35" s="305">
        <f t="shared" ref="E35:E36" si="1">+C35*D35</f>
        <v>2.1418214999999997E-2</v>
      </c>
      <c r="F35" s="171"/>
      <c r="G35" s="171"/>
    </row>
    <row r="36" spans="1:7" x14ac:dyDescent="0.35">
      <c r="A36" s="171">
        <v>19</v>
      </c>
      <c r="B36" s="171" t="s">
        <v>217</v>
      </c>
      <c r="C36" s="307">
        <v>0</v>
      </c>
      <c r="D36" s="306">
        <v>1.0055499999999999</v>
      </c>
      <c r="E36" s="307">
        <f t="shared" si="1"/>
        <v>0</v>
      </c>
      <c r="F36" s="171"/>
      <c r="G36" s="171"/>
    </row>
    <row r="37" spans="1:7" x14ac:dyDescent="0.35">
      <c r="A37" s="171">
        <v>20</v>
      </c>
      <c r="B37" s="171" t="s">
        <v>58</v>
      </c>
      <c r="C37" s="291">
        <f>SUM(C34:C36)</f>
        <v>7.22E-2</v>
      </c>
      <c r="D37" s="305"/>
      <c r="E37" s="291">
        <f>SUM(E34:E36)</f>
        <v>8.9616070999999992E-2</v>
      </c>
      <c r="F37" s="171"/>
      <c r="G37" s="171"/>
    </row>
    <row r="38" spans="1:7" x14ac:dyDescent="0.35">
      <c r="A38" s="171"/>
      <c r="B38" s="171"/>
      <c r="C38" s="171"/>
      <c r="D38" s="171"/>
      <c r="E38" s="171"/>
      <c r="F38" s="171"/>
      <c r="G38" s="171"/>
    </row>
    <row r="39" spans="1:7" x14ac:dyDescent="0.35">
      <c r="A39" s="171"/>
      <c r="B39" s="171"/>
      <c r="C39" s="171"/>
      <c r="D39" s="171"/>
      <c r="E39" s="171"/>
      <c r="F39" s="171"/>
      <c r="G39" s="171"/>
    </row>
    <row r="40" spans="1:7" x14ac:dyDescent="0.35">
      <c r="A40" s="171"/>
      <c r="B40" s="171"/>
      <c r="C40" s="171"/>
      <c r="D40" s="171"/>
      <c r="E40" s="171"/>
      <c r="F40" s="171"/>
      <c r="G40" s="171"/>
    </row>
    <row r="41" spans="1:7" x14ac:dyDescent="0.35">
      <c r="A41" s="171"/>
      <c r="B41" s="171"/>
      <c r="C41" s="171"/>
      <c r="D41" s="171"/>
      <c r="E41" s="171"/>
      <c r="F41" s="171"/>
      <c r="G41" s="171"/>
    </row>
    <row r="42" spans="1:7" x14ac:dyDescent="0.35">
      <c r="A42" s="171"/>
      <c r="B42" s="171"/>
      <c r="C42" s="171"/>
      <c r="D42" s="171"/>
      <c r="E42" s="171"/>
      <c r="F42" s="171"/>
      <c r="G42" s="171"/>
    </row>
    <row r="43" spans="1:7" x14ac:dyDescent="0.35">
      <c r="A43" s="171"/>
      <c r="B43" s="171"/>
      <c r="C43" s="171"/>
      <c r="D43" s="171"/>
      <c r="E43" s="171"/>
      <c r="F43" s="171"/>
      <c r="G43" s="171"/>
    </row>
    <row r="44" spans="1:7" x14ac:dyDescent="0.35">
      <c r="A44" s="171"/>
      <c r="B44" s="171"/>
      <c r="C44" s="171"/>
      <c r="D44" s="171"/>
      <c r="E44" s="171"/>
      <c r="F44" s="171"/>
      <c r="G44" s="171"/>
    </row>
    <row r="45" spans="1:7" x14ac:dyDescent="0.35">
      <c r="A45" s="171"/>
      <c r="B45" s="171"/>
      <c r="C45" s="171"/>
      <c r="D45" s="171"/>
      <c r="E45" s="171"/>
      <c r="F45" s="171"/>
      <c r="G45" s="171"/>
    </row>
    <row r="46" spans="1:7" x14ac:dyDescent="0.35">
      <c r="A46" s="171"/>
      <c r="B46" s="171"/>
      <c r="C46" s="171"/>
      <c r="D46" s="171"/>
      <c r="E46" s="171"/>
      <c r="F46" s="171"/>
      <c r="G46" s="171"/>
    </row>
    <row r="47" spans="1:7" x14ac:dyDescent="0.35">
      <c r="A47" s="171"/>
      <c r="B47" s="171"/>
      <c r="C47" s="171"/>
      <c r="D47" s="171"/>
      <c r="E47" s="171"/>
      <c r="F47" s="171"/>
      <c r="G47" s="171"/>
    </row>
    <row r="48" spans="1:7" x14ac:dyDescent="0.35">
      <c r="A48" s="171"/>
      <c r="B48" s="171"/>
      <c r="C48" s="171"/>
      <c r="D48" s="171"/>
      <c r="E48" s="171"/>
      <c r="F48" s="171"/>
      <c r="G48" s="171"/>
    </row>
    <row r="49" spans="1:7" x14ac:dyDescent="0.35">
      <c r="A49" s="171"/>
      <c r="B49" s="171"/>
      <c r="C49" s="171"/>
      <c r="D49" s="171"/>
      <c r="E49" s="171"/>
      <c r="F49" s="171"/>
      <c r="G49" s="171"/>
    </row>
  </sheetData>
  <pageMargins left="0.7" right="0.7" top="0.75" bottom="0.75" header="0.3" footer="0.3"/>
  <pageSetup scale="86" orientation="landscape" r:id="rId1"/>
  <headerFooter>
    <oddHeader>&amp;RSchedule I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7225-F6DC-4F02-B998-A1D2AE4BD192}">
  <sheetPr>
    <tabColor theme="8" tint="0.39997558519241921"/>
  </sheetPr>
  <dimension ref="A1:R40"/>
  <sheetViews>
    <sheetView workbookViewId="0">
      <selection activeCell="F34" sqref="F34"/>
    </sheetView>
  </sheetViews>
  <sheetFormatPr defaultRowHeight="14.5" x14ac:dyDescent="0.35"/>
  <cols>
    <col min="1" max="1" width="14.453125" customWidth="1"/>
    <col min="2" max="2" width="18.54296875" bestFit="1" customWidth="1"/>
    <col min="3" max="3" width="12.7265625" customWidth="1"/>
    <col min="4" max="4" width="14" bestFit="1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9.81640625" bestFit="1" customWidth="1"/>
    <col min="13" max="14" width="11.26953125" bestFit="1" customWidth="1"/>
    <col min="15" max="15" width="8.4531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2025</v>
      </c>
      <c r="D1" s="226" t="s">
        <v>244</v>
      </c>
      <c r="R1" s="190" t="s">
        <v>237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234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2025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2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2025'!H132</f>
        <v>7609292.9299999988</v>
      </c>
      <c r="D6" s="225">
        <v>2.98E-2</v>
      </c>
      <c r="F6" s="1">
        <f>'Sch II 2025 Yr 1'!H6</f>
        <v>-114710</v>
      </c>
      <c r="G6" s="13">
        <f>ROUND(IF(D$5=1,-D6*C6,-D6*C6),0)</f>
        <v>-226757</v>
      </c>
      <c r="H6" s="13">
        <f t="shared" ref="H6:H11" si="0">SUM(F6:G6)</f>
        <v>-341467</v>
      </c>
      <c r="J6" s="5">
        <f t="shared" ref="J6:J11" si="1">C6+H6</f>
        <v>7267825.9299999988</v>
      </c>
      <c r="O6" s="9">
        <v>1E-4</v>
      </c>
      <c r="P6" s="12">
        <f>ROUND(IF(D$5=1,-O6*C6,-O6*C6),0)</f>
        <v>-761</v>
      </c>
    </row>
    <row r="7" spans="1:18" x14ac:dyDescent="0.35">
      <c r="A7">
        <v>2</v>
      </c>
      <c r="B7" t="s">
        <v>0</v>
      </c>
      <c r="C7" s="1">
        <f>'Schedule IV 2025'!I132</f>
        <v>0</v>
      </c>
      <c r="D7" s="225">
        <v>3.3500000000000002E-2</v>
      </c>
      <c r="F7" s="1">
        <f>'Sch II 2025 Yr 1'!H7</f>
        <v>0</v>
      </c>
      <c r="G7" s="13">
        <f>ROUND(IF(D$5=1,-0.5*D7*C7,-D7*C7),0)</f>
        <v>0</v>
      </c>
      <c r="H7" s="13">
        <f t="shared" si="0"/>
        <v>0</v>
      </c>
      <c r="J7" s="5">
        <f t="shared" si="1"/>
        <v>0</v>
      </c>
      <c r="O7" s="9">
        <v>2.0000000000000001E-4</v>
      </c>
      <c r="P7" s="5">
        <f>ROUND(IF(D$5=1,-O7*C7,-O7*C7),0)</f>
        <v>0</v>
      </c>
    </row>
    <row r="8" spans="1:18" x14ac:dyDescent="0.35">
      <c r="A8">
        <v>3</v>
      </c>
      <c r="B8" t="s">
        <v>1</v>
      </c>
      <c r="C8" s="1">
        <f>'Schedule IV 2025'!J132</f>
        <v>781352.85</v>
      </c>
      <c r="D8" s="225">
        <v>3.3399999999999999E-2</v>
      </c>
      <c r="F8" s="1">
        <f>'Sch II 2025 Yr 1'!H8</f>
        <v>-12580</v>
      </c>
      <c r="G8" s="13">
        <f>ROUND(IF(D$5=1,-D8*C8,-D8*C8),0)</f>
        <v>-26097</v>
      </c>
      <c r="H8" s="13">
        <f t="shared" si="0"/>
        <v>-38677</v>
      </c>
      <c r="J8" s="5">
        <f t="shared" si="1"/>
        <v>742675.85</v>
      </c>
      <c r="O8" s="9">
        <v>4.1999999999999997E-3</v>
      </c>
      <c r="P8" s="5">
        <f>ROUND(IF(D$5=1,-O8*C8,-O8*C8),0)</f>
        <v>-3282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f>'Sch II 2025 Yr 1'!H9</f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f>'Sch II 2025 Yr 1'!H10</f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2025'!G132</f>
        <v>215000</v>
      </c>
      <c r="D11" s="4" t="s">
        <v>53</v>
      </c>
      <c r="F11" s="2">
        <f>'Sch II 2025 Yr 1'!H11</f>
        <v>-2021</v>
      </c>
      <c r="G11" s="14">
        <f>P12</f>
        <v>-4043</v>
      </c>
      <c r="H11" s="14">
        <f t="shared" si="0"/>
        <v>-6064</v>
      </c>
      <c r="J11" s="6">
        <f t="shared" si="1"/>
        <v>208936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8605645.7799999993</v>
      </c>
      <c r="D12" s="13"/>
      <c r="F12" s="1">
        <f>SUM(F5:F11)</f>
        <v>-129311</v>
      </c>
      <c r="G12" s="13">
        <f>SUM(G5:G11)</f>
        <v>-256897</v>
      </c>
      <c r="H12" s="13">
        <f>SUM(H5:H11)</f>
        <v>-386208</v>
      </c>
      <c r="J12" s="5">
        <f>SUM(J6:J11)</f>
        <v>8219437.7799999984</v>
      </c>
      <c r="O12" s="5"/>
      <c r="P12" s="12">
        <f>SUM(P5:P11)</f>
        <v>-4043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2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 t="shared" ref="C19:C24" si="2">C6</f>
        <v>7609292.9299999988</v>
      </c>
      <c r="D19" s="137">
        <v>1</v>
      </c>
      <c r="E19" s="50">
        <f>ROUND(C19*-D19,0)</f>
        <v>-7609293</v>
      </c>
      <c r="F19" s="66">
        <f>C19+E19</f>
        <v>-7.0000001229345798E-2</v>
      </c>
      <c r="G19" s="66">
        <f t="shared" ref="G19:G24" si="3">ROUND(F19*-$G$16,0)</f>
        <v>0</v>
      </c>
      <c r="H19" s="67">
        <f t="shared" ref="H19:H24" si="4">F19+G19</f>
        <v>-7.0000001229345798E-2</v>
      </c>
      <c r="I19" s="36"/>
      <c r="J19" s="36">
        <v>20</v>
      </c>
      <c r="K19" s="68">
        <f>IFERROR(VLOOKUP(J19,'Tax Rates'!$A$1:$AA$12,$K$18+1,FALSE),0)</f>
        <v>7.2190000000000004E-2</v>
      </c>
      <c r="L19" s="69">
        <v>0</v>
      </c>
      <c r="M19" s="66">
        <f t="shared" ref="M19:M24" si="5">E19</f>
        <v>-7609293</v>
      </c>
      <c r="N19" s="66">
        <f t="shared" ref="N19:N24" si="6">G19</f>
        <v>0</v>
      </c>
      <c r="O19" s="50">
        <f>ROUND(K19*-H19,0)</f>
        <v>0</v>
      </c>
      <c r="P19" s="70">
        <f t="shared" ref="P19:P24" si="7">SUM(L19:O19)</f>
        <v>-7609293</v>
      </c>
      <c r="Q19" s="36"/>
      <c r="R19" s="66">
        <f>C19+P19</f>
        <v>-7.0000001229345798E-2</v>
      </c>
    </row>
    <row r="20" spans="1:18" x14ac:dyDescent="0.35">
      <c r="A20" s="36">
        <v>8</v>
      </c>
      <c r="B20" s="36" t="s">
        <v>0</v>
      </c>
      <c r="C20" s="55">
        <f t="shared" si="2"/>
        <v>0</v>
      </c>
      <c r="D20" s="137">
        <v>1</v>
      </c>
      <c r="E20" s="50">
        <f>ROUND(C20*-D20,0)</f>
        <v>0</v>
      </c>
      <c r="F20" s="66">
        <f>C20+E20</f>
        <v>0</v>
      </c>
      <c r="G20" s="66">
        <f t="shared" si="3"/>
        <v>0</v>
      </c>
      <c r="H20" s="67">
        <f t="shared" si="4"/>
        <v>0</v>
      </c>
      <c r="I20" s="36"/>
      <c r="J20" s="36">
        <v>15</v>
      </c>
      <c r="K20" s="68">
        <f>IFERROR(VLOOKUP(J20,'Tax Rates'!$A$1:$AA$12,$K$18+1,FALSE),0)</f>
        <v>9.5000000000000001E-2</v>
      </c>
      <c r="L20" s="69">
        <v>0</v>
      </c>
      <c r="M20" s="66">
        <f t="shared" si="5"/>
        <v>0</v>
      </c>
      <c r="N20" s="66">
        <f t="shared" si="6"/>
        <v>0</v>
      </c>
      <c r="O20" s="50">
        <f>ROUND(K20*-H20,0)</f>
        <v>0</v>
      </c>
      <c r="P20" s="70">
        <f t="shared" si="7"/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si="2"/>
        <v>781352.85</v>
      </c>
      <c r="D21" s="138">
        <v>1</v>
      </c>
      <c r="E21" s="50">
        <f>ROUND(C21*-D21,0)</f>
        <v>-781353</v>
      </c>
      <c r="F21" s="66">
        <f>C21+E21</f>
        <v>-0.15000000002328306</v>
      </c>
      <c r="G21" s="66">
        <f t="shared" si="3"/>
        <v>0</v>
      </c>
      <c r="H21" s="67">
        <f t="shared" si="4"/>
        <v>-0.15000000002328306</v>
      </c>
      <c r="I21" s="36"/>
      <c r="J21" s="36">
        <v>20</v>
      </c>
      <c r="K21" s="68">
        <f>IFERROR(VLOOKUP(J21,'Tax Rates'!$A$1:$AA$12,$K$18+1,FALSE),0)</f>
        <v>7.2190000000000004E-2</v>
      </c>
      <c r="L21" s="69">
        <v>0</v>
      </c>
      <c r="M21" s="66">
        <f t="shared" si="5"/>
        <v>-781353</v>
      </c>
      <c r="N21" s="66">
        <f t="shared" si="6"/>
        <v>0</v>
      </c>
      <c r="O21" s="50">
        <f>ROUND(K21*-H21,0)</f>
        <v>0</v>
      </c>
      <c r="P21" s="70">
        <f t="shared" si="7"/>
        <v>-781353</v>
      </c>
      <c r="Q21" s="36"/>
      <c r="R21" s="66">
        <f>C21+P21</f>
        <v>-0.15000000002328306</v>
      </c>
    </row>
    <row r="22" spans="1:18" x14ac:dyDescent="0.35">
      <c r="A22" s="36">
        <v>10</v>
      </c>
      <c r="B22" s="36" t="s">
        <v>16</v>
      </c>
      <c r="C22" s="55">
        <f t="shared" si="2"/>
        <v>0</v>
      </c>
      <c r="D22" s="65">
        <v>0</v>
      </c>
      <c r="E22" s="50">
        <f t="shared" ref="E22:E24" si="8">ROUND(C22*-D22,0)</f>
        <v>0</v>
      </c>
      <c r="F22" s="66">
        <f>C22+E22</f>
        <v>0</v>
      </c>
      <c r="G22" s="66">
        <f t="shared" si="3"/>
        <v>0</v>
      </c>
      <c r="H22" s="67">
        <f t="shared" si="4"/>
        <v>0</v>
      </c>
      <c r="I22" s="36"/>
      <c r="J22" s="36">
        <v>7</v>
      </c>
      <c r="K22" s="68">
        <f>IFERROR(VLOOKUP(J22,'Tax Rates'!$A$1:$AA$12,$K$18+1,FALSE),0)</f>
        <v>0.24490000000000001</v>
      </c>
      <c r="L22" s="69">
        <v>0</v>
      </c>
      <c r="M22" s="66">
        <f t="shared" si="5"/>
        <v>0</v>
      </c>
      <c r="N22" s="66">
        <f t="shared" si="6"/>
        <v>0</v>
      </c>
      <c r="O22" s="50">
        <f>ROUND(K22*-H22,0)</f>
        <v>0</v>
      </c>
      <c r="P22" s="70">
        <f t="shared" si="7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2"/>
        <v>0</v>
      </c>
      <c r="D23" s="65">
        <v>0</v>
      </c>
      <c r="E23" s="50">
        <f t="shared" si="8"/>
        <v>0</v>
      </c>
      <c r="F23" s="66">
        <f>C23+E23</f>
        <v>0</v>
      </c>
      <c r="G23" s="66">
        <f t="shared" si="3"/>
        <v>0</v>
      </c>
      <c r="H23" s="67">
        <f t="shared" si="4"/>
        <v>0</v>
      </c>
      <c r="I23" s="36"/>
      <c r="J23" s="36">
        <v>15</v>
      </c>
      <c r="K23" s="68">
        <f>IFERROR(VLOOKUP(J23,'Tax Rates'!$A$1:$AA$12,$K$18+1,FALSE),0)</f>
        <v>9.5000000000000001E-2</v>
      </c>
      <c r="L23" s="69">
        <v>0</v>
      </c>
      <c r="M23" s="66">
        <f t="shared" si="5"/>
        <v>0</v>
      </c>
      <c r="N23" s="66">
        <f t="shared" si="6"/>
        <v>0</v>
      </c>
      <c r="O23" s="50">
        <f>ROUND(K23*-H23,0)</f>
        <v>0</v>
      </c>
      <c r="P23" s="70">
        <f t="shared" si="7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 t="shared" si="2"/>
        <v>215000</v>
      </c>
      <c r="D24" s="220">
        <v>1</v>
      </c>
      <c r="E24" s="52">
        <f t="shared" si="8"/>
        <v>-215000</v>
      </c>
      <c r="F24" s="71">
        <v>0</v>
      </c>
      <c r="G24" s="71">
        <f t="shared" si="3"/>
        <v>0</v>
      </c>
      <c r="H24" s="72">
        <f t="shared" si="4"/>
        <v>0</v>
      </c>
      <c r="I24" s="36"/>
      <c r="J24" s="29" t="s">
        <v>55</v>
      </c>
      <c r="K24" s="73" t="s">
        <v>55</v>
      </c>
      <c r="L24" s="74">
        <v>0</v>
      </c>
      <c r="M24" s="71">
        <f t="shared" si="5"/>
        <v>-215000</v>
      </c>
      <c r="N24" s="75">
        <f t="shared" si="6"/>
        <v>0</v>
      </c>
      <c r="O24" s="52">
        <v>0</v>
      </c>
      <c r="P24" s="76">
        <f t="shared" si="7"/>
        <v>-215000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8605645.7799999993</v>
      </c>
      <c r="D25" s="36"/>
      <c r="E25" s="50">
        <f>SUM(E19:E24)</f>
        <v>-8605646</v>
      </c>
      <c r="F25" s="50">
        <f>SUM(F19:F24)</f>
        <v>-0.22000000125262886</v>
      </c>
      <c r="G25" s="50">
        <f>SUM(G19:G24)</f>
        <v>0</v>
      </c>
      <c r="H25" s="70">
        <f>SUM(H19:H24)</f>
        <v>-0.22000000125262886</v>
      </c>
      <c r="I25" s="36"/>
      <c r="J25" s="36"/>
      <c r="K25" s="36"/>
      <c r="L25" s="70">
        <f>SUM(L19:L24)</f>
        <v>0</v>
      </c>
      <c r="M25" s="50">
        <f>SUM(M19:M24)</f>
        <v>-8605646</v>
      </c>
      <c r="N25" s="50">
        <f>SUM(N19:N24)</f>
        <v>0</v>
      </c>
      <c r="O25" s="50">
        <f>SUM(O19:O24)</f>
        <v>0</v>
      </c>
      <c r="P25" s="70">
        <f>SUM(P19:P24)</f>
        <v>-8605646</v>
      </c>
      <c r="Q25" s="36"/>
      <c r="R25" s="66">
        <f>SUM(R19:R24)</f>
        <v>-0.22000000125262886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 t="shared" ref="D31:D36" si="9">J6</f>
        <v>7267825.9299999988</v>
      </c>
      <c r="E31" s="66">
        <f t="shared" ref="E31:E36" si="10">R19</f>
        <v>-7.0000001229345798E-2</v>
      </c>
      <c r="F31" s="66">
        <f>E31-D31</f>
        <v>-7267826</v>
      </c>
      <c r="G31" s="80">
        <v>0.2495</v>
      </c>
      <c r="H31" s="66">
        <f>ROUND(F31*G31,0)</f>
        <v>-1813323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 t="shared" si="9"/>
        <v>0</v>
      </c>
      <c r="E32" s="66">
        <f t="shared" si="10"/>
        <v>0</v>
      </c>
      <c r="F32" s="66">
        <f>E32-D32</f>
        <v>0</v>
      </c>
      <c r="G32" s="79">
        <f>G31</f>
        <v>0.2495</v>
      </c>
      <c r="H32" s="66">
        <f t="shared" ref="H32:H36" si="11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9"/>
        <v>742675.85</v>
      </c>
      <c r="E33" s="66">
        <f t="shared" si="10"/>
        <v>-0.15000000002328306</v>
      </c>
      <c r="F33" s="66">
        <f>E33-D33</f>
        <v>-742676</v>
      </c>
      <c r="G33" s="79">
        <f>G31</f>
        <v>0.2495</v>
      </c>
      <c r="H33" s="66">
        <f t="shared" si="11"/>
        <v>-185298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9"/>
        <v>0</v>
      </c>
      <c r="E34" s="66">
        <f t="shared" si="10"/>
        <v>0</v>
      </c>
      <c r="F34" s="66">
        <f>E34-D34</f>
        <v>0</v>
      </c>
      <c r="G34" s="79">
        <f>G31</f>
        <v>0.2495</v>
      </c>
      <c r="H34" s="66">
        <f t="shared" si="11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9"/>
        <v>0</v>
      </c>
      <c r="E35" s="66">
        <f t="shared" si="10"/>
        <v>0</v>
      </c>
      <c r="F35" s="66">
        <f>E35-D35</f>
        <v>0</v>
      </c>
      <c r="G35" s="79">
        <f>G31</f>
        <v>0.2495</v>
      </c>
      <c r="H35" s="66">
        <f t="shared" si="11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9"/>
        <v>208936</v>
      </c>
      <c r="E36" s="77" t="str">
        <f t="shared" si="10"/>
        <v>NA</v>
      </c>
      <c r="F36" s="71">
        <f>-D36</f>
        <v>-208936</v>
      </c>
      <c r="G36" s="81">
        <f>G31</f>
        <v>0.2495</v>
      </c>
      <c r="H36" s="71">
        <f t="shared" si="11"/>
        <v>-52130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8219437.7799999984</v>
      </c>
      <c r="E37" s="66">
        <f>SUM(E31:E36)</f>
        <v>-0.22000000125262886</v>
      </c>
      <c r="F37" s="66">
        <f>SUM(F31:F36)</f>
        <v>-8219438</v>
      </c>
      <c r="G37" s="36"/>
      <c r="H37" s="66">
        <f>SUM(H31:H36)</f>
        <v>-2050751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BF8C-0FBE-4E1A-9AD3-30E10D2BDA68}">
  <sheetPr>
    <tabColor theme="8" tint="0.39997558519241921"/>
  </sheetPr>
  <dimension ref="A1:R40"/>
  <sheetViews>
    <sheetView workbookViewId="0">
      <selection activeCell="C12" sqref="C12"/>
    </sheetView>
  </sheetViews>
  <sheetFormatPr defaultRowHeight="14.5" x14ac:dyDescent="0.35"/>
  <cols>
    <col min="1" max="1" width="14.453125" customWidth="1"/>
    <col min="2" max="2" width="18.54296875" bestFit="1" customWidth="1"/>
    <col min="3" max="3" width="12.7265625" customWidth="1"/>
    <col min="4" max="4" width="14" bestFit="1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9.81640625" bestFit="1" customWidth="1"/>
    <col min="13" max="14" width="11.26953125" bestFit="1" customWidth="1"/>
    <col min="15" max="15" width="8.4531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2026</v>
      </c>
      <c r="D1" s="226" t="s">
        <v>244</v>
      </c>
      <c r="R1" s="190" t="s">
        <v>246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233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2026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1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2026'!H24/2</f>
        <v>2814987.5</v>
      </c>
      <c r="D6" s="225">
        <v>2.98E-2</v>
      </c>
      <c r="F6" s="1">
        <v>0</v>
      </c>
      <c r="G6" s="13">
        <f>ROUND(IF(D$5=1,-D6*C6,-D6*C6),0)</f>
        <v>-83887</v>
      </c>
      <c r="H6" s="13">
        <f t="shared" ref="H6:H11" si="0">SUM(F6:G6)</f>
        <v>-83887</v>
      </c>
      <c r="J6" s="5">
        <f t="shared" ref="J6:J11" si="1">C6+H6</f>
        <v>2731100.5</v>
      </c>
      <c r="O6" s="9">
        <v>1E-4</v>
      </c>
      <c r="P6" s="12">
        <f>ROUND(IF(D$5=1,-O6*C6,-O6*C6),0)</f>
        <v>-281</v>
      </c>
    </row>
    <row r="7" spans="1:18" x14ac:dyDescent="0.35">
      <c r="A7">
        <v>2</v>
      </c>
      <c r="B7" t="s">
        <v>0</v>
      </c>
      <c r="C7" s="1">
        <f>'Schedule IV 2026'!I24/2</f>
        <v>0</v>
      </c>
      <c r="D7" s="225">
        <v>3.3500000000000002E-2</v>
      </c>
      <c r="F7" s="1">
        <v>0</v>
      </c>
      <c r="G7" s="13">
        <f>ROUND(IF(D$5=1,-0.5*D7*C7,-D7*C7),0)</f>
        <v>0</v>
      </c>
      <c r="H7" s="13">
        <f t="shared" si="0"/>
        <v>0</v>
      </c>
      <c r="J7" s="5">
        <f t="shared" si="1"/>
        <v>0</v>
      </c>
      <c r="O7" s="9">
        <v>2.0000000000000001E-4</v>
      </c>
      <c r="P7" s="5">
        <f>ROUND(IF(D$5=1,-O7*C7,-O7*C7),0)</f>
        <v>0</v>
      </c>
    </row>
    <row r="8" spans="1:18" x14ac:dyDescent="0.35">
      <c r="A8">
        <v>3</v>
      </c>
      <c r="B8" t="s">
        <v>1</v>
      </c>
      <c r="C8" s="1">
        <f>'Schedule IV 2026'!J24/2</f>
        <v>4917.2699999999995</v>
      </c>
      <c r="D8" s="225">
        <v>3.3399999999999999E-2</v>
      </c>
      <c r="F8" s="1">
        <v>0</v>
      </c>
      <c r="G8" s="13">
        <f>ROUND(IF(D$5=1,-D8*C8,-D8*C8),0)</f>
        <v>-164</v>
      </c>
      <c r="H8" s="13">
        <f t="shared" si="0"/>
        <v>-164</v>
      </c>
      <c r="J8" s="5">
        <f t="shared" si="1"/>
        <v>4753.2699999999995</v>
      </c>
      <c r="O8" s="9">
        <v>4.1999999999999997E-3</v>
      </c>
      <c r="P8" s="5">
        <f>ROUND(IF(D$5=1,-O8*C8,-O8*C8),0)</f>
        <v>-21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2026'!G24/2</f>
        <v>107500</v>
      </c>
      <c r="D11" s="4" t="s">
        <v>53</v>
      </c>
      <c r="F11" s="2">
        <v>0</v>
      </c>
      <c r="G11" s="14">
        <f>P12</f>
        <v>-302</v>
      </c>
      <c r="H11" s="14">
        <f t="shared" si="0"/>
        <v>-302</v>
      </c>
      <c r="J11" s="6">
        <f t="shared" si="1"/>
        <v>107198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2927404.77</v>
      </c>
      <c r="D12" s="13"/>
      <c r="F12" s="1">
        <f>SUM(F5:F11)</f>
        <v>0</v>
      </c>
      <c r="G12" s="13">
        <f>SUM(G5:G11)</f>
        <v>-84353</v>
      </c>
      <c r="H12" s="13">
        <f>SUM(H5:H11)</f>
        <v>-84353</v>
      </c>
      <c r="J12" s="5">
        <f>SUM(J6:J11)</f>
        <v>2843051.77</v>
      </c>
      <c r="O12" s="5"/>
      <c r="P12" s="12">
        <f>SUM(P5:P11)</f>
        <v>-302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1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>C6</f>
        <v>2814987.5</v>
      </c>
      <c r="D19" s="137">
        <v>1</v>
      </c>
      <c r="E19" s="50">
        <f>ROUND(C19*-D19,0)</f>
        <v>-2814988</v>
      </c>
      <c r="F19" s="66">
        <f>C19+E19</f>
        <v>-0.5</v>
      </c>
      <c r="G19" s="66">
        <f t="shared" ref="G19:G24" si="2">ROUND(F19*-$G$16,0)</f>
        <v>0</v>
      </c>
      <c r="H19" s="67">
        <f t="shared" ref="H19:H24" si="3">F19+G19</f>
        <v>-0.5</v>
      </c>
      <c r="I19" s="36"/>
      <c r="J19" s="36">
        <v>20</v>
      </c>
      <c r="K19" s="68">
        <f>IFERROR(VLOOKUP(J19,'Tax Rates'!$A$1:$AA$12,$K$18+1,FALSE),0)</f>
        <v>3.7499999999999999E-2</v>
      </c>
      <c r="L19" s="69">
        <v>0</v>
      </c>
      <c r="M19" s="66">
        <f t="shared" ref="M19:M24" si="4">E19</f>
        <v>-2814988</v>
      </c>
      <c r="N19" s="66">
        <f t="shared" ref="N19:N24" si="5">G19</f>
        <v>0</v>
      </c>
      <c r="O19" s="50">
        <f>ROUND(K19*-H19,0)</f>
        <v>0</v>
      </c>
      <c r="P19" s="70">
        <f t="shared" ref="P19:P24" si="6">SUM(L19:O19)</f>
        <v>-2814988</v>
      </c>
      <c r="Q19" s="36"/>
      <c r="R19" s="66">
        <f>C19+P19</f>
        <v>-0.5</v>
      </c>
    </row>
    <row r="20" spans="1:18" x14ac:dyDescent="0.35">
      <c r="A20" s="36">
        <v>8</v>
      </c>
      <c r="B20" s="36" t="s">
        <v>0</v>
      </c>
      <c r="C20" s="55">
        <f t="shared" ref="C20:C24" si="7">C7</f>
        <v>0</v>
      </c>
      <c r="D20" s="137">
        <v>1</v>
      </c>
      <c r="E20" s="50">
        <f>ROUND(C20*-D20,0)</f>
        <v>0</v>
      </c>
      <c r="F20" s="66">
        <f>C20+E20</f>
        <v>0</v>
      </c>
      <c r="G20" s="66">
        <f t="shared" si="2"/>
        <v>0</v>
      </c>
      <c r="H20" s="67">
        <f t="shared" si="3"/>
        <v>0</v>
      </c>
      <c r="I20" s="36"/>
      <c r="J20" s="36">
        <v>15</v>
      </c>
      <c r="K20" s="68">
        <f>IFERROR(VLOOKUP(J20,'Tax Rates'!$A$1:$AA$12,$K$18+1,FALSE),0)</f>
        <v>0.05</v>
      </c>
      <c r="L20" s="69">
        <v>0</v>
      </c>
      <c r="M20" s="66">
        <f t="shared" si="4"/>
        <v>0</v>
      </c>
      <c r="N20" s="66">
        <f t="shared" si="5"/>
        <v>0</v>
      </c>
      <c r="O20" s="50">
        <f>ROUND(K20*-H20,0)</f>
        <v>0</v>
      </c>
      <c r="P20" s="70">
        <f t="shared" si="6"/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si="7"/>
        <v>4917.2699999999995</v>
      </c>
      <c r="D21" s="138">
        <v>1</v>
      </c>
      <c r="E21" s="50">
        <f>ROUND(C21*-D21,0)</f>
        <v>-4917</v>
      </c>
      <c r="F21" s="66">
        <f>C21+E21</f>
        <v>0.26999999999952706</v>
      </c>
      <c r="G21" s="66">
        <f t="shared" si="2"/>
        <v>0</v>
      </c>
      <c r="H21" s="67">
        <f t="shared" si="3"/>
        <v>0.26999999999952706</v>
      </c>
      <c r="I21" s="36"/>
      <c r="J21" s="36">
        <v>20</v>
      </c>
      <c r="K21" s="68">
        <f>IFERROR(VLOOKUP(J21,'Tax Rates'!$A$1:$AA$12,$K$18+1,FALSE),0)</f>
        <v>3.7499999999999999E-2</v>
      </c>
      <c r="L21" s="69">
        <v>0</v>
      </c>
      <c r="M21" s="66">
        <f t="shared" si="4"/>
        <v>-4917</v>
      </c>
      <c r="N21" s="66">
        <f t="shared" si="5"/>
        <v>0</v>
      </c>
      <c r="O21" s="50">
        <f>ROUND(K21*-H21,0)</f>
        <v>0</v>
      </c>
      <c r="P21" s="70">
        <f t="shared" si="6"/>
        <v>-4917</v>
      </c>
      <c r="Q21" s="36"/>
      <c r="R21" s="66">
        <f>C21+P21</f>
        <v>0.26999999999952706</v>
      </c>
    </row>
    <row r="22" spans="1:18" x14ac:dyDescent="0.35">
      <c r="A22" s="36">
        <v>10</v>
      </c>
      <c r="B22" s="36" t="s">
        <v>16</v>
      </c>
      <c r="C22" s="55">
        <f t="shared" si="7"/>
        <v>0</v>
      </c>
      <c r="D22" s="65">
        <v>0</v>
      </c>
      <c r="E22" s="50">
        <f t="shared" ref="E22:E24" si="8">ROUND(C22*-D22,0)</f>
        <v>0</v>
      </c>
      <c r="F22" s="66">
        <f>C22+E22</f>
        <v>0</v>
      </c>
      <c r="G22" s="66">
        <f t="shared" si="2"/>
        <v>0</v>
      </c>
      <c r="H22" s="67">
        <f t="shared" si="3"/>
        <v>0</v>
      </c>
      <c r="I22" s="36"/>
      <c r="J22" s="36">
        <v>7</v>
      </c>
      <c r="K22" s="68">
        <f>IFERROR(VLOOKUP(J22,'Tax Rates'!$A$1:$AA$12,$K$18+1,FALSE),0)</f>
        <v>0.1429</v>
      </c>
      <c r="L22" s="69">
        <v>0</v>
      </c>
      <c r="M22" s="66">
        <f t="shared" si="4"/>
        <v>0</v>
      </c>
      <c r="N22" s="66">
        <f t="shared" si="5"/>
        <v>0</v>
      </c>
      <c r="O22" s="50">
        <f>ROUND(K22*-H22,0)</f>
        <v>0</v>
      </c>
      <c r="P22" s="70">
        <f t="shared" si="6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7"/>
        <v>0</v>
      </c>
      <c r="D23" s="65">
        <v>0</v>
      </c>
      <c r="E23" s="50">
        <f t="shared" si="8"/>
        <v>0</v>
      </c>
      <c r="F23" s="66">
        <f>C23+E23</f>
        <v>0</v>
      </c>
      <c r="G23" s="66">
        <f t="shared" si="2"/>
        <v>0</v>
      </c>
      <c r="H23" s="67">
        <f t="shared" si="3"/>
        <v>0</v>
      </c>
      <c r="I23" s="36"/>
      <c r="J23" s="36">
        <v>15</v>
      </c>
      <c r="K23" s="68">
        <f>IFERROR(VLOOKUP(J23,'Tax Rates'!$A$1:$AA$12,$K$18+1,FALSE),0)</f>
        <v>0.05</v>
      </c>
      <c r="L23" s="69">
        <v>0</v>
      </c>
      <c r="M23" s="66">
        <f t="shared" si="4"/>
        <v>0</v>
      </c>
      <c r="N23" s="66">
        <f t="shared" si="5"/>
        <v>0</v>
      </c>
      <c r="O23" s="50">
        <f>ROUND(K23*-H23,0)</f>
        <v>0</v>
      </c>
      <c r="P23" s="70">
        <f t="shared" si="6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 t="shared" si="7"/>
        <v>107500</v>
      </c>
      <c r="D24" s="220">
        <v>1</v>
      </c>
      <c r="E24" s="52">
        <f t="shared" si="8"/>
        <v>-107500</v>
      </c>
      <c r="F24" s="71">
        <v>0</v>
      </c>
      <c r="G24" s="71">
        <f t="shared" si="2"/>
        <v>0</v>
      </c>
      <c r="H24" s="72">
        <f t="shared" si="3"/>
        <v>0</v>
      </c>
      <c r="I24" s="36"/>
      <c r="J24" s="29" t="s">
        <v>55</v>
      </c>
      <c r="K24" s="73" t="s">
        <v>55</v>
      </c>
      <c r="L24" s="74">
        <v>0</v>
      </c>
      <c r="M24" s="71">
        <f t="shared" si="4"/>
        <v>-107500</v>
      </c>
      <c r="N24" s="75">
        <f t="shared" si="5"/>
        <v>0</v>
      </c>
      <c r="O24" s="52">
        <v>0</v>
      </c>
      <c r="P24" s="76">
        <f t="shared" si="6"/>
        <v>-107500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2927404.77</v>
      </c>
      <c r="D25" s="36"/>
      <c r="E25" s="50">
        <f>SUM(E19:E24)</f>
        <v>-2927405</v>
      </c>
      <c r="F25" s="50">
        <f>SUM(F19:F24)</f>
        <v>-0.23000000000047294</v>
      </c>
      <c r="G25" s="50">
        <f>SUM(G19:G24)</f>
        <v>0</v>
      </c>
      <c r="H25" s="70">
        <f>SUM(H19:H24)</f>
        <v>-0.23000000000047294</v>
      </c>
      <c r="I25" s="36"/>
      <c r="J25" s="36"/>
      <c r="K25" s="36"/>
      <c r="L25" s="70">
        <f>SUM(L19:L24)</f>
        <v>0</v>
      </c>
      <c r="M25" s="50">
        <f>SUM(M19:M24)</f>
        <v>-2927405</v>
      </c>
      <c r="N25" s="50">
        <f>SUM(N19:N24)</f>
        <v>0</v>
      </c>
      <c r="O25" s="50">
        <f>SUM(O19:O24)</f>
        <v>0</v>
      </c>
      <c r="P25" s="70">
        <f>SUM(P19:P24)</f>
        <v>-2927405</v>
      </c>
      <c r="Q25" s="36"/>
      <c r="R25" s="66">
        <f>SUM(R19:R24)</f>
        <v>-0.23000000000047294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 t="shared" ref="D31:D36" si="9">J6</f>
        <v>2731100.5</v>
      </c>
      <c r="E31" s="66">
        <f t="shared" ref="E31:E36" si="10">R19</f>
        <v>-0.5</v>
      </c>
      <c r="F31" s="66">
        <f>E31-D31</f>
        <v>-2731101</v>
      </c>
      <c r="G31" s="80">
        <v>0.2495</v>
      </c>
      <c r="H31" s="66">
        <f>ROUND(F31*G31,0)</f>
        <v>-681410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 t="shared" si="9"/>
        <v>0</v>
      </c>
      <c r="E32" s="66">
        <f t="shared" si="10"/>
        <v>0</v>
      </c>
      <c r="F32" s="66">
        <f>E32-D32</f>
        <v>0</v>
      </c>
      <c r="G32" s="79">
        <f>G31</f>
        <v>0.2495</v>
      </c>
      <c r="H32" s="66">
        <f t="shared" ref="H32:H36" si="11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9"/>
        <v>4753.2699999999995</v>
      </c>
      <c r="E33" s="66">
        <f t="shared" si="10"/>
        <v>0.26999999999952706</v>
      </c>
      <c r="F33" s="66">
        <f>E33-D33</f>
        <v>-4753</v>
      </c>
      <c r="G33" s="79">
        <f>G31</f>
        <v>0.2495</v>
      </c>
      <c r="H33" s="66">
        <f t="shared" si="11"/>
        <v>-1186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9"/>
        <v>0</v>
      </c>
      <c r="E34" s="66">
        <f t="shared" si="10"/>
        <v>0</v>
      </c>
      <c r="F34" s="66">
        <f>E34-D34</f>
        <v>0</v>
      </c>
      <c r="G34" s="79">
        <f>G31</f>
        <v>0.2495</v>
      </c>
      <c r="H34" s="66">
        <f t="shared" si="11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9"/>
        <v>0</v>
      </c>
      <c r="E35" s="66">
        <f t="shared" si="10"/>
        <v>0</v>
      </c>
      <c r="F35" s="66">
        <f>E35-D35</f>
        <v>0</v>
      </c>
      <c r="G35" s="79">
        <f>G31</f>
        <v>0.2495</v>
      </c>
      <c r="H35" s="66">
        <f t="shared" si="11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9"/>
        <v>107198</v>
      </c>
      <c r="E36" s="77" t="str">
        <f t="shared" si="10"/>
        <v>NA</v>
      </c>
      <c r="F36" s="71">
        <f>-D36</f>
        <v>-107198</v>
      </c>
      <c r="G36" s="81">
        <f>G31</f>
        <v>0.2495</v>
      </c>
      <c r="H36" s="71">
        <f t="shared" si="11"/>
        <v>-26746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2843051.77</v>
      </c>
      <c r="E37" s="66">
        <f>SUM(E31:E36)</f>
        <v>-0.23000000000047294</v>
      </c>
      <c r="F37" s="66">
        <f>SUM(F31:F36)</f>
        <v>-2843052</v>
      </c>
      <c r="G37" s="36"/>
      <c r="H37" s="66">
        <f>SUM(H31:H36)</f>
        <v>-709342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0"/>
  <sheetViews>
    <sheetView view="pageBreakPreview" topLeftCell="A9" zoomScaleNormal="80" zoomScaleSheetLayoutView="100" workbookViewId="0">
      <selection activeCell="F22" sqref="F22"/>
    </sheetView>
  </sheetViews>
  <sheetFormatPr defaultColWidth="9.1796875" defaultRowHeight="14.5" x14ac:dyDescent="0.35"/>
  <cols>
    <col min="1" max="1" width="4.7265625" style="36" customWidth="1"/>
    <col min="2" max="2" width="38.453125" style="36" customWidth="1"/>
    <col min="3" max="3" width="16" style="36" bestFit="1" customWidth="1"/>
    <col min="4" max="4" width="2.7265625" style="36" customWidth="1"/>
    <col min="5" max="5" width="12.54296875" style="36" customWidth="1"/>
    <col min="6" max="16384" width="9.1796875" style="36"/>
  </cols>
  <sheetData>
    <row r="1" spans="1:6" x14ac:dyDescent="0.35">
      <c r="A1" s="35" t="s">
        <v>47</v>
      </c>
      <c r="F1" s="84" t="s">
        <v>129</v>
      </c>
    </row>
    <row r="2" spans="1:6" x14ac:dyDescent="0.35">
      <c r="A2" s="35" t="s">
        <v>61</v>
      </c>
    </row>
    <row r="3" spans="1:6" x14ac:dyDescent="0.35">
      <c r="A3" s="85"/>
      <c r="B3" s="85"/>
      <c r="C3" s="85"/>
      <c r="D3" s="85"/>
      <c r="E3" s="85"/>
    </row>
    <row r="5" spans="1:6" x14ac:dyDescent="0.35">
      <c r="A5" s="35" t="s">
        <v>76</v>
      </c>
    </row>
    <row r="6" spans="1:6" x14ac:dyDescent="0.35">
      <c r="B6" s="35"/>
    </row>
    <row r="7" spans="1:6" x14ac:dyDescent="0.35">
      <c r="B7" s="35"/>
    </row>
    <row r="8" spans="1:6" x14ac:dyDescent="0.35">
      <c r="B8" s="36" t="s">
        <v>240</v>
      </c>
      <c r="C8" s="86">
        <f>-'Sch II 2023 Yr 4'!G12</f>
        <v>201950</v>
      </c>
    </row>
    <row r="9" spans="1:6" x14ac:dyDescent="0.35">
      <c r="B9" s="36" t="s">
        <v>159</v>
      </c>
      <c r="C9" s="86">
        <f>-'Sch II 2024 Yr 3'!G12</f>
        <v>270567</v>
      </c>
    </row>
    <row r="10" spans="1:6" x14ac:dyDescent="0.35">
      <c r="B10" s="36" t="s">
        <v>193</v>
      </c>
      <c r="C10" s="86">
        <f>-'Sch II 2025 Yr 2'!G12</f>
        <v>256897</v>
      </c>
    </row>
    <row r="11" spans="1:6" x14ac:dyDescent="0.35">
      <c r="B11" s="36" t="s">
        <v>243</v>
      </c>
      <c r="C11" s="227">
        <f>-'Sch II 2026 Yr 1'!G12</f>
        <v>84353</v>
      </c>
    </row>
    <row r="12" spans="1:6" x14ac:dyDescent="0.35">
      <c r="B12" s="35"/>
      <c r="C12" s="87">
        <f>SUM(C8:C11)</f>
        <v>813767</v>
      </c>
    </row>
    <row r="13" spans="1:6" x14ac:dyDescent="0.35">
      <c r="A13" s="85"/>
      <c r="B13" s="85"/>
      <c r="C13" s="85"/>
      <c r="D13" s="85"/>
      <c r="E13" s="85"/>
    </row>
    <row r="15" spans="1:6" x14ac:dyDescent="0.35">
      <c r="A15" s="35" t="s">
        <v>160</v>
      </c>
    </row>
    <row r="17" spans="1:5" ht="15" customHeight="1" x14ac:dyDescent="0.35">
      <c r="B17" s="280" t="s">
        <v>161</v>
      </c>
    </row>
    <row r="18" spans="1:5" x14ac:dyDescent="0.35">
      <c r="A18" s="84"/>
      <c r="B18" s="280"/>
      <c r="C18" s="86">
        <v>180758</v>
      </c>
    </row>
    <row r="19" spans="1:5" x14ac:dyDescent="0.35">
      <c r="C19" s="86"/>
    </row>
    <row r="20" spans="1:5" ht="29" x14ac:dyDescent="0.35">
      <c r="B20" s="140" t="s">
        <v>259</v>
      </c>
      <c r="C20" s="274">
        <v>180889</v>
      </c>
    </row>
    <row r="21" spans="1:5" x14ac:dyDescent="0.35">
      <c r="C21" s="86"/>
    </row>
    <row r="22" spans="1:5" x14ac:dyDescent="0.35">
      <c r="B22" s="36" t="s">
        <v>162</v>
      </c>
      <c r="C22" s="86">
        <f>IF(C18&gt;C20,C20-C18,0)</f>
        <v>0</v>
      </c>
    </row>
    <row r="23" spans="1:5" x14ac:dyDescent="0.35">
      <c r="A23" s="85"/>
      <c r="B23" s="85"/>
      <c r="C23" s="85"/>
      <c r="D23" s="85"/>
      <c r="E23" s="85"/>
    </row>
    <row r="25" spans="1:5" x14ac:dyDescent="0.35">
      <c r="A25" s="35" t="s">
        <v>62</v>
      </c>
      <c r="C25" s="49"/>
      <c r="D25" s="49"/>
      <c r="E25" s="49"/>
    </row>
    <row r="26" spans="1:5" x14ac:dyDescent="0.35">
      <c r="A26" s="61" t="s">
        <v>60</v>
      </c>
      <c r="B26" s="166" t="s">
        <v>251</v>
      </c>
      <c r="C26" s="35"/>
      <c r="D26" s="35"/>
    </row>
    <row r="27" spans="1:5" x14ac:dyDescent="0.35">
      <c r="B27" s="51" t="s">
        <v>124</v>
      </c>
      <c r="C27" s="50">
        <v>197156696</v>
      </c>
    </row>
    <row r="28" spans="1:5" x14ac:dyDescent="0.35">
      <c r="C28" s="271"/>
    </row>
    <row r="29" spans="1:5" x14ac:dyDescent="0.35">
      <c r="B29" s="36" t="s">
        <v>252</v>
      </c>
      <c r="C29" s="50">
        <v>2358443</v>
      </c>
    </row>
    <row r="30" spans="1:5" x14ac:dyDescent="0.35">
      <c r="C30" s="271"/>
    </row>
    <row r="31" spans="1:5" x14ac:dyDescent="0.35">
      <c r="B31" s="36" t="s">
        <v>63</v>
      </c>
      <c r="C31" s="272">
        <f>C29/C27</f>
        <v>1.1962276949498078E-2</v>
      </c>
    </row>
    <row r="32" spans="1:5" x14ac:dyDescent="0.35">
      <c r="C32" s="271"/>
    </row>
    <row r="33" spans="1:5" x14ac:dyDescent="0.35">
      <c r="B33" s="36" t="s">
        <v>125</v>
      </c>
      <c r="C33" s="52">
        <f>SUM('Sch I Summary'!E8:H10)</f>
        <v>25318485.683000002</v>
      </c>
    </row>
    <row r="34" spans="1:5" x14ac:dyDescent="0.35">
      <c r="C34" s="271"/>
    </row>
    <row r="35" spans="1:5" x14ac:dyDescent="0.35">
      <c r="B35" s="36" t="s">
        <v>126</v>
      </c>
      <c r="C35" s="273">
        <f>C31*C33</f>
        <v>302866.73768194806</v>
      </c>
    </row>
    <row r="36" spans="1:5" x14ac:dyDescent="0.35">
      <c r="A36" s="85"/>
      <c r="B36" s="85"/>
      <c r="C36" s="85"/>
      <c r="D36" s="85"/>
      <c r="E36" s="85"/>
    </row>
    <row r="38" spans="1:5" x14ac:dyDescent="0.35">
      <c r="A38" s="35" t="s">
        <v>127</v>
      </c>
      <c r="B38" s="35"/>
      <c r="C38" s="57">
        <f>C35+C12+C22</f>
        <v>1116633.7376819481</v>
      </c>
    </row>
    <row r="40" spans="1:5" x14ac:dyDescent="0.35">
      <c r="A40" s="61" t="s">
        <v>60</v>
      </c>
      <c r="B40" s="88" t="s">
        <v>128</v>
      </c>
    </row>
  </sheetData>
  <mergeCells count="1">
    <mergeCell ref="B17:B18"/>
  </mergeCells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6859-61C6-477A-AED8-91518EC0F5A8}">
  <sheetPr>
    <pageSetUpPr fitToPage="1"/>
  </sheetPr>
  <dimension ref="A1:R33"/>
  <sheetViews>
    <sheetView zoomScaleNormal="100" workbookViewId="0">
      <selection activeCell="K4" sqref="K4"/>
    </sheetView>
  </sheetViews>
  <sheetFormatPr defaultColWidth="9.1796875" defaultRowHeight="14.5" x14ac:dyDescent="0.35"/>
  <cols>
    <col min="1" max="1" width="3.7265625" customWidth="1"/>
    <col min="2" max="2" width="19.54296875" customWidth="1"/>
    <col min="3" max="3" width="7.54296875" customWidth="1"/>
    <col min="4" max="4" width="8" bestFit="1" customWidth="1"/>
    <col min="5" max="6" width="9" bestFit="1" customWidth="1"/>
    <col min="7" max="14" width="10.54296875" bestFit="1" customWidth="1"/>
    <col min="15" max="15" width="12.81640625" bestFit="1" customWidth="1"/>
    <col min="16" max="16" width="11.26953125" bestFit="1" customWidth="1"/>
    <col min="17" max="17" width="10.54296875" bestFit="1" customWidth="1"/>
    <col min="18" max="18" width="10.26953125" customWidth="1"/>
  </cols>
  <sheetData>
    <row r="1" spans="1:18" x14ac:dyDescent="0.35">
      <c r="A1" s="141" t="s">
        <v>66</v>
      </c>
      <c r="B1" s="141"/>
      <c r="C1" s="182"/>
      <c r="D1" s="13"/>
      <c r="E1" s="183"/>
      <c r="F1" s="13"/>
      <c r="G1" s="13"/>
      <c r="H1" s="13"/>
      <c r="I1" s="13"/>
      <c r="J1" s="13"/>
      <c r="K1" s="13"/>
      <c r="L1" s="183"/>
      <c r="M1" s="13"/>
      <c r="N1" s="13"/>
      <c r="O1" s="13"/>
      <c r="P1" s="183"/>
      <c r="Q1" s="13"/>
      <c r="R1" s="183" t="s">
        <v>219</v>
      </c>
    </row>
    <row r="2" spans="1:18" x14ac:dyDescent="0.35">
      <c r="A2" s="141" t="s">
        <v>220</v>
      </c>
      <c r="B2" s="141"/>
      <c r="C2" s="182"/>
      <c r="D2" s="13"/>
      <c r="E2" s="18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3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x14ac:dyDescent="0.35">
      <c r="C4" s="182" t="s">
        <v>221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3"/>
      <c r="R4" s="13"/>
    </row>
    <row r="5" spans="1:18" ht="29" x14ac:dyDescent="0.35">
      <c r="A5" s="208" t="s">
        <v>222</v>
      </c>
      <c r="B5" s="208"/>
      <c r="C5" s="209">
        <v>44926</v>
      </c>
      <c r="D5" s="209">
        <v>44957</v>
      </c>
      <c r="E5" s="209">
        <v>44985</v>
      </c>
      <c r="F5" s="209">
        <v>45016</v>
      </c>
      <c r="G5" s="209">
        <v>45046</v>
      </c>
      <c r="H5" s="209">
        <v>45077</v>
      </c>
      <c r="I5" s="209">
        <v>45107</v>
      </c>
      <c r="J5" s="209">
        <v>45138</v>
      </c>
      <c r="K5" s="209">
        <v>45169</v>
      </c>
      <c r="L5" s="209">
        <v>45199</v>
      </c>
      <c r="M5" s="209">
        <v>45230</v>
      </c>
      <c r="N5" s="209">
        <v>45260</v>
      </c>
      <c r="O5" s="210">
        <v>45291</v>
      </c>
      <c r="P5" s="185" t="s">
        <v>223</v>
      </c>
      <c r="Q5" s="211" t="s">
        <v>224</v>
      </c>
      <c r="R5" s="212" t="s">
        <v>225</v>
      </c>
    </row>
    <row r="6" spans="1:18" x14ac:dyDescent="0.35">
      <c r="A6" s="15" t="s">
        <v>54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156475</v>
      </c>
      <c r="L6" s="13">
        <f>K6+3487</f>
        <v>159962</v>
      </c>
      <c r="M6" s="13">
        <f>L6+1634</f>
        <v>161596</v>
      </c>
      <c r="N6" s="13">
        <f>M6+411</f>
        <v>162007</v>
      </c>
      <c r="O6" s="213">
        <f>N6+307</f>
        <v>162314</v>
      </c>
      <c r="P6" s="187">
        <f>O6</f>
        <v>162314</v>
      </c>
      <c r="Q6" s="188">
        <f>SUM(C6:O6)/13</f>
        <v>61719.538461538461</v>
      </c>
      <c r="R6" s="13">
        <v>152375</v>
      </c>
    </row>
    <row r="7" spans="1:18" x14ac:dyDescent="0.35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6"/>
      <c r="P7" s="187"/>
      <c r="Q7" s="188"/>
      <c r="R7" s="13"/>
    </row>
    <row r="8" spans="1:18" x14ac:dyDescent="0.35">
      <c r="A8" s="15" t="s">
        <v>45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86"/>
      <c r="P8" s="187"/>
      <c r="Q8" s="188"/>
      <c r="R8" s="13"/>
    </row>
    <row r="9" spans="1:18" x14ac:dyDescent="0.35">
      <c r="B9" t="s">
        <v>167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f>24865.1</f>
        <v>24865.1</v>
      </c>
      <c r="J9" s="13">
        <f>I9+36804.1</f>
        <v>61669.2</v>
      </c>
      <c r="K9" s="13">
        <f>J9+2563.75</f>
        <v>64232.95</v>
      </c>
      <c r="L9" s="13">
        <f>K9</f>
        <v>64232.95</v>
      </c>
      <c r="M9" s="13">
        <f>L9</f>
        <v>64232.95</v>
      </c>
      <c r="N9" s="13">
        <f>M9</f>
        <v>64232.95</v>
      </c>
      <c r="O9" s="186">
        <f>N9</f>
        <v>64232.95</v>
      </c>
      <c r="P9" s="187">
        <f>O9</f>
        <v>64232.95</v>
      </c>
      <c r="Q9" s="188">
        <f>SUM(C9:O9)/13</f>
        <v>31361.465384615389</v>
      </c>
      <c r="R9" s="13">
        <v>46523</v>
      </c>
    </row>
    <row r="10" spans="1:18" x14ac:dyDescent="0.35">
      <c r="B10" t="s">
        <v>163</v>
      </c>
      <c r="C10" s="13">
        <v>0</v>
      </c>
      <c r="D10" s="13">
        <f>18087.45+-2342.19</f>
        <v>15745.26</v>
      </c>
      <c r="E10" s="13">
        <f>D10+14363.33+3654.98+19314.48</f>
        <v>53078.05</v>
      </c>
      <c r="F10" s="13">
        <f>E10+53372.67+40849.33+609.65+262.43+8504.05</f>
        <v>156676.17999999996</v>
      </c>
      <c r="G10" s="13">
        <f>F10+49254.51+60351.13+48073.4+54042.33+160335.36+7841.3+18004.62</f>
        <v>554578.82999999996</v>
      </c>
      <c r="H10" s="13">
        <f>G10+14842.58+76520.96+25986.08+70847.01+156701.99+66.91+1783.94</f>
        <v>901328.29999999981</v>
      </c>
      <c r="I10" s="13">
        <f>H10+399.97+53515.94+82414.65+110569.66+163269.08+912.28+21636.1</f>
        <v>1334045.98</v>
      </c>
      <c r="J10" s="13">
        <f>I10+1705.08+31730.72+81425.53+37054.45+110765.04+441.75+4595.17</f>
        <v>1601763.72</v>
      </c>
      <c r="K10" s="13">
        <f>J10+42814.85+12014.24+423.12+-5480.86+45479.81</f>
        <v>1697014.8800000001</v>
      </c>
      <c r="L10" s="13">
        <f>K10+18628.24+24910.22+2057.1+2834.89+52115.53+44397.58</f>
        <v>1841958.4400000002</v>
      </c>
      <c r="M10" s="13">
        <f>L10+337.92+42956.73+725.41+2063.47+64192.09+3796.7</f>
        <v>1956030.76</v>
      </c>
      <c r="N10" s="13">
        <f>M10+1194.81+38013.65+-258.46+22889.28+296.35</f>
        <v>2018166.3900000001</v>
      </c>
      <c r="O10" s="186">
        <f>N10+11601.71+2631.94+41828.06+6988.24+4732.51</f>
        <v>2085948.85</v>
      </c>
      <c r="P10" s="187">
        <f t="shared" ref="P10:P12" si="0">O10</f>
        <v>2085948.85</v>
      </c>
      <c r="Q10" s="188">
        <f>SUM(D10:O10)/13</f>
        <v>1093564.28</v>
      </c>
      <c r="R10" s="13">
        <v>727547</v>
      </c>
    </row>
    <row r="11" spans="1:18" x14ac:dyDescent="0.35">
      <c r="B11" t="s">
        <v>165</v>
      </c>
      <c r="C11" s="13">
        <v>0</v>
      </c>
      <c r="D11" s="13">
        <f>5078.1</f>
        <v>5078.1000000000004</v>
      </c>
      <c r="E11" s="13">
        <f>D11+3365.39</f>
        <v>8443.49</v>
      </c>
      <c r="F11" s="13">
        <f>E11+32511.64</f>
        <v>40955.129999999997</v>
      </c>
      <c r="G11" s="13">
        <f>F11+317681.37</f>
        <v>358636.5</v>
      </c>
      <c r="H11" s="13">
        <f>G11+301482.22</f>
        <v>660118.72</v>
      </c>
      <c r="I11" s="13">
        <f>H11+2354.01</f>
        <v>662472.73</v>
      </c>
      <c r="J11" s="13">
        <f>I11+618.73</f>
        <v>663091.46</v>
      </c>
      <c r="K11" s="13">
        <f>J11</f>
        <v>663091.46</v>
      </c>
      <c r="L11" s="13">
        <f>K11</f>
        <v>663091.46</v>
      </c>
      <c r="M11" s="13">
        <f>L11</f>
        <v>663091.46</v>
      </c>
      <c r="N11" s="13">
        <f>M11</f>
        <v>663091.46</v>
      </c>
      <c r="O11" s="186">
        <f>N11</f>
        <v>663091.46</v>
      </c>
      <c r="P11" s="187">
        <f t="shared" si="0"/>
        <v>663091.46</v>
      </c>
      <c r="Q11" s="188">
        <f t="shared" ref="Q11:Q14" si="1">SUM(C11:O11)/13</f>
        <v>439557.95615384611</v>
      </c>
      <c r="R11" s="13">
        <v>414959</v>
      </c>
    </row>
    <row r="12" spans="1:18" x14ac:dyDescent="0.35">
      <c r="B12" t="s">
        <v>164</v>
      </c>
      <c r="C12" s="13">
        <v>0</v>
      </c>
      <c r="D12" s="13">
        <f>1199.01+-953.68+150.34</f>
        <v>395.67000000000007</v>
      </c>
      <c r="E12" s="13">
        <f>D12+952.14+1488.2+6321.45+99.64</f>
        <v>9257.0999999999985</v>
      </c>
      <c r="F12" s="13">
        <f>E12+3538.04+16632.71+7761.25+962.56+754.37+92.37+13575.59</f>
        <v>52573.990000000005</v>
      </c>
      <c r="G12" s="13">
        <f>F12+3265.05+24573.31+15733.98+203.67+9405.45+66870.59+56436.06+12517.6</f>
        <v>241579.69999999998</v>
      </c>
      <c r="H12" s="13">
        <f>G12+983.91+31157.22+8505+8925.85+87664.27+55157.16+3966.77</f>
        <v>437939.88</v>
      </c>
      <c r="I12" s="13">
        <f>H12+26.51+21790.21+26973.55+69.69+136816.07+57468.69+8322.01+385.98+5563.71+6712.87+1700.18</f>
        <v>703769.35000000009</v>
      </c>
      <c r="J12" s="13">
        <f>I12+113.03+12919.87+26649.82+18.32+45850.22+38987.92+705.2+11477.5+3036.86+843.73+9880.45+20395.46+176.56+18433.36</f>
        <v>893257.64999999991</v>
      </c>
      <c r="K12" s="13">
        <f>J12+17433.02+3932.15+523.56+-1929.2+72602.44+99.82+55.4+439.7+199.38+343219.67+12151.46+1302.23</f>
        <v>1343287.28</v>
      </c>
      <c r="L12" s="13">
        <f>K12+7584.91+8152.88+2545.4+997.84+83195.49+13.15+358700.7+26.3</f>
        <v>1804503.9499999997</v>
      </c>
      <c r="M12" s="13">
        <f>L12+137.59+14059.33+897.6+726.32+102474.09+341442.81+41977.35</f>
        <v>2306219.04</v>
      </c>
      <c r="N12" s="13">
        <f>M12+486.49+12441.51+-90.98+36539.69+141258.69+6454.88</f>
        <v>2503309.3199999998</v>
      </c>
      <c r="O12" s="186">
        <f>N12+769.07+1071.65+13689.93+11155.8+38107.86+2314.6</f>
        <v>2570418.2299999995</v>
      </c>
      <c r="P12" s="187">
        <f t="shared" si="0"/>
        <v>2570418.2299999995</v>
      </c>
      <c r="Q12" s="188">
        <f t="shared" si="1"/>
        <v>989731.62769230769</v>
      </c>
      <c r="R12" s="13">
        <v>1954917</v>
      </c>
    </row>
    <row r="13" spans="1:18" x14ac:dyDescent="0.35">
      <c r="B13" t="s">
        <v>226</v>
      </c>
      <c r="C13" s="13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86"/>
      <c r="P13" s="187">
        <v>0</v>
      </c>
      <c r="Q13" s="188">
        <v>0</v>
      </c>
      <c r="R13" s="13">
        <v>81507</v>
      </c>
    </row>
    <row r="14" spans="1:18" x14ac:dyDescent="0.35">
      <c r="B14" t="s">
        <v>227</v>
      </c>
      <c r="C14" s="13">
        <v>0</v>
      </c>
      <c r="D14" s="13">
        <f>49.46</f>
        <v>49.46</v>
      </c>
      <c r="E14" s="13">
        <f>D14+32.78</f>
        <v>82.240000000000009</v>
      </c>
      <c r="F14" s="13">
        <f>E14+316.63</f>
        <v>398.87</v>
      </c>
      <c r="G14" s="13">
        <f>F14+3093.9</f>
        <v>3492.77</v>
      </c>
      <c r="H14" s="13">
        <f>G14+2936.13</f>
        <v>6428.9</v>
      </c>
      <c r="I14" s="13">
        <f>H14+22.93</f>
        <v>6451.83</v>
      </c>
      <c r="J14" s="13">
        <f>I14+6.03</f>
        <v>6457.86</v>
      </c>
      <c r="K14" s="13">
        <f t="shared" ref="K14:P14" si="2">J14</f>
        <v>6457.86</v>
      </c>
      <c r="L14" s="13">
        <f t="shared" si="2"/>
        <v>6457.86</v>
      </c>
      <c r="M14" s="13">
        <f t="shared" si="2"/>
        <v>6457.86</v>
      </c>
      <c r="N14" s="13">
        <f t="shared" si="2"/>
        <v>6457.86</v>
      </c>
      <c r="O14" s="186">
        <f t="shared" si="2"/>
        <v>6457.86</v>
      </c>
      <c r="P14" s="187">
        <f t="shared" si="2"/>
        <v>6457.86</v>
      </c>
      <c r="Q14" s="188">
        <f t="shared" si="1"/>
        <v>4280.8638461538467</v>
      </c>
      <c r="R14" s="13">
        <v>1145</v>
      </c>
    </row>
    <row r="15" spans="1:18" x14ac:dyDescent="0.35">
      <c r="A15" s="15" t="s">
        <v>228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6"/>
      <c r="P15" s="187"/>
      <c r="Q15" s="188"/>
      <c r="R15" s="13"/>
    </row>
    <row r="16" spans="1:18" x14ac:dyDescent="0.35">
      <c r="B16" t="s">
        <v>229</v>
      </c>
      <c r="C16" s="188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f>3219.34</f>
        <v>3219.34</v>
      </c>
      <c r="K16" s="184">
        <f>J16+26.48</f>
        <v>3245.82</v>
      </c>
      <c r="L16" s="184">
        <f>K16</f>
        <v>3245.82</v>
      </c>
      <c r="M16" s="184">
        <f>L16</f>
        <v>3245.82</v>
      </c>
      <c r="N16" s="184">
        <f>M16</f>
        <v>3245.82</v>
      </c>
      <c r="O16" s="186">
        <f>N16</f>
        <v>3245.82</v>
      </c>
      <c r="P16" s="187">
        <f>O16</f>
        <v>3245.82</v>
      </c>
      <c r="Q16" s="188">
        <f t="shared" ref="Q16" si="3">SUM(C16:O16)/13</f>
        <v>1496.0338461538461</v>
      </c>
      <c r="R16" s="13"/>
    </row>
    <row r="17" spans="1:18" x14ac:dyDescent="0.35">
      <c r="A17" s="15" t="s">
        <v>230</v>
      </c>
      <c r="C17" s="188"/>
      <c r="D17" s="184"/>
      <c r="E17" s="184"/>
      <c r="F17" s="184"/>
      <c r="G17" s="184"/>
      <c r="H17" s="184"/>
      <c r="I17" s="188"/>
      <c r="J17" s="184"/>
      <c r="K17" s="184"/>
      <c r="L17" s="188"/>
      <c r="M17" s="188"/>
      <c r="N17" s="188"/>
      <c r="O17" s="186"/>
      <c r="P17" s="187"/>
      <c r="Q17" s="188"/>
      <c r="R17" s="13"/>
    </row>
    <row r="18" spans="1:18" x14ac:dyDescent="0.35">
      <c r="B18" t="s">
        <v>231</v>
      </c>
      <c r="C18" s="188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f>18143.94</f>
        <v>18143.939999999999</v>
      </c>
      <c r="J18" s="91">
        <f>I18+10514.35</f>
        <v>28658.29</v>
      </c>
      <c r="K18" s="91">
        <f>J18+2824.3</f>
        <v>31482.59</v>
      </c>
      <c r="L18" s="91">
        <f>K18+17374.91</f>
        <v>48857.5</v>
      </c>
      <c r="M18" s="91">
        <f>L18+849.16</f>
        <v>49706.66</v>
      </c>
      <c r="N18" s="91">
        <f>M18+4172</f>
        <v>53878.66</v>
      </c>
      <c r="O18" s="214">
        <f>N18</f>
        <v>53878.66</v>
      </c>
      <c r="P18" s="215">
        <f>O18</f>
        <v>53878.66</v>
      </c>
      <c r="Q18" s="215">
        <f t="shared" ref="Q18" si="4">SUM(C18:O18)/13</f>
        <v>21892.792307692307</v>
      </c>
      <c r="R18" s="14"/>
    </row>
    <row r="19" spans="1:18" x14ac:dyDescent="0.35">
      <c r="C19" s="188"/>
      <c r="D19" s="188">
        <f>SUM(D9:D18)</f>
        <v>21268.489999999998</v>
      </c>
      <c r="E19" s="188">
        <f t="shared" ref="E19:N19" si="5">SUM(E9:E18)</f>
        <v>70860.88</v>
      </c>
      <c r="F19" s="188">
        <f t="shared" si="5"/>
        <v>250604.16999999998</v>
      </c>
      <c r="G19" s="188">
        <f t="shared" si="5"/>
        <v>1158287.8</v>
      </c>
      <c r="H19" s="188">
        <f t="shared" si="5"/>
        <v>2005815.7999999998</v>
      </c>
      <c r="I19" s="188">
        <f t="shared" si="5"/>
        <v>2749748.93</v>
      </c>
      <c r="J19" s="188">
        <f t="shared" si="5"/>
        <v>3258117.5199999996</v>
      </c>
      <c r="K19" s="188">
        <f t="shared" si="5"/>
        <v>3808812.84</v>
      </c>
      <c r="L19" s="188">
        <f t="shared" si="5"/>
        <v>4432347.9800000004</v>
      </c>
      <c r="M19" s="188">
        <f t="shared" si="5"/>
        <v>5048984.5500000007</v>
      </c>
      <c r="N19" s="188">
        <f t="shared" si="5"/>
        <v>5312382.46</v>
      </c>
      <c r="O19" s="186">
        <f>SUM(O9:O18)</f>
        <v>5447273.830000001</v>
      </c>
      <c r="P19" s="187">
        <f>SUM(P9:P18)</f>
        <v>5447273.830000001</v>
      </c>
      <c r="Q19" s="188">
        <f>SUM(C19:O19)/13</f>
        <v>2581885.019230769</v>
      </c>
      <c r="R19" s="13">
        <f>SUM(R9:R18)</f>
        <v>3226598</v>
      </c>
    </row>
    <row r="20" spans="1:18" x14ac:dyDescent="0.35">
      <c r="C20" s="188"/>
      <c r="D20" s="188"/>
      <c r="E20" s="188"/>
      <c r="F20" s="188"/>
      <c r="G20" s="188"/>
      <c r="H20" s="188"/>
      <c r="I20" s="188"/>
      <c r="J20" s="184"/>
      <c r="K20" s="184"/>
      <c r="L20" s="188"/>
      <c r="M20" s="188"/>
      <c r="N20" s="188"/>
      <c r="O20" s="186"/>
      <c r="P20" s="187"/>
      <c r="Q20" s="188"/>
      <c r="R20" s="13"/>
    </row>
    <row r="21" spans="1:18" x14ac:dyDescent="0.35">
      <c r="A21" s="15" t="s"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86"/>
      <c r="P21" s="187"/>
      <c r="Q21" s="188"/>
      <c r="R21" s="13"/>
    </row>
    <row r="22" spans="1:18" x14ac:dyDescent="0.35">
      <c r="B22" t="s">
        <v>165</v>
      </c>
      <c r="C22" s="13">
        <v>0</v>
      </c>
      <c r="D22" s="13">
        <f>22033.02</f>
        <v>22033.02</v>
      </c>
      <c r="E22" s="13">
        <f>D22+268775.57+3134.45</f>
        <v>293943.04000000004</v>
      </c>
      <c r="F22" s="13">
        <f>E22+(-39809.33+428.19)</f>
        <v>254561.90000000002</v>
      </c>
      <c r="G22" s="13">
        <f>F22+5295.88</f>
        <v>259857.78000000003</v>
      </c>
      <c r="H22" s="13">
        <f>G22+1050</f>
        <v>260907.78000000003</v>
      </c>
      <c r="I22" s="13">
        <f>H22+330.75</f>
        <v>261238.53000000003</v>
      </c>
      <c r="J22" s="13">
        <f>I22</f>
        <v>261238.53000000003</v>
      </c>
      <c r="K22" s="13">
        <f>J22</f>
        <v>261238.53000000003</v>
      </c>
      <c r="L22" s="13">
        <f>K22+66444.51</f>
        <v>327683.04000000004</v>
      </c>
      <c r="M22" s="13">
        <f>L22+47094.2</f>
        <v>374777.24000000005</v>
      </c>
      <c r="N22" s="13">
        <f>M22+4222.36</f>
        <v>378999.60000000003</v>
      </c>
      <c r="O22" s="186">
        <f>N22+32292.11</f>
        <v>411291.71</v>
      </c>
      <c r="P22" s="187">
        <f>O22</f>
        <v>411291.71</v>
      </c>
      <c r="Q22" s="188">
        <f t="shared" ref="Q22" si="6">SUM(C22:O22)/13</f>
        <v>259059.28461538468</v>
      </c>
      <c r="R22" s="13">
        <v>0</v>
      </c>
    </row>
    <row r="23" spans="1:18" x14ac:dyDescent="0.35"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6"/>
      <c r="P23" s="187"/>
      <c r="Q23" s="188"/>
      <c r="R23" s="13"/>
    </row>
    <row r="24" spans="1:18" x14ac:dyDescent="0.35"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6"/>
      <c r="P24" s="187"/>
      <c r="Q24" s="188"/>
      <c r="R24" s="13"/>
    </row>
    <row r="25" spans="1:18" x14ac:dyDescent="0.35">
      <c r="A25" s="15" t="s">
        <v>1</v>
      </c>
      <c r="C25" s="14">
        <v>0</v>
      </c>
      <c r="D25" s="14">
        <f>7935.125+1627.8+465</f>
        <v>10027.924999999999</v>
      </c>
      <c r="E25" s="14">
        <f>D25+7935.125+1627.8+2515.545+1790.5+465</f>
        <v>24361.894999999997</v>
      </c>
      <c r="F25" s="14">
        <f>E25+7935.125+2515.545+465+7731.625+8603.714+11801</f>
        <v>63413.903999999995</v>
      </c>
      <c r="G25" s="14">
        <f>F25+7935.125+1627.8+2515.545+1790.5+465+7731.625+8603.714+11801+1628</f>
        <v>107512.21299999999</v>
      </c>
      <c r="H25" s="14">
        <f>G25+7935.125+1627.8+2515.545+1790.5+465+7731.625+8603.714+1628</f>
        <v>139809.522</v>
      </c>
      <c r="I25" s="14">
        <f>H25+7935.125+1627.8+2515.545+1790.5+465+7731.625+8603.714+1628+1627.67</f>
        <v>173734.50100000002</v>
      </c>
      <c r="J25" s="14">
        <f>I25+7935.125+2515.545+1790.5+465+7731.625+8603.714+11801+1628+1628+1627.67+52629.67+1628</f>
        <v>273718.35000000003</v>
      </c>
      <c r="K25" s="14">
        <f>J25+2515.545+1790.5+7731.625+11801+1627.67+52629.67</f>
        <v>351814.36</v>
      </c>
      <c r="L25" s="14">
        <f>K25+2515.545+1790.5+7731.625+8603.714+11801+52629.67</f>
        <v>436886.41399999993</v>
      </c>
      <c r="M25" s="14">
        <f>L25+2515.545+1790.5+7731.625+8603.714+11801+52629.67</f>
        <v>521958.46799999988</v>
      </c>
      <c r="N25" s="14">
        <f>M25+2515.545+1790.5+11801+52629.67+1627.5</f>
        <v>592322.68299999996</v>
      </c>
      <c r="O25" s="215">
        <f>N25+7935.125+2515.545+1790.5+11801+52629.67+1627.5</f>
        <v>670622.02300000004</v>
      </c>
      <c r="P25" s="216">
        <f>O25</f>
        <v>670622.02300000004</v>
      </c>
      <c r="Q25" s="215">
        <f>SUM(C25:O25)/13</f>
        <v>258937.09676923073</v>
      </c>
      <c r="R25" s="14">
        <v>268961</v>
      </c>
    </row>
    <row r="26" spans="1:18" x14ac:dyDescent="0.35">
      <c r="B26" s="217" t="s">
        <v>232</v>
      </c>
      <c r="C26" s="188">
        <f t="shared" ref="C26" si="7">C6+C19+C25</f>
        <v>0</v>
      </c>
      <c r="D26" s="188">
        <f t="shared" ref="D26:R26" si="8">D6+D19+D25+D22</f>
        <v>53329.434999999998</v>
      </c>
      <c r="E26" s="188">
        <f t="shared" si="8"/>
        <v>389165.81500000006</v>
      </c>
      <c r="F26" s="188">
        <f t="shared" si="8"/>
        <v>568579.97399999993</v>
      </c>
      <c r="G26" s="188">
        <f t="shared" si="8"/>
        <v>1525657.7930000001</v>
      </c>
      <c r="H26" s="188">
        <f t="shared" si="8"/>
        <v>2406533.102</v>
      </c>
      <c r="I26" s="188">
        <f t="shared" si="8"/>
        <v>3184721.9610000001</v>
      </c>
      <c r="J26" s="188">
        <f t="shared" si="8"/>
        <v>3793074.3999999994</v>
      </c>
      <c r="K26" s="188">
        <f t="shared" si="8"/>
        <v>4578340.7300000004</v>
      </c>
      <c r="L26" s="188">
        <f t="shared" si="8"/>
        <v>5356879.4340000004</v>
      </c>
      <c r="M26" s="188">
        <f t="shared" si="8"/>
        <v>6107316.2580000013</v>
      </c>
      <c r="N26" s="188">
        <f t="shared" si="8"/>
        <v>6445711.7429999998</v>
      </c>
      <c r="O26" s="188">
        <f t="shared" si="8"/>
        <v>6691501.563000001</v>
      </c>
      <c r="P26" s="188">
        <f t="shared" si="8"/>
        <v>6691501.563000001</v>
      </c>
      <c r="Q26" s="188">
        <f t="shared" si="8"/>
        <v>3161600.9390769233</v>
      </c>
      <c r="R26" s="184">
        <f t="shared" si="8"/>
        <v>3647934</v>
      </c>
    </row>
    <row r="30" spans="1:18" x14ac:dyDescent="0.35">
      <c r="O30" s="113"/>
    </row>
    <row r="33" spans="15:15" x14ac:dyDescent="0.35">
      <c r="O33" s="113"/>
    </row>
  </sheetData>
  <pageMargins left="0.7" right="0.7" top="0.75" bottom="0.75" header="0.3" footer="0.3"/>
  <pageSetup scale="6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7"/>
  <sheetViews>
    <sheetView zoomScaleNormal="100" zoomScaleSheetLayoutView="100" workbookViewId="0">
      <selection activeCell="J5" sqref="J5"/>
    </sheetView>
  </sheetViews>
  <sheetFormatPr defaultRowHeight="14.5" x14ac:dyDescent="0.35"/>
  <cols>
    <col min="1" max="1" width="3.7265625" style="237" customWidth="1"/>
    <col min="2" max="2" width="19.54296875" style="237" customWidth="1"/>
    <col min="3" max="3" width="9.1796875" style="237" bestFit="1" customWidth="1"/>
    <col min="4" max="6" width="9" style="237" bestFit="1" customWidth="1"/>
    <col min="7" max="10" width="10.54296875" style="252" bestFit="1" customWidth="1"/>
    <col min="11" max="14" width="10.54296875" style="237" bestFit="1" customWidth="1"/>
    <col min="15" max="15" width="12.81640625" style="237" bestFit="1" customWidth="1"/>
    <col min="16" max="16" width="11.26953125" style="237" bestFit="1" customWidth="1"/>
    <col min="17" max="17" width="10.54296875" style="237" bestFit="1" customWidth="1"/>
    <col min="18" max="18" width="10.26953125" style="267" customWidth="1"/>
    <col min="19" max="20" width="9.1796875" style="237"/>
  </cols>
  <sheetData>
    <row r="1" spans="1:18" x14ac:dyDescent="0.35">
      <c r="A1" s="232" t="s">
        <v>66</v>
      </c>
      <c r="B1" s="233"/>
      <c r="C1" s="234"/>
      <c r="D1" s="235"/>
      <c r="E1" s="236"/>
      <c r="F1" s="235"/>
      <c r="G1" s="235"/>
      <c r="H1" s="235"/>
      <c r="I1" s="235"/>
      <c r="J1" s="235"/>
      <c r="K1" s="235"/>
      <c r="L1" s="236"/>
      <c r="M1" s="235"/>
      <c r="N1" s="235"/>
      <c r="O1" s="235"/>
      <c r="P1" s="236"/>
      <c r="Q1" s="235"/>
      <c r="R1" s="106" t="s">
        <v>219</v>
      </c>
    </row>
    <row r="2" spans="1:18" x14ac:dyDescent="0.35">
      <c r="A2" s="238" t="s">
        <v>255</v>
      </c>
      <c r="B2" s="239"/>
      <c r="C2" s="240"/>
      <c r="D2" s="241"/>
      <c r="E2" s="24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1:18" x14ac:dyDescent="0.35">
      <c r="A3" s="242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</row>
    <row r="4" spans="1:18" x14ac:dyDescent="0.35">
      <c r="A4" s="242"/>
      <c r="C4" s="240" t="s">
        <v>221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1"/>
      <c r="R4" s="241"/>
    </row>
    <row r="5" spans="1:18" ht="43.5" x14ac:dyDescent="0.35">
      <c r="A5" s="243" t="s">
        <v>222</v>
      </c>
      <c r="B5" s="244"/>
      <c r="C5" s="209">
        <v>45291</v>
      </c>
      <c r="D5" s="209">
        <v>45322</v>
      </c>
      <c r="E5" s="209">
        <v>45350</v>
      </c>
      <c r="F5" s="209">
        <v>45382</v>
      </c>
      <c r="G5" s="209">
        <v>45412</v>
      </c>
      <c r="H5" s="209">
        <v>45443</v>
      </c>
      <c r="I5" s="209">
        <v>45473</v>
      </c>
      <c r="J5" s="209">
        <v>45504</v>
      </c>
      <c r="K5" s="209">
        <v>45535</v>
      </c>
      <c r="L5" s="209">
        <v>45565</v>
      </c>
      <c r="M5" s="209">
        <v>45596</v>
      </c>
      <c r="N5" s="209">
        <v>45626</v>
      </c>
      <c r="O5" s="245" t="s">
        <v>256</v>
      </c>
      <c r="P5" s="211" t="s">
        <v>257</v>
      </c>
      <c r="Q5" s="211" t="s">
        <v>224</v>
      </c>
      <c r="R5" s="211" t="s">
        <v>225</v>
      </c>
    </row>
    <row r="6" spans="1:18" x14ac:dyDescent="0.35">
      <c r="A6" s="246" t="s">
        <v>54</v>
      </c>
      <c r="C6" s="241">
        <v>1207</v>
      </c>
      <c r="D6" s="241">
        <f>C6+55972</f>
        <v>57179</v>
      </c>
      <c r="E6" s="241">
        <f>D6</f>
        <v>57179</v>
      </c>
      <c r="F6" s="241">
        <f>E6+11826</f>
        <v>69005</v>
      </c>
      <c r="G6" s="241">
        <f>F6+629</f>
        <v>69634</v>
      </c>
      <c r="H6" s="241">
        <f>G6+475</f>
        <v>70109</v>
      </c>
      <c r="I6" s="241">
        <f>H6+20158</f>
        <v>90267</v>
      </c>
      <c r="J6" s="241">
        <f>I6+39153</f>
        <v>129420</v>
      </c>
      <c r="K6" s="241">
        <f>J6+43.59</f>
        <v>129463.59</v>
      </c>
      <c r="L6" s="241">
        <f>K6</f>
        <v>129463.59</v>
      </c>
      <c r="M6" s="241">
        <f>L6+2021.12</f>
        <v>131484.71</v>
      </c>
      <c r="N6" s="241">
        <f>M6+18021.64</f>
        <v>149506.34999999998</v>
      </c>
      <c r="O6" s="213">
        <f>N6+15244.56</f>
        <v>164750.90999999997</v>
      </c>
      <c r="P6" s="187">
        <f>O6-C6</f>
        <v>163543.90999999997</v>
      </c>
      <c r="Q6" s="187">
        <f>SUM(C6:O6)/13</f>
        <v>96051.473076923052</v>
      </c>
      <c r="R6" s="187">
        <v>170000</v>
      </c>
    </row>
    <row r="7" spans="1:18" x14ac:dyDescent="0.35">
      <c r="A7" s="24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186"/>
      <c r="P7" s="187"/>
      <c r="Q7" s="187"/>
      <c r="R7" s="187"/>
    </row>
    <row r="8" spans="1:18" x14ac:dyDescent="0.35">
      <c r="A8" s="246" t="s">
        <v>45</v>
      </c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186"/>
      <c r="P8" s="187"/>
      <c r="Q8" s="187"/>
      <c r="R8" s="187">
        <v>3062898</v>
      </c>
    </row>
    <row r="9" spans="1:18" x14ac:dyDescent="0.35">
      <c r="A9" s="242"/>
      <c r="B9" s="237" t="s">
        <v>163</v>
      </c>
      <c r="C9" s="241">
        <v>67782</v>
      </c>
      <c r="D9" s="241">
        <f>C9+12928.81</f>
        <v>80710.81</v>
      </c>
      <c r="E9" s="241">
        <f>D9+23975.71</f>
        <v>104686.51999999999</v>
      </c>
      <c r="F9" s="241">
        <f>E9+38611.95</f>
        <v>143298.46999999997</v>
      </c>
      <c r="G9" s="241">
        <f>F9+58708.21</f>
        <v>202006.67999999996</v>
      </c>
      <c r="H9" s="241">
        <f>G9+104554.33</f>
        <v>306561.00999999995</v>
      </c>
      <c r="I9" s="241">
        <f>H9+87660.48</f>
        <v>394221.48999999993</v>
      </c>
      <c r="J9" s="241">
        <f>I9+92523.51</f>
        <v>486744.99999999994</v>
      </c>
      <c r="K9" s="241">
        <f>J9+194883.98</f>
        <v>681628.98</v>
      </c>
      <c r="L9" s="241">
        <f>K9+142394.07</f>
        <v>824023.05</v>
      </c>
      <c r="M9" s="241">
        <f>L9+218885.78</f>
        <v>1042908.8300000001</v>
      </c>
      <c r="N9" s="241">
        <f>M9+34670.39</f>
        <v>1077579.22</v>
      </c>
      <c r="O9" s="186">
        <f>N9+1076.94</f>
        <v>1078656.1599999999</v>
      </c>
      <c r="P9" s="187">
        <f>O9-C9</f>
        <v>1010874.1599999999</v>
      </c>
      <c r="Q9" s="187">
        <f t="shared" ref="Q9:Q11" si="0">SUM(C9:O9)/13</f>
        <v>499292.94</v>
      </c>
      <c r="R9" s="187"/>
    </row>
    <row r="10" spans="1:18" x14ac:dyDescent="0.35">
      <c r="A10" s="242"/>
      <c r="B10" s="237" t="s">
        <v>164</v>
      </c>
      <c r="C10" s="241">
        <v>67109</v>
      </c>
      <c r="D10" s="241">
        <f>C10+32886.65</f>
        <v>99995.65</v>
      </c>
      <c r="E10" s="241">
        <f>D10+78656.29</f>
        <v>178651.94</v>
      </c>
      <c r="F10" s="241">
        <f>E10+50497.45</f>
        <v>229149.39</v>
      </c>
      <c r="G10" s="241">
        <f>F10+276333.78</f>
        <v>505483.17000000004</v>
      </c>
      <c r="H10" s="241">
        <f>G10+559599.54</f>
        <v>1065082.71</v>
      </c>
      <c r="I10" s="241">
        <f>H10+547407.11</f>
        <v>1612489.8199999998</v>
      </c>
      <c r="J10" s="241">
        <f>I10+940891.77</f>
        <v>2553381.59</v>
      </c>
      <c r="K10" s="241">
        <f>J10+618730.35</f>
        <v>3172111.94</v>
      </c>
      <c r="L10" s="241">
        <f>K10+743418.49</f>
        <v>3915530.4299999997</v>
      </c>
      <c r="M10" s="241">
        <f>L10+1214379.14</f>
        <v>5129909.5699999994</v>
      </c>
      <c r="N10" s="241">
        <f>M10+649699.72</f>
        <v>5779609.2899999991</v>
      </c>
      <c r="O10" s="186">
        <f>N10+289908.48</f>
        <v>6069517.7699999996</v>
      </c>
      <c r="P10" s="187">
        <f>O10-C10</f>
        <v>6002408.7699999996</v>
      </c>
      <c r="Q10" s="187">
        <f t="shared" si="0"/>
        <v>2336770.9438461536</v>
      </c>
      <c r="R10" s="187"/>
    </row>
    <row r="11" spans="1:18" x14ac:dyDescent="0.35">
      <c r="A11" s="242"/>
      <c r="B11" s="237" t="s">
        <v>226</v>
      </c>
      <c r="C11" s="241"/>
      <c r="D11" s="241">
        <f t="shared" ref="D11:J11" si="1">C11</f>
        <v>0</v>
      </c>
      <c r="E11" s="241">
        <f t="shared" si="1"/>
        <v>0</v>
      </c>
      <c r="F11" s="241">
        <f t="shared" si="1"/>
        <v>0</v>
      </c>
      <c r="G11" s="241">
        <f t="shared" si="1"/>
        <v>0</v>
      </c>
      <c r="H11" s="241">
        <f t="shared" si="1"/>
        <v>0</v>
      </c>
      <c r="I11" s="241">
        <f t="shared" si="1"/>
        <v>0</v>
      </c>
      <c r="J11" s="241">
        <f t="shared" si="1"/>
        <v>0</v>
      </c>
      <c r="K11" s="241">
        <v>3565.11</v>
      </c>
      <c r="L11" s="241">
        <f>K11+4784.16</f>
        <v>8349.27</v>
      </c>
      <c r="M11" s="241">
        <f>L11+982.45</f>
        <v>9331.7200000000012</v>
      </c>
      <c r="N11" s="241">
        <f>M11</f>
        <v>9331.7200000000012</v>
      </c>
      <c r="O11" s="186">
        <f>N11</f>
        <v>9331.7200000000012</v>
      </c>
      <c r="P11" s="187">
        <f>O11-C11</f>
        <v>9331.7200000000012</v>
      </c>
      <c r="Q11" s="187">
        <f t="shared" si="0"/>
        <v>3069.9646153846161</v>
      </c>
      <c r="R11" s="187"/>
    </row>
    <row r="12" spans="1:18" x14ac:dyDescent="0.35">
      <c r="A12" s="246" t="s">
        <v>230</v>
      </c>
      <c r="C12" s="24"/>
      <c r="D12" s="24"/>
      <c r="E12" s="24"/>
      <c r="F12" s="24"/>
      <c r="G12" s="24"/>
      <c r="H12" s="24"/>
      <c r="I12" s="187"/>
      <c r="J12" s="24"/>
      <c r="K12" s="24"/>
      <c r="L12" s="187"/>
      <c r="M12" s="187"/>
      <c r="N12" s="187"/>
      <c r="O12" s="186"/>
      <c r="P12" s="187"/>
      <c r="Q12" s="187"/>
      <c r="R12" s="187"/>
    </row>
    <row r="13" spans="1:18" x14ac:dyDescent="0.35">
      <c r="A13" s="242"/>
      <c r="B13" s="237" t="s">
        <v>231</v>
      </c>
      <c r="C13" s="91"/>
      <c r="D13" s="91">
        <v>0</v>
      </c>
      <c r="E13" s="91">
        <v>0</v>
      </c>
      <c r="F13" s="91">
        <v>16645.36</v>
      </c>
      <c r="G13" s="91">
        <v>22443.83</v>
      </c>
      <c r="H13" s="91">
        <v>22443.83</v>
      </c>
      <c r="I13" s="91">
        <v>38099.740000000005</v>
      </c>
      <c r="J13" s="91">
        <v>193622.31</v>
      </c>
      <c r="K13" s="91">
        <v>324680.16000000003</v>
      </c>
      <c r="L13" s="91">
        <v>445981.93000000005</v>
      </c>
      <c r="M13" s="91">
        <v>547101.41</v>
      </c>
      <c r="N13" s="91">
        <v>573604.77</v>
      </c>
      <c r="O13" s="214">
        <v>573604.77</v>
      </c>
      <c r="P13" s="215">
        <f>O13-C13</f>
        <v>573604.77</v>
      </c>
      <c r="Q13" s="215">
        <f>SUM(C13:O13)/13</f>
        <v>212171.39307692309</v>
      </c>
      <c r="R13" s="215"/>
    </row>
    <row r="14" spans="1:18" x14ac:dyDescent="0.35">
      <c r="A14" s="242"/>
      <c r="C14" s="187">
        <f t="shared" ref="C14:O14" si="2">SUM(C9:C13)</f>
        <v>134891</v>
      </c>
      <c r="D14" s="187">
        <f t="shared" si="2"/>
        <v>180706.46</v>
      </c>
      <c r="E14" s="187">
        <f t="shared" si="2"/>
        <v>283338.45999999996</v>
      </c>
      <c r="F14" s="187">
        <f t="shared" si="2"/>
        <v>389093.22</v>
      </c>
      <c r="G14" s="187">
        <f t="shared" si="2"/>
        <v>729933.67999999993</v>
      </c>
      <c r="H14" s="187">
        <f t="shared" si="2"/>
        <v>1394087.55</v>
      </c>
      <c r="I14" s="187">
        <f t="shared" si="2"/>
        <v>2044811.0499999998</v>
      </c>
      <c r="J14" s="187">
        <f t="shared" si="2"/>
        <v>3233748.9</v>
      </c>
      <c r="K14" s="187">
        <f t="shared" si="2"/>
        <v>4181986.19</v>
      </c>
      <c r="L14" s="187">
        <f t="shared" si="2"/>
        <v>5193884.6799999988</v>
      </c>
      <c r="M14" s="187">
        <f t="shared" si="2"/>
        <v>6729251.5299999993</v>
      </c>
      <c r="N14" s="187">
        <f t="shared" si="2"/>
        <v>7440124.9999999981</v>
      </c>
      <c r="O14" s="186">
        <f t="shared" si="2"/>
        <v>7731110.4199999999</v>
      </c>
      <c r="P14" s="187">
        <f>O14-C14</f>
        <v>7596219.4199999999</v>
      </c>
      <c r="Q14" s="187">
        <f t="shared" ref="Q14:Q17" si="3">SUM(C14:O14)/13</f>
        <v>3051305.2415384618</v>
      </c>
      <c r="R14" s="187">
        <f>SUM(R8:R13)</f>
        <v>3062898</v>
      </c>
    </row>
    <row r="15" spans="1:18" x14ac:dyDescent="0.35">
      <c r="A15" s="242"/>
      <c r="C15" s="187"/>
      <c r="D15" s="187"/>
      <c r="E15" s="187"/>
      <c r="F15" s="187"/>
      <c r="G15" s="187"/>
      <c r="H15" s="187"/>
      <c r="I15" s="187"/>
      <c r="J15" s="24"/>
      <c r="K15" s="24"/>
      <c r="L15" s="187"/>
      <c r="M15" s="187"/>
      <c r="N15" s="187"/>
      <c r="O15" s="186"/>
      <c r="P15" s="187"/>
      <c r="Q15" s="187">
        <f t="shared" si="3"/>
        <v>0</v>
      </c>
      <c r="R15" s="187"/>
    </row>
    <row r="16" spans="1:18" x14ac:dyDescent="0.35">
      <c r="A16" s="242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7"/>
      <c r="Q16" s="187">
        <f t="shared" si="3"/>
        <v>0</v>
      </c>
      <c r="R16" s="187"/>
    </row>
    <row r="17" spans="1:18" x14ac:dyDescent="0.35">
      <c r="A17" s="246" t="s">
        <v>1</v>
      </c>
      <c r="C17" s="14">
        <v>78299</v>
      </c>
      <c r="D17" s="14">
        <v>78299.340000000084</v>
      </c>
      <c r="E17" s="14">
        <v>78299.340000000084</v>
      </c>
      <c r="F17" s="14">
        <v>78299.340000000084</v>
      </c>
      <c r="G17" s="14">
        <v>78299.340000000084</v>
      </c>
      <c r="H17" s="14">
        <v>78299.340000000084</v>
      </c>
      <c r="I17" s="14">
        <v>78299.340000000084</v>
      </c>
      <c r="J17" s="14">
        <v>78299.340000000084</v>
      </c>
      <c r="K17" s="14">
        <v>397630.34000000008</v>
      </c>
      <c r="L17" s="14">
        <v>632619.34000000008</v>
      </c>
      <c r="M17" s="14">
        <v>867608.69000000006</v>
      </c>
      <c r="N17" s="14">
        <v>1015604.6900000001</v>
      </c>
      <c r="O17" s="215">
        <v>1233619.24</v>
      </c>
      <c r="P17" s="216">
        <f>O17-C17</f>
        <v>1155320.24</v>
      </c>
      <c r="Q17" s="215">
        <f t="shared" si="3"/>
        <v>367190.51384615392</v>
      </c>
      <c r="R17" s="215">
        <v>327750</v>
      </c>
    </row>
    <row r="18" spans="1:18" x14ac:dyDescent="0.35">
      <c r="A18" s="242"/>
      <c r="B18" s="247" t="s">
        <v>232</v>
      </c>
      <c r="C18" s="187">
        <f t="shared" ref="C18:Q18" si="4">C6+C14+C17</f>
        <v>214397</v>
      </c>
      <c r="D18" s="187">
        <f t="shared" si="4"/>
        <v>316184.80000000005</v>
      </c>
      <c r="E18" s="187">
        <f t="shared" si="4"/>
        <v>418816.80000000005</v>
      </c>
      <c r="F18" s="187">
        <f t="shared" si="4"/>
        <v>536397.56000000006</v>
      </c>
      <c r="G18" s="187">
        <f t="shared" si="4"/>
        <v>877867.02</v>
      </c>
      <c r="H18" s="187">
        <f t="shared" si="4"/>
        <v>1542495.8900000001</v>
      </c>
      <c r="I18" s="187">
        <f t="shared" si="4"/>
        <v>2213377.3899999997</v>
      </c>
      <c r="J18" s="187">
        <f t="shared" si="4"/>
        <v>3441468.24</v>
      </c>
      <c r="K18" s="187">
        <f t="shared" si="4"/>
        <v>4709080.12</v>
      </c>
      <c r="L18" s="187">
        <f t="shared" si="4"/>
        <v>5955967.6099999985</v>
      </c>
      <c r="M18" s="187">
        <f t="shared" si="4"/>
        <v>7728344.9299999997</v>
      </c>
      <c r="N18" s="187">
        <f t="shared" si="4"/>
        <v>8605236.0399999972</v>
      </c>
      <c r="O18" s="187">
        <f t="shared" si="4"/>
        <v>9129480.5700000003</v>
      </c>
      <c r="P18" s="187">
        <f t="shared" si="4"/>
        <v>8915083.5700000003</v>
      </c>
      <c r="Q18" s="187">
        <f t="shared" si="4"/>
        <v>3514547.2284615389</v>
      </c>
      <c r="R18" s="187">
        <f>R6+R14+R17</f>
        <v>3560648</v>
      </c>
    </row>
    <row r="19" spans="1:18" x14ac:dyDescent="0.35">
      <c r="A19" s="24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</row>
    <row r="20" spans="1:18" x14ac:dyDescent="0.35">
      <c r="A20" s="24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</row>
    <row r="21" spans="1:18" x14ac:dyDescent="0.35">
      <c r="A21" s="242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</row>
    <row r="22" spans="1:18" x14ac:dyDescent="0.35">
      <c r="A22" s="248"/>
      <c r="B22" s="249"/>
      <c r="C22" s="248"/>
      <c r="D22" s="109"/>
      <c r="E22" s="250"/>
      <c r="F22" s="251"/>
      <c r="H22" s="253"/>
      <c r="L22" s="254"/>
      <c r="M22" s="255"/>
    </row>
    <row r="23" spans="1:18" x14ac:dyDescent="0.35">
      <c r="A23" s="248"/>
      <c r="B23" s="249"/>
      <c r="C23" s="248"/>
      <c r="D23" s="153"/>
      <c r="E23" s="156"/>
      <c r="F23" s="251"/>
      <c r="J23" s="253"/>
      <c r="L23" s="254"/>
      <c r="M23" s="255"/>
    </row>
    <row r="24" spans="1:18" x14ac:dyDescent="0.35">
      <c r="A24" s="248"/>
      <c r="B24" s="249"/>
      <c r="C24" s="248"/>
      <c r="D24" s="109"/>
      <c r="E24" s="155"/>
      <c r="F24" s="251"/>
      <c r="H24" s="256"/>
      <c r="L24" s="254"/>
      <c r="M24" s="255"/>
    </row>
    <row r="25" spans="1:18" x14ac:dyDescent="0.35">
      <c r="A25" s="248"/>
      <c r="B25" s="257"/>
      <c r="C25" s="248"/>
      <c r="D25" s="109"/>
      <c r="E25" s="155"/>
      <c r="F25" s="251"/>
      <c r="L25" s="254"/>
      <c r="M25" s="255"/>
    </row>
    <row r="26" spans="1:18" x14ac:dyDescent="0.35">
      <c r="A26" s="248"/>
      <c r="B26" s="249"/>
      <c r="C26" s="248"/>
      <c r="D26" s="109"/>
      <c r="E26" s="250"/>
      <c r="F26" s="251"/>
      <c r="H26" s="253"/>
      <c r="L26" s="254"/>
      <c r="M26" s="255"/>
    </row>
    <row r="27" spans="1:18" x14ac:dyDescent="0.35">
      <c r="A27" s="248"/>
      <c r="B27" s="249"/>
      <c r="C27" s="248"/>
      <c r="D27" s="109"/>
      <c r="E27" s="250"/>
      <c r="F27" s="251"/>
      <c r="H27" s="253"/>
      <c r="L27" s="254"/>
      <c r="M27" s="255"/>
    </row>
    <row r="28" spans="1:18" x14ac:dyDescent="0.35">
      <c r="A28" s="248"/>
      <c r="B28" s="249"/>
      <c r="C28" s="248"/>
      <c r="D28" s="109"/>
      <c r="E28" s="250"/>
      <c r="F28" s="251"/>
      <c r="H28" s="253"/>
      <c r="L28" s="254"/>
      <c r="M28" s="255"/>
    </row>
    <row r="29" spans="1:18" x14ac:dyDescent="0.35">
      <c r="A29" s="248"/>
      <c r="B29" s="249"/>
      <c r="C29" s="248"/>
      <c r="D29" s="153"/>
      <c r="E29" s="156"/>
      <c r="F29" s="251"/>
      <c r="J29" s="253"/>
      <c r="L29" s="254"/>
      <c r="M29" s="255"/>
    </row>
    <row r="30" spans="1:18" x14ac:dyDescent="0.35">
      <c r="A30" s="248"/>
      <c r="B30" s="257"/>
      <c r="C30" s="248"/>
      <c r="D30" s="109"/>
      <c r="E30" s="155"/>
      <c r="L30" s="254"/>
      <c r="M30" s="255"/>
    </row>
    <row r="31" spans="1:18" x14ac:dyDescent="0.35">
      <c r="A31" s="248"/>
      <c r="B31" s="257"/>
      <c r="C31" s="248"/>
      <c r="D31" s="153"/>
      <c r="E31" s="156"/>
      <c r="G31" s="256"/>
      <c r="H31" s="256"/>
      <c r="I31" s="256"/>
      <c r="J31" s="256"/>
      <c r="K31" s="255"/>
      <c r="L31" s="254"/>
      <c r="M31" s="255"/>
    </row>
    <row r="32" spans="1:18" x14ac:dyDescent="0.35">
      <c r="A32" s="248"/>
      <c r="B32" s="249"/>
      <c r="C32" s="248"/>
      <c r="D32" s="258"/>
      <c r="E32" s="250"/>
      <c r="H32" s="253"/>
      <c r="L32" s="254"/>
      <c r="M32" s="255"/>
    </row>
    <row r="33" spans="1:13" x14ac:dyDescent="0.35">
      <c r="A33" s="248"/>
      <c r="B33" s="249"/>
      <c r="C33" s="248"/>
      <c r="D33" s="153"/>
      <c r="E33" s="156"/>
      <c r="J33" s="253"/>
      <c r="L33" s="254"/>
      <c r="M33" s="255"/>
    </row>
    <row r="34" spans="1:13" x14ac:dyDescent="0.35">
      <c r="A34" s="248"/>
      <c r="B34" s="257"/>
      <c r="C34" s="248"/>
      <c r="D34" s="109"/>
      <c r="E34" s="155"/>
      <c r="L34" s="254"/>
      <c r="M34" s="255"/>
    </row>
    <row r="35" spans="1:13" x14ac:dyDescent="0.35">
      <c r="A35" s="248"/>
      <c r="B35" s="257"/>
      <c r="C35" s="248"/>
      <c r="D35" s="109"/>
      <c r="E35" s="155"/>
      <c r="L35" s="254"/>
      <c r="M35" s="255"/>
    </row>
    <row r="36" spans="1:13" x14ac:dyDescent="0.35">
      <c r="A36" s="248"/>
      <c r="B36" s="249"/>
      <c r="C36" s="248"/>
      <c r="D36" s="258"/>
      <c r="E36" s="250"/>
      <c r="H36" s="253"/>
      <c r="L36" s="254"/>
      <c r="M36" s="255"/>
    </row>
    <row r="37" spans="1:13" x14ac:dyDescent="0.35">
      <c r="A37" s="248"/>
      <c r="B37" s="249"/>
      <c r="C37" s="248"/>
      <c r="D37" s="153"/>
      <c r="E37" s="156"/>
      <c r="J37" s="253"/>
      <c r="L37" s="254"/>
      <c r="M37" s="255"/>
    </row>
    <row r="38" spans="1:13" x14ac:dyDescent="0.35">
      <c r="A38" s="248"/>
      <c r="B38" s="249"/>
      <c r="C38" s="248"/>
      <c r="D38" s="109"/>
      <c r="E38" s="155"/>
      <c r="L38" s="254"/>
      <c r="M38" s="255"/>
    </row>
    <row r="39" spans="1:13" x14ac:dyDescent="0.35">
      <c r="A39" s="248"/>
      <c r="B39" s="249"/>
      <c r="C39" s="248"/>
      <c r="D39" s="109"/>
      <c r="E39" s="155"/>
      <c r="L39" s="254"/>
      <c r="M39" s="255"/>
    </row>
    <row r="40" spans="1:13" x14ac:dyDescent="0.35">
      <c r="A40" s="248"/>
      <c r="B40" s="249"/>
      <c r="C40" s="248"/>
      <c r="D40" s="258"/>
      <c r="E40" s="250"/>
      <c r="L40" s="254"/>
      <c r="M40" s="255"/>
    </row>
    <row r="41" spans="1:13" x14ac:dyDescent="0.35">
      <c r="A41" s="248"/>
      <c r="B41" s="249"/>
      <c r="C41" s="248"/>
      <c r="D41" s="153"/>
      <c r="E41" s="156"/>
      <c r="L41" s="254"/>
      <c r="M41" s="255"/>
    </row>
    <row r="42" spans="1:13" x14ac:dyDescent="0.35">
      <c r="A42" s="248"/>
      <c r="B42" s="249"/>
      <c r="C42" s="248"/>
      <c r="D42" s="109"/>
      <c r="E42" s="155"/>
      <c r="L42" s="254"/>
      <c r="M42" s="255"/>
    </row>
    <row r="43" spans="1:13" x14ac:dyDescent="0.35">
      <c r="A43" s="248"/>
      <c r="B43" s="249"/>
      <c r="C43" s="248"/>
      <c r="D43" s="109"/>
      <c r="E43" s="155"/>
      <c r="L43" s="254"/>
      <c r="M43" s="255"/>
    </row>
    <row r="44" spans="1:13" x14ac:dyDescent="0.35">
      <c r="A44" s="248"/>
      <c r="B44" s="257"/>
      <c r="C44" s="248"/>
      <c r="D44" s="153"/>
      <c r="E44" s="156"/>
      <c r="H44" s="253"/>
      <c r="L44" s="254"/>
      <c r="M44" s="255"/>
    </row>
    <row r="45" spans="1:13" x14ac:dyDescent="0.35">
      <c r="A45" s="248"/>
      <c r="B45" s="257"/>
      <c r="C45" s="248"/>
      <c r="D45" s="153"/>
      <c r="E45" s="156"/>
      <c r="H45" s="253"/>
      <c r="L45" s="254"/>
      <c r="M45" s="255"/>
    </row>
    <row r="46" spans="1:13" x14ac:dyDescent="0.35">
      <c r="A46" s="248"/>
      <c r="B46" s="257"/>
      <c r="C46" s="248"/>
      <c r="D46" s="153"/>
      <c r="E46" s="156"/>
      <c r="J46" s="253"/>
      <c r="L46" s="254"/>
      <c r="M46" s="255"/>
    </row>
    <row r="47" spans="1:13" x14ac:dyDescent="0.35">
      <c r="A47" s="248"/>
      <c r="B47" s="257"/>
      <c r="C47" s="248"/>
      <c r="D47" s="153"/>
      <c r="E47" s="156"/>
      <c r="L47" s="254"/>
      <c r="M47" s="255"/>
    </row>
    <row r="48" spans="1:13" x14ac:dyDescent="0.35">
      <c r="A48" s="248"/>
      <c r="B48" s="257"/>
      <c r="C48" s="248"/>
      <c r="D48" s="153"/>
      <c r="E48" s="156"/>
      <c r="L48" s="254"/>
      <c r="M48" s="255"/>
    </row>
    <row r="49" spans="1:13" x14ac:dyDescent="0.35">
      <c r="A49" s="248"/>
      <c r="B49" s="257"/>
      <c r="C49" s="248"/>
      <c r="D49" s="153"/>
      <c r="E49" s="156"/>
      <c r="L49" s="254"/>
      <c r="M49" s="255"/>
    </row>
    <row r="50" spans="1:13" x14ac:dyDescent="0.35">
      <c r="A50" s="248"/>
      <c r="B50" s="257"/>
      <c r="C50" s="248"/>
      <c r="D50" s="153"/>
      <c r="E50" s="156"/>
      <c r="L50" s="254"/>
      <c r="M50" s="255"/>
    </row>
    <row r="51" spans="1:13" x14ac:dyDescent="0.35">
      <c r="A51" s="248"/>
      <c r="B51" s="257"/>
      <c r="C51" s="248"/>
      <c r="D51" s="153"/>
      <c r="E51" s="156"/>
      <c r="L51" s="254"/>
      <c r="M51" s="255"/>
    </row>
    <row r="52" spans="1:13" x14ac:dyDescent="0.35">
      <c r="A52" s="248"/>
      <c r="B52" s="257"/>
      <c r="C52" s="248"/>
      <c r="D52" s="153"/>
      <c r="E52" s="156"/>
      <c r="L52" s="254"/>
      <c r="M52" s="255"/>
    </row>
    <row r="53" spans="1:13" x14ac:dyDescent="0.35">
      <c r="A53" s="248"/>
      <c r="B53" s="257"/>
      <c r="C53" s="248"/>
      <c r="D53" s="153"/>
      <c r="E53" s="156"/>
      <c r="L53" s="254"/>
      <c r="M53" s="255"/>
    </row>
    <row r="54" spans="1:13" x14ac:dyDescent="0.35">
      <c r="A54" s="248"/>
      <c r="B54" s="257"/>
      <c r="C54" s="248"/>
      <c r="D54" s="153"/>
      <c r="E54" s="156"/>
      <c r="L54" s="254"/>
      <c r="M54" s="255"/>
    </row>
    <row r="55" spans="1:13" x14ac:dyDescent="0.35">
      <c r="A55" s="248"/>
      <c r="B55" s="257"/>
      <c r="C55" s="248"/>
      <c r="D55" s="153"/>
      <c r="E55" s="156"/>
      <c r="L55" s="254"/>
      <c r="M55" s="255"/>
    </row>
    <row r="56" spans="1:13" x14ac:dyDescent="0.35">
      <c r="A56" s="248"/>
      <c r="B56" s="257"/>
      <c r="C56" s="248"/>
      <c r="D56" s="153"/>
      <c r="E56" s="156"/>
      <c r="L56" s="254"/>
      <c r="M56" s="255"/>
    </row>
    <row r="57" spans="1:13" x14ac:dyDescent="0.35">
      <c r="A57" s="248"/>
      <c r="B57" s="257"/>
      <c r="C57" s="248"/>
      <c r="D57" s="153"/>
      <c r="E57" s="156"/>
      <c r="L57" s="254"/>
      <c r="M57" s="255"/>
    </row>
    <row r="58" spans="1:13" x14ac:dyDescent="0.35">
      <c r="A58" s="248"/>
      <c r="B58" s="257"/>
      <c r="C58" s="248"/>
      <c r="D58" s="153"/>
      <c r="E58" s="156"/>
      <c r="L58" s="254"/>
      <c r="M58" s="255"/>
    </row>
    <row r="59" spans="1:13" x14ac:dyDescent="0.35">
      <c r="A59" s="248"/>
      <c r="B59" s="257"/>
      <c r="C59" s="248"/>
      <c r="D59" s="153"/>
      <c r="E59" s="156"/>
      <c r="L59" s="254"/>
      <c r="M59" s="255"/>
    </row>
    <row r="60" spans="1:13" x14ac:dyDescent="0.35">
      <c r="A60" s="259"/>
      <c r="B60" s="260"/>
      <c r="C60" s="259"/>
      <c r="D60" s="106"/>
      <c r="E60" s="33"/>
      <c r="L60" s="255"/>
      <c r="M60" s="255"/>
    </row>
    <row r="61" spans="1:13" x14ac:dyDescent="0.35">
      <c r="A61" s="259"/>
      <c r="B61" s="260"/>
      <c r="C61" s="259"/>
      <c r="D61" s="24"/>
      <c r="E61" s="32"/>
      <c r="L61" s="255"/>
      <c r="M61" s="255"/>
    </row>
    <row r="62" spans="1:13" x14ac:dyDescent="0.35">
      <c r="A62" s="261"/>
      <c r="B62" s="262"/>
      <c r="C62" s="261"/>
      <c r="D62" s="24"/>
      <c r="E62" s="32"/>
      <c r="G62" s="263"/>
      <c r="H62" s="263"/>
      <c r="I62" s="263"/>
      <c r="J62" s="263"/>
      <c r="K62" s="263"/>
      <c r="L62" s="263"/>
      <c r="M62" s="264"/>
    </row>
    <row r="63" spans="1:13" x14ac:dyDescent="0.35">
      <c r="A63" s="261"/>
      <c r="B63" s="262"/>
      <c r="C63" s="261"/>
      <c r="D63" s="265"/>
      <c r="E63" s="265"/>
    </row>
    <row r="64" spans="1:13" x14ac:dyDescent="0.35">
      <c r="A64" s="266"/>
      <c r="B64" s="262"/>
      <c r="C64" s="261"/>
      <c r="D64" s="24"/>
      <c r="E64" s="265"/>
    </row>
    <row r="65" spans="1:5" x14ac:dyDescent="0.35">
      <c r="A65" s="266"/>
      <c r="B65" s="262"/>
      <c r="C65" s="261"/>
      <c r="E65" s="265"/>
    </row>
    <row r="66" spans="1:5" x14ac:dyDescent="0.35">
      <c r="A66" s="266"/>
      <c r="B66" s="262"/>
      <c r="C66" s="261"/>
      <c r="E66" s="265"/>
    </row>
    <row r="67" spans="1:5" x14ac:dyDescent="0.35">
      <c r="A67" s="266"/>
      <c r="B67" s="262"/>
      <c r="C67" s="261"/>
      <c r="E67" s="265"/>
    </row>
  </sheetData>
  <pageMargins left="0.7" right="0.7" top="0.75" bottom="0.75" header="0.3" footer="0.3"/>
  <pageSetup scale="4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5"/>
  <sheetViews>
    <sheetView view="pageBreakPreview" topLeftCell="A120" zoomScaleNormal="100" zoomScaleSheetLayoutView="100" workbookViewId="0">
      <selection activeCell="E132" sqref="E132"/>
    </sheetView>
  </sheetViews>
  <sheetFormatPr defaultRowHeight="14.5" x14ac:dyDescent="0.35"/>
  <cols>
    <col min="1" max="1" width="17.26953125" customWidth="1"/>
    <col min="2" max="2" width="22" customWidth="1"/>
    <col min="3" max="3" width="28.453125" customWidth="1"/>
    <col min="4" max="4" width="9.54296875" bestFit="1" customWidth="1"/>
    <col min="5" max="5" width="14.26953125" bestFit="1" customWidth="1"/>
    <col min="7" max="7" width="12.54296875" style="29" bestFit="1" customWidth="1"/>
    <col min="8" max="8" width="15.26953125" style="29" bestFit="1" customWidth="1"/>
    <col min="9" max="9" width="14.1796875" style="29" bestFit="1" customWidth="1"/>
    <col min="10" max="10" width="14.26953125" style="29" bestFit="1" customWidth="1"/>
    <col min="11" max="11" width="15.26953125" bestFit="1" customWidth="1"/>
    <col min="12" max="12" width="14.26953125" bestFit="1" customWidth="1"/>
    <col min="255" max="255" width="32" customWidth="1"/>
    <col min="256" max="256" width="18.7265625" customWidth="1"/>
    <col min="257" max="257" width="9.1796875" customWidth="1"/>
    <col min="258" max="258" width="13.26953125" customWidth="1"/>
    <col min="259" max="259" width="16.7265625" customWidth="1"/>
    <col min="260" max="260" width="29.1796875" customWidth="1"/>
    <col min="511" max="511" width="32" customWidth="1"/>
    <col min="512" max="512" width="18.7265625" customWidth="1"/>
    <col min="513" max="513" width="9.1796875" customWidth="1"/>
    <col min="514" max="514" width="13.26953125" customWidth="1"/>
    <col min="515" max="515" width="16.7265625" customWidth="1"/>
    <col min="516" max="516" width="29.1796875" customWidth="1"/>
    <col min="767" max="767" width="32" customWidth="1"/>
    <col min="768" max="768" width="18.7265625" customWidth="1"/>
    <col min="769" max="769" width="9.1796875" customWidth="1"/>
    <col min="770" max="770" width="13.26953125" customWidth="1"/>
    <col min="771" max="771" width="16.7265625" customWidth="1"/>
    <col min="772" max="772" width="29.1796875" customWidth="1"/>
    <col min="1023" max="1023" width="32" customWidth="1"/>
    <col min="1024" max="1024" width="18.7265625" customWidth="1"/>
    <col min="1025" max="1025" width="9.1796875" customWidth="1"/>
    <col min="1026" max="1026" width="13.26953125" customWidth="1"/>
    <col min="1027" max="1027" width="16.7265625" customWidth="1"/>
    <col min="1028" max="1028" width="29.1796875" customWidth="1"/>
    <col min="1279" max="1279" width="32" customWidth="1"/>
    <col min="1280" max="1280" width="18.7265625" customWidth="1"/>
    <col min="1281" max="1281" width="9.1796875" customWidth="1"/>
    <col min="1282" max="1282" width="13.26953125" customWidth="1"/>
    <col min="1283" max="1283" width="16.7265625" customWidth="1"/>
    <col min="1284" max="1284" width="29.1796875" customWidth="1"/>
    <col min="1535" max="1535" width="32" customWidth="1"/>
    <col min="1536" max="1536" width="18.7265625" customWidth="1"/>
    <col min="1537" max="1537" width="9.1796875" customWidth="1"/>
    <col min="1538" max="1538" width="13.26953125" customWidth="1"/>
    <col min="1539" max="1539" width="16.7265625" customWidth="1"/>
    <col min="1540" max="1540" width="29.1796875" customWidth="1"/>
    <col min="1791" max="1791" width="32" customWidth="1"/>
    <col min="1792" max="1792" width="18.7265625" customWidth="1"/>
    <col min="1793" max="1793" width="9.1796875" customWidth="1"/>
    <col min="1794" max="1794" width="13.26953125" customWidth="1"/>
    <col min="1795" max="1795" width="16.7265625" customWidth="1"/>
    <col min="1796" max="1796" width="29.1796875" customWidth="1"/>
    <col min="2047" max="2047" width="32" customWidth="1"/>
    <col min="2048" max="2048" width="18.7265625" customWidth="1"/>
    <col min="2049" max="2049" width="9.1796875" customWidth="1"/>
    <col min="2050" max="2050" width="13.26953125" customWidth="1"/>
    <col min="2051" max="2051" width="16.7265625" customWidth="1"/>
    <col min="2052" max="2052" width="29.1796875" customWidth="1"/>
    <col min="2303" max="2303" width="32" customWidth="1"/>
    <col min="2304" max="2304" width="18.7265625" customWidth="1"/>
    <col min="2305" max="2305" width="9.1796875" customWidth="1"/>
    <col min="2306" max="2306" width="13.26953125" customWidth="1"/>
    <col min="2307" max="2307" width="16.7265625" customWidth="1"/>
    <col min="2308" max="2308" width="29.1796875" customWidth="1"/>
    <col min="2559" max="2559" width="32" customWidth="1"/>
    <col min="2560" max="2560" width="18.7265625" customWidth="1"/>
    <col min="2561" max="2561" width="9.1796875" customWidth="1"/>
    <col min="2562" max="2562" width="13.26953125" customWidth="1"/>
    <col min="2563" max="2563" width="16.7265625" customWidth="1"/>
    <col min="2564" max="2564" width="29.1796875" customWidth="1"/>
    <col min="2815" max="2815" width="32" customWidth="1"/>
    <col min="2816" max="2816" width="18.7265625" customWidth="1"/>
    <col min="2817" max="2817" width="9.1796875" customWidth="1"/>
    <col min="2818" max="2818" width="13.26953125" customWidth="1"/>
    <col min="2819" max="2819" width="16.7265625" customWidth="1"/>
    <col min="2820" max="2820" width="29.1796875" customWidth="1"/>
    <col min="3071" max="3071" width="32" customWidth="1"/>
    <col min="3072" max="3072" width="18.7265625" customWidth="1"/>
    <col min="3073" max="3073" width="9.1796875" customWidth="1"/>
    <col min="3074" max="3074" width="13.26953125" customWidth="1"/>
    <col min="3075" max="3075" width="16.7265625" customWidth="1"/>
    <col min="3076" max="3076" width="29.1796875" customWidth="1"/>
    <col min="3327" max="3327" width="32" customWidth="1"/>
    <col min="3328" max="3328" width="18.7265625" customWidth="1"/>
    <col min="3329" max="3329" width="9.1796875" customWidth="1"/>
    <col min="3330" max="3330" width="13.26953125" customWidth="1"/>
    <col min="3331" max="3331" width="16.7265625" customWidth="1"/>
    <col min="3332" max="3332" width="29.1796875" customWidth="1"/>
    <col min="3583" max="3583" width="32" customWidth="1"/>
    <col min="3584" max="3584" width="18.7265625" customWidth="1"/>
    <col min="3585" max="3585" width="9.1796875" customWidth="1"/>
    <col min="3586" max="3586" width="13.26953125" customWidth="1"/>
    <col min="3587" max="3587" width="16.7265625" customWidth="1"/>
    <col min="3588" max="3588" width="29.1796875" customWidth="1"/>
    <col min="3839" max="3839" width="32" customWidth="1"/>
    <col min="3840" max="3840" width="18.7265625" customWidth="1"/>
    <col min="3841" max="3841" width="9.1796875" customWidth="1"/>
    <col min="3842" max="3842" width="13.26953125" customWidth="1"/>
    <col min="3843" max="3843" width="16.7265625" customWidth="1"/>
    <col min="3844" max="3844" width="29.1796875" customWidth="1"/>
    <col min="4095" max="4095" width="32" customWidth="1"/>
    <col min="4096" max="4096" width="18.7265625" customWidth="1"/>
    <col min="4097" max="4097" width="9.1796875" customWidth="1"/>
    <col min="4098" max="4098" width="13.26953125" customWidth="1"/>
    <col min="4099" max="4099" width="16.7265625" customWidth="1"/>
    <col min="4100" max="4100" width="29.1796875" customWidth="1"/>
    <col min="4351" max="4351" width="32" customWidth="1"/>
    <col min="4352" max="4352" width="18.7265625" customWidth="1"/>
    <col min="4353" max="4353" width="9.1796875" customWidth="1"/>
    <col min="4354" max="4354" width="13.26953125" customWidth="1"/>
    <col min="4355" max="4355" width="16.7265625" customWidth="1"/>
    <col min="4356" max="4356" width="29.1796875" customWidth="1"/>
    <col min="4607" max="4607" width="32" customWidth="1"/>
    <col min="4608" max="4608" width="18.7265625" customWidth="1"/>
    <col min="4609" max="4609" width="9.1796875" customWidth="1"/>
    <col min="4610" max="4610" width="13.26953125" customWidth="1"/>
    <col min="4611" max="4611" width="16.7265625" customWidth="1"/>
    <col min="4612" max="4612" width="29.1796875" customWidth="1"/>
    <col min="4863" max="4863" width="32" customWidth="1"/>
    <col min="4864" max="4864" width="18.7265625" customWidth="1"/>
    <col min="4865" max="4865" width="9.1796875" customWidth="1"/>
    <col min="4866" max="4866" width="13.26953125" customWidth="1"/>
    <col min="4867" max="4867" width="16.7265625" customWidth="1"/>
    <col min="4868" max="4868" width="29.1796875" customWidth="1"/>
    <col min="5119" max="5119" width="32" customWidth="1"/>
    <col min="5120" max="5120" width="18.7265625" customWidth="1"/>
    <col min="5121" max="5121" width="9.1796875" customWidth="1"/>
    <col min="5122" max="5122" width="13.26953125" customWidth="1"/>
    <col min="5123" max="5123" width="16.7265625" customWidth="1"/>
    <col min="5124" max="5124" width="29.1796875" customWidth="1"/>
    <col min="5375" max="5375" width="32" customWidth="1"/>
    <col min="5376" max="5376" width="18.7265625" customWidth="1"/>
    <col min="5377" max="5377" width="9.1796875" customWidth="1"/>
    <col min="5378" max="5378" width="13.26953125" customWidth="1"/>
    <col min="5379" max="5379" width="16.7265625" customWidth="1"/>
    <col min="5380" max="5380" width="29.1796875" customWidth="1"/>
    <col min="5631" max="5631" width="32" customWidth="1"/>
    <col min="5632" max="5632" width="18.7265625" customWidth="1"/>
    <col min="5633" max="5633" width="9.1796875" customWidth="1"/>
    <col min="5634" max="5634" width="13.26953125" customWidth="1"/>
    <col min="5635" max="5635" width="16.7265625" customWidth="1"/>
    <col min="5636" max="5636" width="29.1796875" customWidth="1"/>
    <col min="5887" max="5887" width="32" customWidth="1"/>
    <col min="5888" max="5888" width="18.7265625" customWidth="1"/>
    <col min="5889" max="5889" width="9.1796875" customWidth="1"/>
    <col min="5890" max="5890" width="13.26953125" customWidth="1"/>
    <col min="5891" max="5891" width="16.7265625" customWidth="1"/>
    <col min="5892" max="5892" width="29.1796875" customWidth="1"/>
    <col min="6143" max="6143" width="32" customWidth="1"/>
    <col min="6144" max="6144" width="18.7265625" customWidth="1"/>
    <col min="6145" max="6145" width="9.1796875" customWidth="1"/>
    <col min="6146" max="6146" width="13.26953125" customWidth="1"/>
    <col min="6147" max="6147" width="16.7265625" customWidth="1"/>
    <col min="6148" max="6148" width="29.1796875" customWidth="1"/>
    <col min="6399" max="6399" width="32" customWidth="1"/>
    <col min="6400" max="6400" width="18.7265625" customWidth="1"/>
    <col min="6401" max="6401" width="9.1796875" customWidth="1"/>
    <col min="6402" max="6402" width="13.26953125" customWidth="1"/>
    <col min="6403" max="6403" width="16.7265625" customWidth="1"/>
    <col min="6404" max="6404" width="29.1796875" customWidth="1"/>
    <col min="6655" max="6655" width="32" customWidth="1"/>
    <col min="6656" max="6656" width="18.7265625" customWidth="1"/>
    <col min="6657" max="6657" width="9.1796875" customWidth="1"/>
    <col min="6658" max="6658" width="13.26953125" customWidth="1"/>
    <col min="6659" max="6659" width="16.7265625" customWidth="1"/>
    <col min="6660" max="6660" width="29.1796875" customWidth="1"/>
    <col min="6911" max="6911" width="32" customWidth="1"/>
    <col min="6912" max="6912" width="18.7265625" customWidth="1"/>
    <col min="6913" max="6913" width="9.1796875" customWidth="1"/>
    <col min="6914" max="6914" width="13.26953125" customWidth="1"/>
    <col min="6915" max="6915" width="16.7265625" customWidth="1"/>
    <col min="6916" max="6916" width="29.1796875" customWidth="1"/>
    <col min="7167" max="7167" width="32" customWidth="1"/>
    <col min="7168" max="7168" width="18.7265625" customWidth="1"/>
    <col min="7169" max="7169" width="9.1796875" customWidth="1"/>
    <col min="7170" max="7170" width="13.26953125" customWidth="1"/>
    <col min="7171" max="7171" width="16.7265625" customWidth="1"/>
    <col min="7172" max="7172" width="29.1796875" customWidth="1"/>
    <col min="7423" max="7423" width="32" customWidth="1"/>
    <col min="7424" max="7424" width="18.7265625" customWidth="1"/>
    <col min="7425" max="7425" width="9.1796875" customWidth="1"/>
    <col min="7426" max="7426" width="13.26953125" customWidth="1"/>
    <col min="7427" max="7427" width="16.7265625" customWidth="1"/>
    <col min="7428" max="7428" width="29.1796875" customWidth="1"/>
    <col min="7679" max="7679" width="32" customWidth="1"/>
    <col min="7680" max="7680" width="18.7265625" customWidth="1"/>
    <col min="7681" max="7681" width="9.1796875" customWidth="1"/>
    <col min="7682" max="7682" width="13.26953125" customWidth="1"/>
    <col min="7683" max="7683" width="16.7265625" customWidth="1"/>
    <col min="7684" max="7684" width="29.1796875" customWidth="1"/>
    <col min="7935" max="7935" width="32" customWidth="1"/>
    <col min="7936" max="7936" width="18.7265625" customWidth="1"/>
    <col min="7937" max="7937" width="9.1796875" customWidth="1"/>
    <col min="7938" max="7938" width="13.26953125" customWidth="1"/>
    <col min="7939" max="7939" width="16.7265625" customWidth="1"/>
    <col min="7940" max="7940" width="29.1796875" customWidth="1"/>
    <col min="8191" max="8191" width="32" customWidth="1"/>
    <col min="8192" max="8192" width="18.7265625" customWidth="1"/>
    <col min="8193" max="8193" width="9.1796875" customWidth="1"/>
    <col min="8194" max="8194" width="13.26953125" customWidth="1"/>
    <col min="8195" max="8195" width="16.7265625" customWidth="1"/>
    <col min="8196" max="8196" width="29.1796875" customWidth="1"/>
    <col min="8447" max="8447" width="32" customWidth="1"/>
    <col min="8448" max="8448" width="18.7265625" customWidth="1"/>
    <col min="8449" max="8449" width="9.1796875" customWidth="1"/>
    <col min="8450" max="8450" width="13.26953125" customWidth="1"/>
    <col min="8451" max="8451" width="16.7265625" customWidth="1"/>
    <col min="8452" max="8452" width="29.1796875" customWidth="1"/>
    <col min="8703" max="8703" width="32" customWidth="1"/>
    <col min="8704" max="8704" width="18.7265625" customWidth="1"/>
    <col min="8705" max="8705" width="9.1796875" customWidth="1"/>
    <col min="8706" max="8706" width="13.26953125" customWidth="1"/>
    <col min="8707" max="8707" width="16.7265625" customWidth="1"/>
    <col min="8708" max="8708" width="29.1796875" customWidth="1"/>
    <col min="8959" max="8959" width="32" customWidth="1"/>
    <col min="8960" max="8960" width="18.7265625" customWidth="1"/>
    <col min="8961" max="8961" width="9.1796875" customWidth="1"/>
    <col min="8962" max="8962" width="13.26953125" customWidth="1"/>
    <col min="8963" max="8963" width="16.7265625" customWidth="1"/>
    <col min="8964" max="8964" width="29.1796875" customWidth="1"/>
    <col min="9215" max="9215" width="32" customWidth="1"/>
    <col min="9216" max="9216" width="18.7265625" customWidth="1"/>
    <col min="9217" max="9217" width="9.1796875" customWidth="1"/>
    <col min="9218" max="9218" width="13.26953125" customWidth="1"/>
    <col min="9219" max="9219" width="16.7265625" customWidth="1"/>
    <col min="9220" max="9220" width="29.1796875" customWidth="1"/>
    <col min="9471" max="9471" width="32" customWidth="1"/>
    <col min="9472" max="9472" width="18.7265625" customWidth="1"/>
    <col min="9473" max="9473" width="9.1796875" customWidth="1"/>
    <col min="9474" max="9474" width="13.26953125" customWidth="1"/>
    <col min="9475" max="9475" width="16.7265625" customWidth="1"/>
    <col min="9476" max="9476" width="29.1796875" customWidth="1"/>
    <col min="9727" max="9727" width="32" customWidth="1"/>
    <col min="9728" max="9728" width="18.7265625" customWidth="1"/>
    <col min="9729" max="9729" width="9.1796875" customWidth="1"/>
    <col min="9730" max="9730" width="13.26953125" customWidth="1"/>
    <col min="9731" max="9731" width="16.7265625" customWidth="1"/>
    <col min="9732" max="9732" width="29.1796875" customWidth="1"/>
    <col min="9983" max="9983" width="32" customWidth="1"/>
    <col min="9984" max="9984" width="18.7265625" customWidth="1"/>
    <col min="9985" max="9985" width="9.1796875" customWidth="1"/>
    <col min="9986" max="9986" width="13.26953125" customWidth="1"/>
    <col min="9987" max="9987" width="16.7265625" customWidth="1"/>
    <col min="9988" max="9988" width="29.1796875" customWidth="1"/>
    <col min="10239" max="10239" width="32" customWidth="1"/>
    <col min="10240" max="10240" width="18.7265625" customWidth="1"/>
    <col min="10241" max="10241" width="9.1796875" customWidth="1"/>
    <col min="10242" max="10242" width="13.26953125" customWidth="1"/>
    <col min="10243" max="10243" width="16.7265625" customWidth="1"/>
    <col min="10244" max="10244" width="29.1796875" customWidth="1"/>
    <col min="10495" max="10495" width="32" customWidth="1"/>
    <col min="10496" max="10496" width="18.7265625" customWidth="1"/>
    <col min="10497" max="10497" width="9.1796875" customWidth="1"/>
    <col min="10498" max="10498" width="13.26953125" customWidth="1"/>
    <col min="10499" max="10499" width="16.7265625" customWidth="1"/>
    <col min="10500" max="10500" width="29.1796875" customWidth="1"/>
    <col min="10751" max="10751" width="32" customWidth="1"/>
    <col min="10752" max="10752" width="18.7265625" customWidth="1"/>
    <col min="10753" max="10753" width="9.1796875" customWidth="1"/>
    <col min="10754" max="10754" width="13.26953125" customWidth="1"/>
    <col min="10755" max="10755" width="16.7265625" customWidth="1"/>
    <col min="10756" max="10756" width="29.1796875" customWidth="1"/>
    <col min="11007" max="11007" width="32" customWidth="1"/>
    <col min="11008" max="11008" width="18.7265625" customWidth="1"/>
    <col min="11009" max="11009" width="9.1796875" customWidth="1"/>
    <col min="11010" max="11010" width="13.26953125" customWidth="1"/>
    <col min="11011" max="11011" width="16.7265625" customWidth="1"/>
    <col min="11012" max="11012" width="29.1796875" customWidth="1"/>
    <col min="11263" max="11263" width="32" customWidth="1"/>
    <col min="11264" max="11264" width="18.7265625" customWidth="1"/>
    <col min="11265" max="11265" width="9.1796875" customWidth="1"/>
    <col min="11266" max="11266" width="13.26953125" customWidth="1"/>
    <col min="11267" max="11267" width="16.7265625" customWidth="1"/>
    <col min="11268" max="11268" width="29.1796875" customWidth="1"/>
    <col min="11519" max="11519" width="32" customWidth="1"/>
    <col min="11520" max="11520" width="18.7265625" customWidth="1"/>
    <col min="11521" max="11521" width="9.1796875" customWidth="1"/>
    <col min="11522" max="11522" width="13.26953125" customWidth="1"/>
    <col min="11523" max="11523" width="16.7265625" customWidth="1"/>
    <col min="11524" max="11524" width="29.1796875" customWidth="1"/>
    <col min="11775" max="11775" width="32" customWidth="1"/>
    <col min="11776" max="11776" width="18.7265625" customWidth="1"/>
    <col min="11777" max="11777" width="9.1796875" customWidth="1"/>
    <col min="11778" max="11778" width="13.26953125" customWidth="1"/>
    <col min="11779" max="11779" width="16.7265625" customWidth="1"/>
    <col min="11780" max="11780" width="29.1796875" customWidth="1"/>
    <col min="12031" max="12031" width="32" customWidth="1"/>
    <col min="12032" max="12032" width="18.7265625" customWidth="1"/>
    <col min="12033" max="12033" width="9.1796875" customWidth="1"/>
    <col min="12034" max="12034" width="13.26953125" customWidth="1"/>
    <col min="12035" max="12035" width="16.7265625" customWidth="1"/>
    <col min="12036" max="12036" width="29.1796875" customWidth="1"/>
    <col min="12287" max="12287" width="32" customWidth="1"/>
    <col min="12288" max="12288" width="18.7265625" customWidth="1"/>
    <col min="12289" max="12289" width="9.1796875" customWidth="1"/>
    <col min="12290" max="12290" width="13.26953125" customWidth="1"/>
    <col min="12291" max="12291" width="16.7265625" customWidth="1"/>
    <col min="12292" max="12292" width="29.1796875" customWidth="1"/>
    <col min="12543" max="12543" width="32" customWidth="1"/>
    <col min="12544" max="12544" width="18.7265625" customWidth="1"/>
    <col min="12545" max="12545" width="9.1796875" customWidth="1"/>
    <col min="12546" max="12546" width="13.26953125" customWidth="1"/>
    <col min="12547" max="12547" width="16.7265625" customWidth="1"/>
    <col min="12548" max="12548" width="29.1796875" customWidth="1"/>
    <col min="12799" max="12799" width="32" customWidth="1"/>
    <col min="12800" max="12800" width="18.7265625" customWidth="1"/>
    <col min="12801" max="12801" width="9.1796875" customWidth="1"/>
    <col min="12802" max="12802" width="13.26953125" customWidth="1"/>
    <col min="12803" max="12803" width="16.7265625" customWidth="1"/>
    <col min="12804" max="12804" width="29.1796875" customWidth="1"/>
    <col min="13055" max="13055" width="32" customWidth="1"/>
    <col min="13056" max="13056" width="18.7265625" customWidth="1"/>
    <col min="13057" max="13057" width="9.1796875" customWidth="1"/>
    <col min="13058" max="13058" width="13.26953125" customWidth="1"/>
    <col min="13059" max="13059" width="16.7265625" customWidth="1"/>
    <col min="13060" max="13060" width="29.1796875" customWidth="1"/>
    <col min="13311" max="13311" width="32" customWidth="1"/>
    <col min="13312" max="13312" width="18.7265625" customWidth="1"/>
    <col min="13313" max="13313" width="9.1796875" customWidth="1"/>
    <col min="13314" max="13314" width="13.26953125" customWidth="1"/>
    <col min="13315" max="13315" width="16.7265625" customWidth="1"/>
    <col min="13316" max="13316" width="29.1796875" customWidth="1"/>
    <col min="13567" max="13567" width="32" customWidth="1"/>
    <col min="13568" max="13568" width="18.7265625" customWidth="1"/>
    <col min="13569" max="13569" width="9.1796875" customWidth="1"/>
    <col min="13570" max="13570" width="13.26953125" customWidth="1"/>
    <col min="13571" max="13571" width="16.7265625" customWidth="1"/>
    <col min="13572" max="13572" width="29.1796875" customWidth="1"/>
    <col min="13823" max="13823" width="32" customWidth="1"/>
    <col min="13824" max="13824" width="18.7265625" customWidth="1"/>
    <col min="13825" max="13825" width="9.1796875" customWidth="1"/>
    <col min="13826" max="13826" width="13.26953125" customWidth="1"/>
    <col min="13827" max="13827" width="16.7265625" customWidth="1"/>
    <col min="13828" max="13828" width="29.1796875" customWidth="1"/>
    <col min="14079" max="14079" width="32" customWidth="1"/>
    <col min="14080" max="14080" width="18.7265625" customWidth="1"/>
    <col min="14081" max="14081" width="9.1796875" customWidth="1"/>
    <col min="14082" max="14082" width="13.26953125" customWidth="1"/>
    <col min="14083" max="14083" width="16.7265625" customWidth="1"/>
    <col min="14084" max="14084" width="29.1796875" customWidth="1"/>
    <col min="14335" max="14335" width="32" customWidth="1"/>
    <col min="14336" max="14336" width="18.7265625" customWidth="1"/>
    <col min="14337" max="14337" width="9.1796875" customWidth="1"/>
    <col min="14338" max="14338" width="13.26953125" customWidth="1"/>
    <col min="14339" max="14339" width="16.7265625" customWidth="1"/>
    <col min="14340" max="14340" width="29.1796875" customWidth="1"/>
    <col min="14591" max="14591" width="32" customWidth="1"/>
    <col min="14592" max="14592" width="18.7265625" customWidth="1"/>
    <col min="14593" max="14593" width="9.1796875" customWidth="1"/>
    <col min="14594" max="14594" width="13.26953125" customWidth="1"/>
    <col min="14595" max="14595" width="16.7265625" customWidth="1"/>
    <col min="14596" max="14596" width="29.1796875" customWidth="1"/>
    <col min="14847" max="14847" width="32" customWidth="1"/>
    <col min="14848" max="14848" width="18.7265625" customWidth="1"/>
    <col min="14849" max="14849" width="9.1796875" customWidth="1"/>
    <col min="14850" max="14850" width="13.26953125" customWidth="1"/>
    <col min="14851" max="14851" width="16.7265625" customWidth="1"/>
    <col min="14852" max="14852" width="29.1796875" customWidth="1"/>
    <col min="15103" max="15103" width="32" customWidth="1"/>
    <col min="15104" max="15104" width="18.7265625" customWidth="1"/>
    <col min="15105" max="15105" width="9.1796875" customWidth="1"/>
    <col min="15106" max="15106" width="13.26953125" customWidth="1"/>
    <col min="15107" max="15107" width="16.7265625" customWidth="1"/>
    <col min="15108" max="15108" width="29.1796875" customWidth="1"/>
    <col min="15359" max="15359" width="32" customWidth="1"/>
    <col min="15360" max="15360" width="18.7265625" customWidth="1"/>
    <col min="15361" max="15361" width="9.1796875" customWidth="1"/>
    <col min="15362" max="15362" width="13.26953125" customWidth="1"/>
    <col min="15363" max="15363" width="16.7265625" customWidth="1"/>
    <col min="15364" max="15364" width="29.1796875" customWidth="1"/>
    <col min="15615" max="15615" width="32" customWidth="1"/>
    <col min="15616" max="15616" width="18.7265625" customWidth="1"/>
    <col min="15617" max="15617" width="9.1796875" customWidth="1"/>
    <col min="15618" max="15618" width="13.26953125" customWidth="1"/>
    <col min="15619" max="15619" width="16.7265625" customWidth="1"/>
    <col min="15620" max="15620" width="29.1796875" customWidth="1"/>
    <col min="15871" max="15871" width="32" customWidth="1"/>
    <col min="15872" max="15872" width="18.7265625" customWidth="1"/>
    <col min="15873" max="15873" width="9.1796875" customWidth="1"/>
    <col min="15874" max="15874" width="13.26953125" customWidth="1"/>
    <col min="15875" max="15875" width="16.7265625" customWidth="1"/>
    <col min="15876" max="15876" width="29.1796875" customWidth="1"/>
    <col min="16127" max="16127" width="32" customWidth="1"/>
    <col min="16128" max="16128" width="18.7265625" customWidth="1"/>
    <col min="16129" max="16129" width="9.1796875" customWidth="1"/>
    <col min="16130" max="16130" width="13.26953125" customWidth="1"/>
    <col min="16131" max="16131" width="16.7265625" customWidth="1"/>
    <col min="16132" max="16132" width="29.1796875" customWidth="1"/>
  </cols>
  <sheetData>
    <row r="1" spans="1:12" x14ac:dyDescent="0.35">
      <c r="A1" s="141" t="s">
        <v>66</v>
      </c>
      <c r="B1" s="20"/>
      <c r="C1" s="19"/>
      <c r="E1" s="139"/>
      <c r="G1" s="128"/>
      <c r="H1" s="128"/>
      <c r="I1" s="128"/>
      <c r="J1" s="128"/>
      <c r="K1" s="128"/>
      <c r="L1" s="125"/>
    </row>
    <row r="2" spans="1:12" x14ac:dyDescent="0.35">
      <c r="A2" s="141" t="s">
        <v>199</v>
      </c>
      <c r="B2" s="20"/>
      <c r="C2" s="19"/>
      <c r="E2" s="21"/>
      <c r="G2" s="128"/>
      <c r="H2" s="128"/>
      <c r="I2" s="128"/>
      <c r="J2" s="128"/>
      <c r="K2" s="128"/>
      <c r="L2" s="125"/>
    </row>
    <row r="3" spans="1:12" x14ac:dyDescent="0.35">
      <c r="A3" s="142"/>
      <c r="B3" s="20"/>
      <c r="C3" s="19"/>
      <c r="E3" s="21"/>
      <c r="G3" s="128"/>
      <c r="H3" s="128"/>
      <c r="I3" s="128"/>
      <c r="J3" s="128"/>
      <c r="K3" s="128"/>
      <c r="L3" s="125"/>
    </row>
    <row r="4" spans="1:12" x14ac:dyDescent="0.35">
      <c r="A4" s="19"/>
      <c r="B4" s="20"/>
      <c r="C4" s="19"/>
      <c r="E4" s="21"/>
      <c r="G4" s="128"/>
      <c r="H4" s="128"/>
      <c r="I4" s="128"/>
      <c r="J4" s="128"/>
      <c r="K4" s="128"/>
      <c r="L4" s="125"/>
    </row>
    <row r="5" spans="1:12" x14ac:dyDescent="0.35">
      <c r="A5" s="19"/>
      <c r="B5" s="143" t="s">
        <v>101</v>
      </c>
      <c r="C5" s="20" t="s">
        <v>57</v>
      </c>
      <c r="D5" s="11"/>
      <c r="E5" s="92"/>
      <c r="G5" s="128"/>
      <c r="H5" s="128"/>
      <c r="I5" s="128"/>
      <c r="J5" s="128"/>
      <c r="K5" s="128"/>
      <c r="L5" s="125"/>
    </row>
    <row r="6" spans="1:12" s="15" customFormat="1" ht="16" x14ac:dyDescent="0.5">
      <c r="A6" s="144" t="s">
        <v>102</v>
      </c>
      <c r="B6" s="145" t="s">
        <v>103</v>
      </c>
      <c r="C6" s="145" t="s">
        <v>104</v>
      </c>
      <c r="D6" s="146" t="s">
        <v>68</v>
      </c>
      <c r="E6" s="93" t="s">
        <v>105</v>
      </c>
      <c r="G6" s="124" t="s">
        <v>59</v>
      </c>
      <c r="H6" s="124" t="s">
        <v>156</v>
      </c>
      <c r="I6" s="124" t="s">
        <v>151</v>
      </c>
      <c r="J6" s="124" t="s">
        <v>1</v>
      </c>
      <c r="K6" s="129" t="s">
        <v>152</v>
      </c>
    </row>
    <row r="7" spans="1:12" x14ac:dyDescent="0.35">
      <c r="A7" s="19"/>
      <c r="B7" s="20"/>
      <c r="C7" s="19"/>
      <c r="E7" s="21"/>
      <c r="G7" s="128"/>
      <c r="H7" s="128"/>
      <c r="I7" s="128"/>
      <c r="J7" s="128"/>
      <c r="K7" s="128"/>
      <c r="L7" s="125"/>
    </row>
    <row r="8" spans="1:12" x14ac:dyDescent="0.35">
      <c r="A8" s="147" t="s">
        <v>54</v>
      </c>
      <c r="B8" s="148"/>
      <c r="C8" s="147" t="s">
        <v>106</v>
      </c>
      <c r="D8" s="24"/>
      <c r="E8" s="32">
        <v>215000</v>
      </c>
      <c r="G8" s="128">
        <f>+E8</f>
        <v>215000</v>
      </c>
      <c r="H8" s="128"/>
      <c r="I8" s="128"/>
      <c r="J8" s="128"/>
      <c r="K8" s="130">
        <f>SUM(G8:J8)</f>
        <v>215000</v>
      </c>
      <c r="L8" s="126">
        <f t="shared" ref="L8:L70" si="0">E8-K8</f>
        <v>0</v>
      </c>
    </row>
    <row r="9" spans="1:12" x14ac:dyDescent="0.35">
      <c r="A9" s="147"/>
      <c r="B9" s="148"/>
      <c r="C9" s="147"/>
      <c r="D9" s="24"/>
      <c r="E9" s="32"/>
      <c r="G9" s="128"/>
      <c r="H9" s="128"/>
      <c r="I9" s="128"/>
      <c r="J9" s="128"/>
      <c r="K9" s="130">
        <f t="shared" ref="K9:K70" si="1">SUM(G9:J9)</f>
        <v>0</v>
      </c>
      <c r="L9" s="126">
        <f t="shared" si="0"/>
        <v>0</v>
      </c>
    </row>
    <row r="10" spans="1:12" x14ac:dyDescent="0.35">
      <c r="A10" s="147" t="s">
        <v>260</v>
      </c>
      <c r="B10" s="149" t="s">
        <v>45</v>
      </c>
      <c r="C10" s="147" t="s">
        <v>195</v>
      </c>
      <c r="D10" s="24">
        <f>440+78+17</f>
        <v>535</v>
      </c>
      <c r="E10" s="122">
        <v>111903.79</v>
      </c>
      <c r="F10" s="18"/>
      <c r="G10" s="130"/>
      <c r="H10" s="130">
        <f>E10</f>
        <v>111903.79</v>
      </c>
      <c r="I10" s="130"/>
      <c r="J10" s="130"/>
      <c r="K10" s="130">
        <f t="shared" si="1"/>
        <v>111903.79</v>
      </c>
      <c r="L10" s="126">
        <f t="shared" si="0"/>
        <v>0</v>
      </c>
    </row>
    <row r="11" spans="1:12" x14ac:dyDescent="0.35">
      <c r="A11" s="147"/>
      <c r="B11" s="149" t="s">
        <v>45</v>
      </c>
      <c r="C11" s="147" t="s">
        <v>196</v>
      </c>
      <c r="D11" s="24">
        <f>226+136+558+740+448+784+372+232+316</f>
        <v>3812</v>
      </c>
      <c r="E11" s="122">
        <v>797340.61</v>
      </c>
      <c r="F11" s="18"/>
      <c r="G11" s="130"/>
      <c r="H11" s="130">
        <f>E11</f>
        <v>797340.61</v>
      </c>
      <c r="I11" s="130"/>
      <c r="J11" s="130"/>
      <c r="K11" s="130">
        <f t="shared" si="1"/>
        <v>797340.61</v>
      </c>
      <c r="L11" s="126">
        <f t="shared" si="0"/>
        <v>0</v>
      </c>
    </row>
    <row r="12" spans="1:12" x14ac:dyDescent="0.35">
      <c r="A12" s="152"/>
      <c r="B12" s="149" t="s">
        <v>1</v>
      </c>
      <c r="C12" s="152" t="s">
        <v>261</v>
      </c>
      <c r="D12" s="62" t="s">
        <v>262</v>
      </c>
      <c r="E12" s="33">
        <f>C12*1591.35</f>
        <v>89115.599999999991</v>
      </c>
      <c r="F12" s="18"/>
      <c r="G12" s="130"/>
      <c r="H12" s="130"/>
      <c r="I12" s="130"/>
      <c r="J12" s="130">
        <f>E12</f>
        <v>89115.599999999991</v>
      </c>
      <c r="K12" s="130">
        <f t="shared" si="1"/>
        <v>89115.599999999991</v>
      </c>
      <c r="L12" s="126">
        <f t="shared" si="0"/>
        <v>0</v>
      </c>
    </row>
    <row r="13" spans="1:12" x14ac:dyDescent="0.35">
      <c r="A13" s="152"/>
      <c r="B13" s="159"/>
      <c r="C13" s="152"/>
      <c r="D13" s="157">
        <f>SUM(D10:D12)</f>
        <v>4347</v>
      </c>
      <c r="E13" s="158">
        <f>SUM(E10:E12)</f>
        <v>998360</v>
      </c>
      <c r="F13" s="18"/>
      <c r="G13" s="130"/>
      <c r="H13" s="130"/>
      <c r="I13" s="130"/>
      <c r="J13" s="130"/>
      <c r="K13" s="130"/>
      <c r="L13" s="126"/>
    </row>
    <row r="14" spans="1:12" x14ac:dyDescent="0.35">
      <c r="A14" s="147"/>
      <c r="B14" s="150"/>
      <c r="C14" s="147"/>
      <c r="D14" s="106"/>
      <c r="E14" s="122"/>
      <c r="F14" s="18"/>
      <c r="G14" s="130"/>
      <c r="H14" s="130"/>
      <c r="I14" s="130"/>
      <c r="J14" s="130"/>
      <c r="K14" s="130"/>
      <c r="L14" s="126"/>
    </row>
    <row r="15" spans="1:12" x14ac:dyDescent="0.35">
      <c r="A15" s="147" t="s">
        <v>263</v>
      </c>
      <c r="B15" s="150" t="s">
        <v>168</v>
      </c>
      <c r="C15" s="147" t="s">
        <v>163</v>
      </c>
      <c r="D15" s="24">
        <f>60</f>
        <v>60</v>
      </c>
      <c r="E15" s="32">
        <v>21049.81</v>
      </c>
      <c r="F15" s="18"/>
      <c r="G15" s="130"/>
      <c r="H15" s="130">
        <f>E15</f>
        <v>21049.81</v>
      </c>
      <c r="I15" s="130"/>
      <c r="J15" s="130"/>
      <c r="K15" s="130">
        <f t="shared" si="1"/>
        <v>21049.81</v>
      </c>
      <c r="L15" s="126">
        <f t="shared" si="0"/>
        <v>0</v>
      </c>
    </row>
    <row r="16" spans="1:12" x14ac:dyDescent="0.35">
      <c r="A16" s="147"/>
      <c r="B16" s="150" t="s">
        <v>168</v>
      </c>
      <c r="C16" s="147" t="s">
        <v>164</v>
      </c>
      <c r="D16" s="24">
        <f>210+84+40</f>
        <v>334</v>
      </c>
      <c r="E16" s="32">
        <v>117177.29</v>
      </c>
      <c r="F16" s="18"/>
      <c r="G16" s="130"/>
      <c r="H16" s="130">
        <f>E16</f>
        <v>117177.29</v>
      </c>
      <c r="I16" s="130"/>
      <c r="J16" s="130"/>
      <c r="K16" s="130">
        <f t="shared" si="1"/>
        <v>117177.29</v>
      </c>
      <c r="L16" s="126">
        <f t="shared" si="0"/>
        <v>0</v>
      </c>
    </row>
    <row r="17" spans="1:12" x14ac:dyDescent="0.35">
      <c r="A17" s="147"/>
      <c r="B17" s="150" t="s">
        <v>1</v>
      </c>
      <c r="C17" s="147" t="s">
        <v>264</v>
      </c>
      <c r="D17" s="62" t="s">
        <v>262</v>
      </c>
      <c r="E17" s="122">
        <f>C17*1591.35</f>
        <v>65245.35</v>
      </c>
      <c r="F17" s="18"/>
      <c r="G17" s="130"/>
      <c r="H17" s="130"/>
      <c r="I17" s="130"/>
      <c r="J17" s="130">
        <f>E17</f>
        <v>65245.35</v>
      </c>
      <c r="K17" s="130">
        <f t="shared" si="1"/>
        <v>65245.35</v>
      </c>
      <c r="L17" s="126">
        <f t="shared" si="0"/>
        <v>0</v>
      </c>
    </row>
    <row r="18" spans="1:12" x14ac:dyDescent="0.35">
      <c r="A18" s="147"/>
      <c r="B18" s="150"/>
      <c r="C18" s="147"/>
      <c r="D18" s="25">
        <f>SUM(D15:D16)</f>
        <v>394</v>
      </c>
      <c r="E18" s="34">
        <f>SUM(E15:E17)</f>
        <v>203472.45</v>
      </c>
      <c r="F18" s="18"/>
      <c r="G18" s="130"/>
      <c r="H18" s="130"/>
      <c r="I18" s="130"/>
      <c r="J18" s="130"/>
      <c r="K18" s="130"/>
      <c r="L18" s="126"/>
    </row>
    <row r="19" spans="1:12" x14ac:dyDescent="0.35">
      <c r="A19" s="147"/>
      <c r="B19" s="150"/>
      <c r="C19" s="147"/>
      <c r="D19" s="24"/>
      <c r="E19" s="32"/>
      <c r="F19" s="18"/>
      <c r="G19" s="130"/>
      <c r="H19" s="130"/>
      <c r="I19" s="130"/>
      <c r="J19" s="130"/>
      <c r="K19" s="130"/>
      <c r="L19" s="126"/>
    </row>
    <row r="20" spans="1:12" x14ac:dyDescent="0.35">
      <c r="A20" s="147" t="s">
        <v>207</v>
      </c>
      <c r="B20" s="150" t="s">
        <v>168</v>
      </c>
      <c r="C20" s="147" t="s">
        <v>196</v>
      </c>
      <c r="D20" s="24">
        <f>656+956+316+896+1268+1378+1836+1910+922+702+526+376+46+82</f>
        <v>11870</v>
      </c>
      <c r="E20" s="32">
        <v>951610.75</v>
      </c>
      <c r="F20" s="18"/>
      <c r="G20" s="130"/>
      <c r="H20" s="130">
        <f>E20</f>
        <v>951610.75</v>
      </c>
      <c r="I20" s="130"/>
      <c r="J20" s="130"/>
      <c r="K20" s="130">
        <f t="shared" si="1"/>
        <v>951610.75</v>
      </c>
      <c r="L20" s="126">
        <f t="shared" si="0"/>
        <v>0</v>
      </c>
    </row>
    <row r="21" spans="1:12" x14ac:dyDescent="0.35">
      <c r="A21" s="147"/>
      <c r="B21" s="150" t="s">
        <v>1</v>
      </c>
      <c r="C21" s="147" t="s">
        <v>265</v>
      </c>
      <c r="D21" s="62" t="s">
        <v>266</v>
      </c>
      <c r="E21" s="122">
        <f>C21*1591.35</f>
        <v>44557.799999999996</v>
      </c>
      <c r="F21" s="18"/>
      <c r="G21" s="130"/>
      <c r="H21" s="130"/>
      <c r="I21" s="130"/>
      <c r="J21" s="130">
        <f>E21</f>
        <v>44557.799999999996</v>
      </c>
      <c r="K21" s="130">
        <f t="shared" si="1"/>
        <v>44557.799999999996</v>
      </c>
      <c r="L21" s="126">
        <f t="shared" si="0"/>
        <v>0</v>
      </c>
    </row>
    <row r="22" spans="1:12" x14ac:dyDescent="0.35">
      <c r="A22" s="147"/>
      <c r="B22" s="150"/>
      <c r="C22" s="147"/>
      <c r="D22" s="25">
        <f>SUM(D20:D20)</f>
        <v>11870</v>
      </c>
      <c r="E22" s="34">
        <f>SUM(E20:E21)</f>
        <v>996168.55</v>
      </c>
      <c r="F22" s="18"/>
      <c r="G22" s="130"/>
      <c r="H22" s="130"/>
      <c r="I22" s="130"/>
      <c r="J22" s="130"/>
      <c r="K22" s="130"/>
      <c r="L22" s="126"/>
    </row>
    <row r="23" spans="1:12" x14ac:dyDescent="0.35">
      <c r="A23" s="147"/>
      <c r="B23" s="150"/>
      <c r="C23" s="147"/>
      <c r="D23" s="24"/>
      <c r="E23" s="33"/>
      <c r="F23" s="18"/>
      <c r="G23" s="130"/>
      <c r="H23" s="130"/>
      <c r="I23" s="130"/>
      <c r="J23" s="130"/>
      <c r="K23" s="130">
        <f t="shared" si="1"/>
        <v>0</v>
      </c>
      <c r="L23" s="126">
        <f t="shared" si="0"/>
        <v>0</v>
      </c>
    </row>
    <row r="24" spans="1:12" x14ac:dyDescent="0.35">
      <c r="A24" s="147" t="s">
        <v>267</v>
      </c>
      <c r="B24" s="150" t="s">
        <v>168</v>
      </c>
      <c r="C24" s="147" t="s">
        <v>196</v>
      </c>
      <c r="D24" s="24">
        <f>252+596+148+230+919+552+397</f>
        <v>3094</v>
      </c>
      <c r="E24" s="32">
        <v>748205.58</v>
      </c>
      <c r="F24" s="18"/>
      <c r="G24" s="130"/>
      <c r="H24" s="130">
        <f>E24</f>
        <v>748205.58</v>
      </c>
      <c r="I24" s="130"/>
      <c r="J24" s="130"/>
      <c r="K24" s="130">
        <f t="shared" si="1"/>
        <v>748205.58</v>
      </c>
      <c r="L24" s="126">
        <f t="shared" si="0"/>
        <v>0</v>
      </c>
    </row>
    <row r="25" spans="1:12" x14ac:dyDescent="0.35">
      <c r="A25" s="152"/>
      <c r="B25" s="149" t="s">
        <v>1</v>
      </c>
      <c r="C25" s="152" t="s">
        <v>197</v>
      </c>
      <c r="D25" s="62" t="s">
        <v>262</v>
      </c>
      <c r="E25" s="33">
        <f>C25*1591.35</f>
        <v>3182.7</v>
      </c>
      <c r="F25" s="18"/>
      <c r="G25" s="130"/>
      <c r="H25" s="130"/>
      <c r="I25" s="130"/>
      <c r="J25" s="130">
        <f>E25</f>
        <v>3182.7</v>
      </c>
      <c r="K25" s="130">
        <f t="shared" si="1"/>
        <v>3182.7</v>
      </c>
      <c r="L25" s="126">
        <f t="shared" si="0"/>
        <v>0</v>
      </c>
    </row>
    <row r="26" spans="1:12" x14ac:dyDescent="0.35">
      <c r="A26" s="152"/>
      <c r="B26" s="159"/>
      <c r="C26" s="152"/>
      <c r="D26" s="157">
        <f>SUM(D24:D24)</f>
        <v>3094</v>
      </c>
      <c r="E26" s="158">
        <f>SUM(E24:E25)</f>
        <v>751388.27999999991</v>
      </c>
      <c r="F26" s="18"/>
      <c r="G26" s="130"/>
      <c r="H26" s="130"/>
      <c r="I26" s="130"/>
      <c r="J26" s="130"/>
      <c r="K26" s="130"/>
      <c r="L26" s="126"/>
    </row>
    <row r="27" spans="1:12" x14ac:dyDescent="0.35">
      <c r="A27" s="147"/>
      <c r="B27" s="150"/>
      <c r="C27" s="147"/>
      <c r="D27" s="24"/>
      <c r="E27" s="33"/>
      <c r="F27" s="18"/>
      <c r="G27" s="130"/>
      <c r="H27" s="130"/>
      <c r="I27" s="130"/>
      <c r="J27" s="130"/>
      <c r="K27" s="130"/>
      <c r="L27" s="126"/>
    </row>
    <row r="28" spans="1:12" x14ac:dyDescent="0.35">
      <c r="A28" s="147" t="s">
        <v>200</v>
      </c>
      <c r="B28" s="149" t="s">
        <v>45</v>
      </c>
      <c r="C28" s="147" t="s">
        <v>195</v>
      </c>
      <c r="D28" s="24"/>
      <c r="E28" s="122">
        <v>14443.6</v>
      </c>
      <c r="F28" s="18"/>
      <c r="G28" s="130"/>
      <c r="H28" s="130">
        <f>E28</f>
        <v>14443.6</v>
      </c>
      <c r="I28" s="130"/>
      <c r="J28" s="130"/>
      <c r="K28" s="130">
        <f t="shared" si="1"/>
        <v>14443.6</v>
      </c>
      <c r="L28" s="126">
        <f t="shared" si="0"/>
        <v>0</v>
      </c>
    </row>
    <row r="29" spans="1:12" x14ac:dyDescent="0.35">
      <c r="A29" s="147"/>
      <c r="B29" s="150" t="s">
        <v>168</v>
      </c>
      <c r="C29" s="147" t="s">
        <v>196</v>
      </c>
      <c r="D29" s="24"/>
      <c r="E29" s="32">
        <v>14443.6</v>
      </c>
      <c r="F29" s="18"/>
      <c r="G29" s="130"/>
      <c r="H29" s="130">
        <f>E29</f>
        <v>14443.6</v>
      </c>
      <c r="I29" s="130"/>
      <c r="J29" s="130"/>
      <c r="K29" s="130">
        <f t="shared" si="1"/>
        <v>14443.6</v>
      </c>
      <c r="L29" s="126">
        <f t="shared" si="0"/>
        <v>0</v>
      </c>
    </row>
    <row r="30" spans="1:12" x14ac:dyDescent="0.35">
      <c r="A30" s="152"/>
      <c r="B30" s="149" t="s">
        <v>1</v>
      </c>
      <c r="C30" s="152" t="s">
        <v>268</v>
      </c>
      <c r="D30" s="62" t="s">
        <v>262</v>
      </c>
      <c r="E30" s="33">
        <f>C30*1591.35</f>
        <v>9548.0999999999985</v>
      </c>
      <c r="F30" s="18"/>
      <c r="G30" s="130"/>
      <c r="H30" s="130"/>
      <c r="I30" s="130"/>
      <c r="J30" s="130">
        <f>E30</f>
        <v>9548.0999999999985</v>
      </c>
      <c r="K30" s="130">
        <f t="shared" si="1"/>
        <v>9548.0999999999985</v>
      </c>
      <c r="L30" s="126">
        <f t="shared" si="0"/>
        <v>0</v>
      </c>
    </row>
    <row r="31" spans="1:12" x14ac:dyDescent="0.35">
      <c r="A31" s="152"/>
      <c r="B31" s="159"/>
      <c r="C31" s="152"/>
      <c r="D31" s="157">
        <f>SUM(D28)</f>
        <v>0</v>
      </c>
      <c r="E31" s="158">
        <f>SUM(E28:E30)</f>
        <v>38435.300000000003</v>
      </c>
      <c r="F31" s="18"/>
      <c r="G31" s="130"/>
      <c r="H31" s="130"/>
      <c r="I31" s="130"/>
      <c r="J31" s="130"/>
      <c r="K31" s="130"/>
      <c r="L31" s="126"/>
    </row>
    <row r="32" spans="1:12" x14ac:dyDescent="0.35">
      <c r="A32" s="147"/>
      <c r="B32" s="150"/>
      <c r="C32" s="147"/>
      <c r="D32" s="24"/>
      <c r="E32" s="32"/>
      <c r="F32" s="18"/>
      <c r="G32" s="130"/>
      <c r="H32" s="130"/>
      <c r="I32" s="130"/>
      <c r="J32" s="130"/>
      <c r="K32" s="130"/>
      <c r="L32" s="126"/>
    </row>
    <row r="33" spans="1:12" x14ac:dyDescent="0.35">
      <c r="A33" s="147" t="s">
        <v>208</v>
      </c>
      <c r="B33" s="150" t="s">
        <v>168</v>
      </c>
      <c r="C33" s="147" t="s">
        <v>196</v>
      </c>
      <c r="D33" s="24">
        <f>392+584+372+793+1130+1115+792+700+322+536</f>
        <v>6736</v>
      </c>
      <c r="E33" s="32">
        <v>473404.42</v>
      </c>
      <c r="F33" s="18"/>
      <c r="G33" s="130"/>
      <c r="H33" s="130">
        <f>E33</f>
        <v>473404.42</v>
      </c>
      <c r="I33" s="130"/>
      <c r="J33" s="130"/>
      <c r="K33" s="130">
        <f t="shared" si="1"/>
        <v>473404.42</v>
      </c>
      <c r="L33" s="126">
        <f t="shared" si="0"/>
        <v>0</v>
      </c>
    </row>
    <row r="34" spans="1:12" x14ac:dyDescent="0.35">
      <c r="A34" s="152"/>
      <c r="B34" s="149" t="s">
        <v>1</v>
      </c>
      <c r="C34" s="152" t="s">
        <v>269</v>
      </c>
      <c r="D34" s="62" t="s">
        <v>266</v>
      </c>
      <c r="E34" s="33">
        <f>C34*1591.35</f>
        <v>36601.049999999996</v>
      </c>
      <c r="F34" s="18"/>
      <c r="G34" s="130"/>
      <c r="H34" s="130"/>
      <c r="I34" s="130"/>
      <c r="J34" s="130">
        <f>E34</f>
        <v>36601.049999999996</v>
      </c>
      <c r="K34" s="130">
        <f t="shared" si="1"/>
        <v>36601.049999999996</v>
      </c>
      <c r="L34" s="126">
        <f t="shared" si="0"/>
        <v>0</v>
      </c>
    </row>
    <row r="35" spans="1:12" x14ac:dyDescent="0.35">
      <c r="A35" s="152"/>
      <c r="B35" s="159"/>
      <c r="C35" s="152"/>
      <c r="D35" s="157">
        <f>SUM(D33:D33)</f>
        <v>6736</v>
      </c>
      <c r="E35" s="158">
        <f>SUM(E33:E34)</f>
        <v>510005.47</v>
      </c>
      <c r="F35" s="18"/>
      <c r="G35" s="130"/>
      <c r="H35" s="130"/>
      <c r="I35" s="130"/>
      <c r="J35" s="130"/>
      <c r="K35" s="130"/>
      <c r="L35" s="126"/>
    </row>
    <row r="36" spans="1:12" x14ac:dyDescent="0.35">
      <c r="A36" s="147"/>
      <c r="B36" s="150"/>
      <c r="C36" s="147"/>
      <c r="D36" s="24"/>
      <c r="E36" s="32"/>
      <c r="F36" s="18"/>
      <c r="G36" s="130"/>
      <c r="H36" s="130"/>
      <c r="I36" s="130"/>
      <c r="J36" s="130"/>
      <c r="K36" s="130"/>
      <c r="L36" s="126"/>
    </row>
    <row r="37" spans="1:12" x14ac:dyDescent="0.35">
      <c r="A37" s="147" t="s">
        <v>270</v>
      </c>
      <c r="B37" s="149" t="s">
        <v>45</v>
      </c>
      <c r="C37" s="147" t="s">
        <v>195</v>
      </c>
      <c r="D37" s="24">
        <f>(317+758)+355</f>
        <v>1430</v>
      </c>
      <c r="E37" s="122">
        <f>154944.99+49437.3</f>
        <v>204382.28999999998</v>
      </c>
      <c r="F37" s="18"/>
      <c r="G37" s="130"/>
      <c r="H37" s="130">
        <f>E37</f>
        <v>204382.28999999998</v>
      </c>
      <c r="I37" s="130"/>
      <c r="J37" s="130"/>
      <c r="K37" s="130">
        <f t="shared" si="1"/>
        <v>204382.28999999998</v>
      </c>
      <c r="L37" s="126">
        <f t="shared" si="0"/>
        <v>0</v>
      </c>
    </row>
    <row r="38" spans="1:12" ht="15" customHeight="1" x14ac:dyDescent="0.35">
      <c r="A38" s="147"/>
      <c r="B38" s="149" t="s">
        <v>45</v>
      </c>
      <c r="C38" s="147" t="s">
        <v>196</v>
      </c>
      <c r="D38" s="24">
        <f>(136+102+163)</f>
        <v>401</v>
      </c>
      <c r="E38" s="122">
        <v>50596.86</v>
      </c>
      <c r="F38" s="18"/>
      <c r="G38" s="130"/>
      <c r="H38" s="130">
        <f>E38</f>
        <v>50596.86</v>
      </c>
      <c r="I38" s="130"/>
      <c r="J38" s="130"/>
      <c r="K38" s="130">
        <f t="shared" si="1"/>
        <v>50596.86</v>
      </c>
      <c r="L38" s="126">
        <f t="shared" si="0"/>
        <v>0</v>
      </c>
    </row>
    <row r="39" spans="1:12" x14ac:dyDescent="0.35">
      <c r="A39" s="152"/>
      <c r="B39" s="149" t="s">
        <v>1</v>
      </c>
      <c r="C39" s="152" t="s">
        <v>194</v>
      </c>
      <c r="D39" s="62" t="s">
        <v>166</v>
      </c>
      <c r="E39" s="33">
        <f>C39*1591.35</f>
        <v>0</v>
      </c>
      <c r="F39" s="18"/>
      <c r="G39" s="130"/>
      <c r="H39" s="130"/>
      <c r="I39" s="130"/>
      <c r="J39" s="130">
        <f>E39</f>
        <v>0</v>
      </c>
      <c r="K39" s="130">
        <f t="shared" si="1"/>
        <v>0</v>
      </c>
      <c r="L39" s="126">
        <f t="shared" si="0"/>
        <v>0</v>
      </c>
    </row>
    <row r="40" spans="1:12" x14ac:dyDescent="0.35">
      <c r="A40" s="152"/>
      <c r="B40" s="159"/>
      <c r="C40" s="152"/>
      <c r="D40" s="157">
        <f>SUM(D37:D38)</f>
        <v>1831</v>
      </c>
      <c r="E40" s="158">
        <f>SUM(E37:E39)</f>
        <v>254979.14999999997</v>
      </c>
      <c r="F40" s="18"/>
      <c r="G40" s="130"/>
      <c r="H40" s="130"/>
      <c r="I40" s="130"/>
      <c r="J40" s="130"/>
      <c r="K40" s="130"/>
      <c r="L40" s="126"/>
    </row>
    <row r="41" spans="1:12" x14ac:dyDescent="0.35">
      <c r="A41" s="147"/>
      <c r="B41" s="150"/>
      <c r="C41" s="147"/>
      <c r="D41" s="24"/>
      <c r="E41" s="32"/>
      <c r="F41" s="18"/>
      <c r="G41" s="130"/>
      <c r="H41" s="130"/>
      <c r="I41" s="130"/>
      <c r="J41" s="130"/>
      <c r="K41" s="130"/>
      <c r="L41" s="126"/>
    </row>
    <row r="42" spans="1:12" x14ac:dyDescent="0.35">
      <c r="A42" s="147" t="s">
        <v>271</v>
      </c>
      <c r="B42" s="149" t="s">
        <v>45</v>
      </c>
      <c r="C42" s="147" t="s">
        <v>195</v>
      </c>
      <c r="D42" s="24">
        <f>144</f>
        <v>144</v>
      </c>
      <c r="E42" s="122">
        <v>37996.82</v>
      </c>
      <c r="F42" s="18"/>
      <c r="G42" s="130"/>
      <c r="H42" s="130">
        <f>E42</f>
        <v>37996.82</v>
      </c>
      <c r="I42" s="130"/>
      <c r="J42" s="130"/>
      <c r="K42" s="130">
        <f t="shared" si="1"/>
        <v>37996.82</v>
      </c>
      <c r="L42" s="126">
        <f t="shared" si="0"/>
        <v>0</v>
      </c>
    </row>
    <row r="43" spans="1:12" x14ac:dyDescent="0.35">
      <c r="A43" s="152"/>
      <c r="B43" s="149" t="s">
        <v>1</v>
      </c>
      <c r="C43" s="152" t="s">
        <v>194</v>
      </c>
      <c r="D43" s="62" t="s">
        <v>166</v>
      </c>
      <c r="E43" s="33">
        <f>C43*1591.35</f>
        <v>0</v>
      </c>
      <c r="F43" s="18"/>
      <c r="G43" s="130"/>
      <c r="H43" s="130"/>
      <c r="I43" s="130"/>
      <c r="J43" s="130">
        <f>E43</f>
        <v>0</v>
      </c>
      <c r="K43" s="130">
        <f t="shared" si="1"/>
        <v>0</v>
      </c>
      <c r="L43" s="126">
        <f t="shared" si="0"/>
        <v>0</v>
      </c>
    </row>
    <row r="44" spans="1:12" x14ac:dyDescent="0.35">
      <c r="A44" s="152"/>
      <c r="B44" s="159"/>
      <c r="C44" s="152"/>
      <c r="D44" s="157">
        <f>SUM(D42:D42)</f>
        <v>144</v>
      </c>
      <c r="E44" s="158">
        <f>SUM(E42:E43)</f>
        <v>37996.82</v>
      </c>
      <c r="F44" s="18"/>
      <c r="G44" s="130"/>
      <c r="H44" s="130"/>
      <c r="I44" s="130"/>
      <c r="J44" s="130"/>
      <c r="K44" s="130"/>
      <c r="L44" s="126"/>
    </row>
    <row r="45" spans="1:12" x14ac:dyDescent="0.35">
      <c r="A45" s="152"/>
      <c r="B45" s="159"/>
      <c r="C45" s="152"/>
      <c r="D45" s="109"/>
      <c r="E45" s="155"/>
      <c r="F45" s="18"/>
      <c r="G45" s="130"/>
      <c r="H45" s="130"/>
      <c r="I45" s="130"/>
      <c r="J45" s="130"/>
      <c r="K45" s="130"/>
      <c r="L45" s="126"/>
    </row>
    <row r="46" spans="1:12" x14ac:dyDescent="0.35">
      <c r="A46" s="147" t="s">
        <v>272</v>
      </c>
      <c r="B46" s="149" t="s">
        <v>45</v>
      </c>
      <c r="C46" s="147" t="s">
        <v>196</v>
      </c>
      <c r="D46" s="24">
        <f>(544+897+904+762+932+889+1200+908+717+686)+8202</f>
        <v>16641</v>
      </c>
      <c r="E46" s="122">
        <f>575359.04+559212.36</f>
        <v>1134571.3999999999</v>
      </c>
      <c r="F46" s="18"/>
      <c r="G46" s="130"/>
      <c r="H46" s="130">
        <f>E46</f>
        <v>1134571.3999999999</v>
      </c>
      <c r="I46" s="130"/>
      <c r="J46" s="130"/>
      <c r="K46" s="130">
        <f t="shared" si="1"/>
        <v>1134571.3999999999</v>
      </c>
      <c r="L46" s="126">
        <f t="shared" si="0"/>
        <v>0</v>
      </c>
    </row>
    <row r="47" spans="1:12" x14ac:dyDescent="0.35">
      <c r="A47" s="147"/>
      <c r="B47" s="149"/>
      <c r="C47" s="147" t="s">
        <v>273</v>
      </c>
      <c r="D47" s="24">
        <v>9</v>
      </c>
      <c r="E47" s="122">
        <v>613.62</v>
      </c>
      <c r="F47" s="18"/>
      <c r="G47" s="130"/>
      <c r="H47" s="130">
        <f t="shared" ref="H47:H48" si="2">E47</f>
        <v>613.62</v>
      </c>
      <c r="I47" s="130"/>
      <c r="J47" s="130"/>
      <c r="K47" s="130">
        <f t="shared" si="1"/>
        <v>613.62</v>
      </c>
      <c r="L47" s="126">
        <f t="shared" si="0"/>
        <v>0</v>
      </c>
    </row>
    <row r="48" spans="1:12" x14ac:dyDescent="0.35">
      <c r="A48" s="147"/>
      <c r="B48" s="149"/>
      <c r="C48" s="147" t="s">
        <v>274</v>
      </c>
      <c r="D48" s="24">
        <v>24</v>
      </c>
      <c r="E48" s="122">
        <v>1636.32</v>
      </c>
      <c r="F48" s="18"/>
      <c r="G48" s="128"/>
      <c r="H48" s="130">
        <f t="shared" si="2"/>
        <v>1636.32</v>
      </c>
      <c r="I48" s="128"/>
      <c r="J48" s="128"/>
      <c r="K48" s="130">
        <f t="shared" si="1"/>
        <v>1636.32</v>
      </c>
      <c r="L48" s="126">
        <f t="shared" si="0"/>
        <v>0</v>
      </c>
    </row>
    <row r="49" spans="1:12" x14ac:dyDescent="0.35">
      <c r="A49" s="152"/>
      <c r="B49" s="149" t="s">
        <v>1</v>
      </c>
      <c r="C49" s="152" t="s">
        <v>275</v>
      </c>
      <c r="D49" s="62" t="s">
        <v>166</v>
      </c>
      <c r="E49" s="33">
        <f>C49*1591.35</f>
        <v>62062.649999999994</v>
      </c>
      <c r="F49" s="18"/>
      <c r="G49" s="128"/>
      <c r="H49" s="128"/>
      <c r="I49" s="128"/>
      <c r="J49" s="128">
        <f>E49</f>
        <v>62062.649999999994</v>
      </c>
      <c r="K49" s="130">
        <f t="shared" si="1"/>
        <v>62062.649999999994</v>
      </c>
      <c r="L49" s="126">
        <f t="shared" si="0"/>
        <v>0</v>
      </c>
    </row>
    <row r="50" spans="1:12" x14ac:dyDescent="0.35">
      <c r="A50" s="152"/>
      <c r="B50" s="159"/>
      <c r="C50" s="152"/>
      <c r="D50" s="157">
        <f>SUM(D46:D46)</f>
        <v>16641</v>
      </c>
      <c r="E50" s="158">
        <f>SUM(E46:E49)</f>
        <v>1198883.99</v>
      </c>
      <c r="F50" s="18"/>
      <c r="G50" s="128"/>
      <c r="H50" s="130"/>
      <c r="I50" s="130"/>
      <c r="J50" s="130"/>
      <c r="K50" s="130"/>
      <c r="L50" s="126"/>
    </row>
    <row r="51" spans="1:12" x14ac:dyDescent="0.35">
      <c r="A51" s="152"/>
      <c r="B51" s="159"/>
      <c r="C51" s="152"/>
      <c r="D51" s="109"/>
      <c r="E51" s="155"/>
      <c r="F51" s="18"/>
      <c r="G51" s="128"/>
      <c r="H51" s="130"/>
      <c r="I51" s="130"/>
      <c r="J51" s="130"/>
      <c r="K51" s="130"/>
      <c r="L51" s="126"/>
    </row>
    <row r="52" spans="1:12" x14ac:dyDescent="0.35">
      <c r="A52" s="147" t="s">
        <v>276</v>
      </c>
      <c r="B52" s="149" t="s">
        <v>45</v>
      </c>
      <c r="C52" s="147" t="s">
        <v>196</v>
      </c>
      <c r="D52" s="24">
        <v>422</v>
      </c>
      <c r="E52" s="122">
        <v>28771.96</v>
      </c>
      <c r="F52" s="18"/>
      <c r="G52" s="128"/>
      <c r="H52" s="128">
        <f>E52</f>
        <v>28771.96</v>
      </c>
      <c r="I52" s="128"/>
      <c r="J52" s="128"/>
      <c r="K52" s="130">
        <f t="shared" si="1"/>
        <v>28771.96</v>
      </c>
      <c r="L52" s="126">
        <f t="shared" si="0"/>
        <v>0</v>
      </c>
    </row>
    <row r="53" spans="1:12" x14ac:dyDescent="0.35">
      <c r="A53" s="152"/>
      <c r="B53" s="149" t="s">
        <v>1</v>
      </c>
      <c r="C53" s="152" t="s">
        <v>194</v>
      </c>
      <c r="D53" s="62" t="s">
        <v>166</v>
      </c>
      <c r="E53" s="33">
        <f>C53*1591.35</f>
        <v>0</v>
      </c>
      <c r="F53" s="18"/>
      <c r="G53" s="128"/>
      <c r="H53" s="128"/>
      <c r="I53" s="128"/>
      <c r="J53" s="128">
        <f>E53</f>
        <v>0</v>
      </c>
      <c r="K53" s="130">
        <f t="shared" si="1"/>
        <v>0</v>
      </c>
      <c r="L53" s="126">
        <f t="shared" si="0"/>
        <v>0</v>
      </c>
    </row>
    <row r="54" spans="1:12" x14ac:dyDescent="0.35">
      <c r="A54" s="152"/>
      <c r="B54" s="159"/>
      <c r="C54" s="152"/>
      <c r="D54" s="157">
        <f>SUM(D52:D52)</f>
        <v>422</v>
      </c>
      <c r="E54" s="158">
        <f>SUM(E52:E53)</f>
        <v>28771.96</v>
      </c>
      <c r="F54" s="18"/>
      <c r="G54" s="128"/>
      <c r="H54" s="130"/>
      <c r="I54" s="130"/>
      <c r="J54" s="130"/>
      <c r="K54" s="130"/>
      <c r="L54" s="126"/>
    </row>
    <row r="55" spans="1:12" x14ac:dyDescent="0.35">
      <c r="A55" s="152"/>
      <c r="B55" s="159"/>
      <c r="C55" s="152"/>
      <c r="D55" s="109"/>
      <c r="E55" s="155"/>
      <c r="F55" s="18"/>
      <c r="G55" s="128"/>
      <c r="H55" s="130"/>
      <c r="I55" s="130"/>
      <c r="J55" s="130"/>
      <c r="K55" s="130"/>
      <c r="L55" s="126"/>
    </row>
    <row r="56" spans="1:12" x14ac:dyDescent="0.35">
      <c r="A56" s="147" t="s">
        <v>277</v>
      </c>
      <c r="B56" s="149" t="s">
        <v>45</v>
      </c>
      <c r="C56" s="147" t="s">
        <v>196</v>
      </c>
      <c r="D56" s="24">
        <f>1164+1175+1078+547+50</f>
        <v>4014</v>
      </c>
      <c r="E56" s="122">
        <v>473404.42</v>
      </c>
      <c r="F56" s="18"/>
      <c r="G56" s="128"/>
      <c r="H56" s="128">
        <f>E56</f>
        <v>473404.42</v>
      </c>
      <c r="I56" s="128"/>
      <c r="J56" s="128"/>
      <c r="K56" s="130">
        <f t="shared" si="1"/>
        <v>473404.42</v>
      </c>
      <c r="L56" s="126">
        <f t="shared" si="0"/>
        <v>0</v>
      </c>
    </row>
    <row r="57" spans="1:12" x14ac:dyDescent="0.35">
      <c r="A57" s="152"/>
      <c r="B57" s="149" t="s">
        <v>1</v>
      </c>
      <c r="C57" s="152" t="s">
        <v>278</v>
      </c>
      <c r="D57" s="62" t="s">
        <v>266</v>
      </c>
      <c r="E57" s="33">
        <f>C57*1591.35</f>
        <v>17504.849999999999</v>
      </c>
      <c r="F57" s="18"/>
      <c r="G57" s="128"/>
      <c r="H57" s="128"/>
      <c r="I57" s="128"/>
      <c r="J57" s="128">
        <f>E57</f>
        <v>17504.849999999999</v>
      </c>
      <c r="K57" s="130">
        <f t="shared" si="1"/>
        <v>17504.849999999999</v>
      </c>
      <c r="L57" s="126">
        <f t="shared" si="0"/>
        <v>0</v>
      </c>
    </row>
    <row r="58" spans="1:12" x14ac:dyDescent="0.35">
      <c r="A58" s="152"/>
      <c r="B58" s="159"/>
      <c r="C58" s="152"/>
      <c r="D58" s="157">
        <f>SUM(D56:D56)</f>
        <v>4014</v>
      </c>
      <c r="E58" s="158">
        <f>SUM(E56:E57)</f>
        <v>490909.26999999996</v>
      </c>
      <c r="F58" s="18"/>
      <c r="G58" s="128"/>
      <c r="H58" s="130"/>
      <c r="I58" s="130"/>
      <c r="J58" s="130"/>
      <c r="K58" s="130"/>
      <c r="L58" s="126"/>
    </row>
    <row r="59" spans="1:12" x14ac:dyDescent="0.35">
      <c r="A59" s="152"/>
      <c r="B59" s="159"/>
      <c r="C59" s="152"/>
      <c r="D59" s="109"/>
      <c r="E59" s="155"/>
      <c r="F59" s="18"/>
      <c r="G59" s="128"/>
      <c r="H59" s="130"/>
      <c r="I59" s="130"/>
      <c r="J59" s="130"/>
      <c r="K59" s="130"/>
      <c r="L59" s="126"/>
    </row>
    <row r="60" spans="1:12" x14ac:dyDescent="0.35">
      <c r="A60" s="147" t="s">
        <v>279</v>
      </c>
      <c r="B60" s="149" t="s">
        <v>45</v>
      </c>
      <c r="C60" s="147" t="s">
        <v>196</v>
      </c>
      <c r="D60" s="24">
        <f>(1140+2244+1777+2632+2803)+11498</f>
        <v>22094</v>
      </c>
      <c r="E60" s="122">
        <f>480786.38+521664.26</f>
        <v>1002450.64</v>
      </c>
      <c r="F60" s="18"/>
      <c r="G60" s="128"/>
      <c r="H60" s="128">
        <f>E60</f>
        <v>1002450.64</v>
      </c>
      <c r="I60" s="128"/>
      <c r="J60" s="128"/>
      <c r="K60" s="130">
        <f t="shared" si="1"/>
        <v>1002450.64</v>
      </c>
      <c r="L60" s="126">
        <f t="shared" si="0"/>
        <v>0</v>
      </c>
    </row>
    <row r="61" spans="1:12" x14ac:dyDescent="0.35">
      <c r="A61" s="152"/>
      <c r="B61" s="149" t="s">
        <v>1</v>
      </c>
      <c r="C61" s="152" t="s">
        <v>280</v>
      </c>
      <c r="D61" s="62" t="s">
        <v>166</v>
      </c>
      <c r="E61" s="33">
        <f>C61*1591.35</f>
        <v>183005.25</v>
      </c>
      <c r="F61" s="18"/>
      <c r="G61" s="128"/>
      <c r="H61" s="128"/>
      <c r="I61" s="128"/>
      <c r="J61" s="128">
        <f>E61</f>
        <v>183005.25</v>
      </c>
      <c r="K61" s="130">
        <f t="shared" si="1"/>
        <v>183005.25</v>
      </c>
      <c r="L61" s="126">
        <f t="shared" si="0"/>
        <v>0</v>
      </c>
    </row>
    <row r="62" spans="1:12" x14ac:dyDescent="0.35">
      <c r="A62" s="152"/>
      <c r="B62" s="159"/>
      <c r="C62" s="152"/>
      <c r="D62" s="157">
        <f>SUM(D60:D60)</f>
        <v>22094</v>
      </c>
      <c r="E62" s="158">
        <f>SUM(E60:E61)</f>
        <v>1185455.8900000001</v>
      </c>
      <c r="F62" s="18"/>
      <c r="G62" s="128"/>
      <c r="H62" s="130"/>
      <c r="I62" s="130"/>
      <c r="J62" s="130"/>
      <c r="K62" s="130"/>
      <c r="L62" s="126"/>
    </row>
    <row r="63" spans="1:12" x14ac:dyDescent="0.35">
      <c r="A63" s="152"/>
      <c r="B63" s="159"/>
      <c r="C63" s="152"/>
      <c r="D63" s="109"/>
      <c r="E63" s="155"/>
      <c r="F63" s="18"/>
      <c r="G63" s="128"/>
      <c r="H63" s="130"/>
      <c r="I63" s="130"/>
      <c r="J63" s="130"/>
      <c r="K63" s="130"/>
      <c r="L63" s="126"/>
    </row>
    <row r="64" spans="1:12" x14ac:dyDescent="0.35">
      <c r="A64" s="147" t="s">
        <v>281</v>
      </c>
      <c r="B64" s="149" t="s">
        <v>45</v>
      </c>
      <c r="C64" s="147" t="s">
        <v>195</v>
      </c>
      <c r="D64" s="24"/>
      <c r="E64" s="122"/>
      <c r="F64" s="18"/>
      <c r="G64" s="128"/>
      <c r="H64" s="128">
        <f>E64</f>
        <v>0</v>
      </c>
      <c r="I64" s="128"/>
      <c r="J64" s="128"/>
      <c r="K64" s="130"/>
      <c r="L64" s="126"/>
    </row>
    <row r="65" spans="1:12" x14ac:dyDescent="0.35">
      <c r="A65" s="147"/>
      <c r="B65" s="149" t="s">
        <v>45</v>
      </c>
      <c r="C65" s="147" t="s">
        <v>196</v>
      </c>
      <c r="D65" s="24">
        <f>(210)</f>
        <v>210</v>
      </c>
      <c r="E65" s="122">
        <v>62381.21</v>
      </c>
      <c r="F65" s="18"/>
      <c r="G65" s="128"/>
      <c r="H65" s="128">
        <f>E65</f>
        <v>62381.21</v>
      </c>
      <c r="I65" s="128"/>
      <c r="J65" s="128"/>
      <c r="K65" s="130">
        <f t="shared" si="1"/>
        <v>62381.21</v>
      </c>
      <c r="L65" s="126">
        <f t="shared" si="0"/>
        <v>0</v>
      </c>
    </row>
    <row r="66" spans="1:12" x14ac:dyDescent="0.35">
      <c r="A66" s="152"/>
      <c r="B66" s="149" t="s">
        <v>1</v>
      </c>
      <c r="C66" s="152" t="s">
        <v>194</v>
      </c>
      <c r="D66" s="62" t="s">
        <v>166</v>
      </c>
      <c r="E66" s="33">
        <f>C66*1591.35</f>
        <v>0</v>
      </c>
      <c r="F66" s="18"/>
      <c r="G66" s="128"/>
      <c r="H66" s="128"/>
      <c r="I66" s="128"/>
      <c r="J66" s="128">
        <f>E66</f>
        <v>0</v>
      </c>
      <c r="K66" s="130">
        <f t="shared" si="1"/>
        <v>0</v>
      </c>
      <c r="L66" s="126">
        <f t="shared" si="0"/>
        <v>0</v>
      </c>
    </row>
    <row r="67" spans="1:12" x14ac:dyDescent="0.35">
      <c r="A67" s="152"/>
      <c r="B67" s="159"/>
      <c r="C67" s="152"/>
      <c r="D67" s="157">
        <f>SUM(D64:D65)</f>
        <v>210</v>
      </c>
      <c r="E67" s="158">
        <f>SUM(E64:E66)</f>
        <v>62381.21</v>
      </c>
      <c r="F67" s="18"/>
      <c r="G67" s="128"/>
      <c r="H67" s="128"/>
      <c r="I67" s="128"/>
      <c r="J67" s="128"/>
      <c r="K67" s="130"/>
      <c r="L67" s="126"/>
    </row>
    <row r="68" spans="1:12" x14ac:dyDescent="0.35">
      <c r="A68" s="152"/>
      <c r="B68" s="159"/>
      <c r="C68" s="152"/>
      <c r="D68" s="109"/>
      <c r="E68" s="155"/>
      <c r="F68" s="18"/>
      <c r="G68" s="128"/>
      <c r="H68" s="128"/>
      <c r="I68" s="128"/>
      <c r="J68" s="128"/>
      <c r="K68" s="130"/>
      <c r="L68" s="126"/>
    </row>
    <row r="69" spans="1:12" x14ac:dyDescent="0.35">
      <c r="A69" s="147" t="s">
        <v>205</v>
      </c>
      <c r="B69" s="149" t="s">
        <v>45</v>
      </c>
      <c r="C69" s="147" t="s">
        <v>203</v>
      </c>
      <c r="D69" s="24">
        <f>99</f>
        <v>99</v>
      </c>
      <c r="E69" s="122">
        <v>12758.66</v>
      </c>
      <c r="F69" s="18"/>
      <c r="G69" s="128"/>
      <c r="H69" s="128">
        <f>E69</f>
        <v>12758.66</v>
      </c>
      <c r="I69" s="128"/>
      <c r="J69" s="128"/>
      <c r="K69" s="130">
        <f t="shared" si="1"/>
        <v>12758.66</v>
      </c>
      <c r="L69" s="126">
        <f t="shared" si="0"/>
        <v>0</v>
      </c>
    </row>
    <row r="70" spans="1:12" x14ac:dyDescent="0.35">
      <c r="A70" s="152"/>
      <c r="B70" s="149" t="s">
        <v>1</v>
      </c>
      <c r="C70" s="152" t="s">
        <v>194</v>
      </c>
      <c r="D70" s="62" t="s">
        <v>166</v>
      </c>
      <c r="E70" s="33">
        <f>C70*1591.35</f>
        <v>0</v>
      </c>
      <c r="F70" s="18"/>
      <c r="G70" s="128"/>
      <c r="H70" s="128"/>
      <c r="I70" s="128"/>
      <c r="J70" s="128">
        <f>E70</f>
        <v>0</v>
      </c>
      <c r="K70" s="130">
        <f t="shared" si="1"/>
        <v>0</v>
      </c>
      <c r="L70" s="126">
        <f t="shared" si="0"/>
        <v>0</v>
      </c>
    </row>
    <row r="71" spans="1:12" x14ac:dyDescent="0.35">
      <c r="A71" s="152"/>
      <c r="B71" s="159"/>
      <c r="C71" s="152"/>
      <c r="D71" s="157">
        <f>SUM(D69:D69)</f>
        <v>99</v>
      </c>
      <c r="E71" s="158">
        <f>SUM(E69:E70)</f>
        <v>12758.66</v>
      </c>
      <c r="F71" s="18"/>
      <c r="G71" s="128"/>
      <c r="H71" s="128"/>
      <c r="I71" s="128"/>
      <c r="J71" s="128"/>
      <c r="K71" s="130"/>
      <c r="L71" s="126"/>
    </row>
    <row r="72" spans="1:12" x14ac:dyDescent="0.35">
      <c r="A72" s="152"/>
      <c r="B72" s="159"/>
      <c r="C72" s="152"/>
      <c r="D72" s="109"/>
      <c r="E72" s="155"/>
      <c r="F72" s="18"/>
      <c r="G72" s="128"/>
      <c r="H72" s="128"/>
      <c r="I72" s="128"/>
      <c r="J72" s="128"/>
      <c r="K72" s="130"/>
      <c r="L72" s="126"/>
    </row>
    <row r="73" spans="1:12" x14ac:dyDescent="0.35">
      <c r="A73" s="147" t="s">
        <v>204</v>
      </c>
      <c r="B73" s="149" t="s">
        <v>45</v>
      </c>
      <c r="C73" s="147" t="s">
        <v>195</v>
      </c>
      <c r="D73" s="24">
        <f>(466+532)+328</f>
        <v>1326</v>
      </c>
      <c r="E73" s="122">
        <f>47206.91+15514.4</f>
        <v>62721.310000000005</v>
      </c>
      <c r="F73" s="18"/>
      <c r="G73" s="128"/>
      <c r="H73" s="128">
        <f>E73</f>
        <v>62721.310000000005</v>
      </c>
      <c r="I73" s="128"/>
      <c r="J73" s="128"/>
      <c r="K73" s="130">
        <f t="shared" ref="K73:K129" si="3">SUM(G73:J73)</f>
        <v>62721.310000000005</v>
      </c>
      <c r="L73" s="126">
        <f t="shared" ref="L73:L129" si="4">E73-K73</f>
        <v>0</v>
      </c>
    </row>
    <row r="74" spans="1:12" x14ac:dyDescent="0.35">
      <c r="A74" s="147"/>
      <c r="B74" s="149" t="s">
        <v>45</v>
      </c>
      <c r="C74" s="147" t="s">
        <v>196</v>
      </c>
      <c r="D74" s="24">
        <f>(314+75)</f>
        <v>389</v>
      </c>
      <c r="E74" s="122">
        <v>18400.29</v>
      </c>
      <c r="F74" s="18"/>
      <c r="G74" s="128"/>
      <c r="H74" s="128">
        <f>E74</f>
        <v>18400.29</v>
      </c>
      <c r="I74" s="128"/>
      <c r="J74" s="128"/>
      <c r="K74" s="130">
        <f t="shared" si="3"/>
        <v>18400.29</v>
      </c>
      <c r="L74" s="126">
        <f t="shared" si="4"/>
        <v>0</v>
      </c>
    </row>
    <row r="75" spans="1:12" x14ac:dyDescent="0.35">
      <c r="A75" s="152"/>
      <c r="B75" s="149" t="s">
        <v>1</v>
      </c>
      <c r="C75" s="152" t="s">
        <v>194</v>
      </c>
      <c r="D75" s="62" t="s">
        <v>166</v>
      </c>
      <c r="E75" s="33">
        <f>C75*1591.35</f>
        <v>0</v>
      </c>
      <c r="F75" s="18"/>
      <c r="G75" s="128"/>
      <c r="H75" s="128"/>
      <c r="I75" s="128"/>
      <c r="J75" s="128">
        <f>E75</f>
        <v>0</v>
      </c>
      <c r="K75" s="130">
        <f t="shared" si="3"/>
        <v>0</v>
      </c>
      <c r="L75" s="126">
        <f t="shared" si="4"/>
        <v>0</v>
      </c>
    </row>
    <row r="76" spans="1:12" x14ac:dyDescent="0.35">
      <c r="A76" s="152"/>
      <c r="B76" s="159"/>
      <c r="C76" s="152"/>
      <c r="D76" s="157">
        <f>SUM(D73:D74)</f>
        <v>1715</v>
      </c>
      <c r="E76" s="158">
        <f>SUM(E73:E75)</f>
        <v>81121.600000000006</v>
      </c>
      <c r="F76" s="18"/>
      <c r="G76" s="128"/>
      <c r="H76" s="128"/>
      <c r="I76" s="128"/>
      <c r="J76" s="128"/>
      <c r="K76" s="130"/>
      <c r="L76" s="126"/>
    </row>
    <row r="77" spans="1:12" x14ac:dyDescent="0.35">
      <c r="A77" s="152"/>
      <c r="B77" s="159"/>
      <c r="C77" s="152"/>
      <c r="D77" s="109"/>
      <c r="E77" s="155"/>
      <c r="F77" s="18"/>
      <c r="G77" s="128"/>
      <c r="H77" s="128"/>
      <c r="I77" s="128"/>
      <c r="J77" s="128"/>
      <c r="K77" s="130"/>
      <c r="L77" s="126"/>
    </row>
    <row r="78" spans="1:12" x14ac:dyDescent="0.35">
      <c r="A78" s="147" t="s">
        <v>201</v>
      </c>
      <c r="B78" s="149" t="s">
        <v>45</v>
      </c>
      <c r="C78" s="147" t="s">
        <v>195</v>
      </c>
      <c r="D78" s="24">
        <f>(1418+896+478+1844)+2115</f>
        <v>6751</v>
      </c>
      <c r="E78" s="122">
        <f>307946.8+138807.45</f>
        <v>446754.25</v>
      </c>
      <c r="F78" s="18"/>
      <c r="G78" s="128"/>
      <c r="H78" s="128">
        <f>E78</f>
        <v>446754.25</v>
      </c>
      <c r="I78" s="128"/>
      <c r="J78" s="128"/>
      <c r="K78" s="130">
        <f t="shared" si="3"/>
        <v>446754.25</v>
      </c>
      <c r="L78" s="126">
        <f t="shared" si="4"/>
        <v>0</v>
      </c>
    </row>
    <row r="79" spans="1:12" x14ac:dyDescent="0.35">
      <c r="A79" s="147"/>
      <c r="B79" s="149" t="s">
        <v>45</v>
      </c>
      <c r="C79" s="147" t="s">
        <v>196</v>
      </c>
      <c r="D79" s="24">
        <f>(1240+467)</f>
        <v>1707</v>
      </c>
      <c r="E79" s="122">
        <v>108337.24</v>
      </c>
      <c r="F79" s="18"/>
      <c r="G79" s="128"/>
      <c r="H79" s="128">
        <f>E79</f>
        <v>108337.24</v>
      </c>
      <c r="I79" s="128"/>
      <c r="J79" s="128"/>
      <c r="K79" s="130">
        <f t="shared" si="3"/>
        <v>108337.24</v>
      </c>
      <c r="L79" s="126">
        <f t="shared" si="4"/>
        <v>0</v>
      </c>
    </row>
    <row r="80" spans="1:12" x14ac:dyDescent="0.35">
      <c r="A80" s="152"/>
      <c r="B80" s="149" t="s">
        <v>1</v>
      </c>
      <c r="C80" s="152" t="s">
        <v>194</v>
      </c>
      <c r="D80" s="62" t="s">
        <v>166</v>
      </c>
      <c r="E80" s="33">
        <f>C80*1591.35</f>
        <v>0</v>
      </c>
      <c r="F80" s="18"/>
      <c r="G80" s="128"/>
      <c r="H80" s="128"/>
      <c r="I80" s="128"/>
      <c r="J80" s="128">
        <f>E80</f>
        <v>0</v>
      </c>
      <c r="K80" s="130">
        <f t="shared" si="3"/>
        <v>0</v>
      </c>
      <c r="L80" s="126">
        <f t="shared" si="4"/>
        <v>0</v>
      </c>
    </row>
    <row r="81" spans="1:12" x14ac:dyDescent="0.35">
      <c r="A81" s="152"/>
      <c r="B81" s="159"/>
      <c r="C81" s="152"/>
      <c r="D81" s="157">
        <f>SUM(D78:D79)</f>
        <v>8458</v>
      </c>
      <c r="E81" s="158">
        <f>SUM(E78:E80)</f>
        <v>555091.49</v>
      </c>
      <c r="F81" s="18"/>
      <c r="G81" s="128"/>
      <c r="H81" s="128"/>
      <c r="I81" s="128"/>
      <c r="J81" s="128"/>
      <c r="K81" s="130"/>
      <c r="L81" s="126"/>
    </row>
    <row r="82" spans="1:12" x14ac:dyDescent="0.35">
      <c r="A82" s="152"/>
      <c r="B82" s="159"/>
      <c r="C82" s="152"/>
      <c r="D82" s="109"/>
      <c r="E82" s="155"/>
      <c r="F82" s="18"/>
      <c r="G82" s="128"/>
      <c r="H82" s="128"/>
      <c r="I82" s="128"/>
      <c r="J82" s="128"/>
      <c r="K82" s="130"/>
      <c r="L82" s="126"/>
    </row>
    <row r="83" spans="1:12" x14ac:dyDescent="0.35">
      <c r="A83" s="147" t="s">
        <v>282</v>
      </c>
      <c r="B83" s="149" t="s">
        <v>45</v>
      </c>
      <c r="C83" s="147" t="s">
        <v>195</v>
      </c>
      <c r="D83" s="24">
        <f>(183+423)</f>
        <v>606</v>
      </c>
      <c r="E83" s="122">
        <v>52472.37</v>
      </c>
      <c r="F83" s="18"/>
      <c r="G83" s="128"/>
      <c r="H83" s="128">
        <f>E83</f>
        <v>52472.37</v>
      </c>
      <c r="I83" s="128"/>
      <c r="J83" s="128"/>
      <c r="K83" s="130">
        <f t="shared" si="3"/>
        <v>52472.37</v>
      </c>
      <c r="L83" s="126">
        <f t="shared" si="4"/>
        <v>0</v>
      </c>
    </row>
    <row r="84" spans="1:12" x14ac:dyDescent="0.35">
      <c r="A84" s="147"/>
      <c r="B84" s="149" t="s">
        <v>45</v>
      </c>
      <c r="C84" s="147" t="s">
        <v>196</v>
      </c>
      <c r="D84" s="24">
        <f>(90+192)</f>
        <v>282</v>
      </c>
      <c r="E84" s="122">
        <v>24417.84</v>
      </c>
      <c r="F84" s="18"/>
      <c r="G84" s="128"/>
      <c r="H84" s="128">
        <f>E84</f>
        <v>24417.84</v>
      </c>
      <c r="I84" s="128"/>
      <c r="J84" s="128"/>
      <c r="K84" s="130">
        <f t="shared" si="3"/>
        <v>24417.84</v>
      </c>
      <c r="L84" s="126">
        <f t="shared" si="4"/>
        <v>0</v>
      </c>
    </row>
    <row r="85" spans="1:12" x14ac:dyDescent="0.35">
      <c r="A85" s="152"/>
      <c r="B85" s="149" t="s">
        <v>1</v>
      </c>
      <c r="C85" s="152" t="s">
        <v>194</v>
      </c>
      <c r="D85" s="62" t="s">
        <v>166</v>
      </c>
      <c r="E85" s="33">
        <f>C85*1591.35</f>
        <v>0</v>
      </c>
      <c r="F85" s="18"/>
      <c r="G85" s="128"/>
      <c r="H85" s="128"/>
      <c r="I85" s="128"/>
      <c r="J85" s="128">
        <f>E85</f>
        <v>0</v>
      </c>
      <c r="K85" s="130">
        <f t="shared" si="3"/>
        <v>0</v>
      </c>
      <c r="L85" s="126">
        <f t="shared" si="4"/>
        <v>0</v>
      </c>
    </row>
    <row r="86" spans="1:12" x14ac:dyDescent="0.35">
      <c r="A86" s="152"/>
      <c r="B86" s="159"/>
      <c r="C86" s="152"/>
      <c r="D86" s="157">
        <f>SUM(D83:D84)</f>
        <v>888</v>
      </c>
      <c r="E86" s="158">
        <f>SUM(E83:E85)</f>
        <v>76890.210000000006</v>
      </c>
      <c r="F86" s="18"/>
      <c r="G86" s="128"/>
      <c r="H86" s="128"/>
      <c r="I86" s="128"/>
      <c r="J86" s="128"/>
      <c r="K86" s="130"/>
      <c r="L86" s="126"/>
    </row>
    <row r="87" spans="1:12" x14ac:dyDescent="0.35">
      <c r="A87" s="152"/>
      <c r="B87" s="159"/>
      <c r="C87" s="152"/>
      <c r="D87" s="109"/>
      <c r="E87" s="155"/>
      <c r="F87" s="18"/>
      <c r="G87" s="128"/>
      <c r="H87" s="128"/>
      <c r="I87" s="128"/>
      <c r="J87" s="128"/>
      <c r="K87" s="130"/>
      <c r="L87" s="126"/>
    </row>
    <row r="88" spans="1:12" x14ac:dyDescent="0.35">
      <c r="A88" s="147" t="s">
        <v>206</v>
      </c>
      <c r="B88" s="149" t="s">
        <v>45</v>
      </c>
      <c r="C88" s="147" t="s">
        <v>202</v>
      </c>
      <c r="D88" s="24">
        <f>278</f>
        <v>278</v>
      </c>
      <c r="E88" s="122">
        <f>D88*180</f>
        <v>50040</v>
      </c>
      <c r="F88" s="18"/>
      <c r="G88" s="128"/>
      <c r="H88" s="128">
        <f>E88</f>
        <v>50040</v>
      </c>
      <c r="I88" s="128"/>
      <c r="J88" s="128"/>
      <c r="K88" s="130">
        <f t="shared" si="3"/>
        <v>50040</v>
      </c>
      <c r="L88" s="126">
        <f t="shared" si="4"/>
        <v>0</v>
      </c>
    </row>
    <row r="89" spans="1:12" x14ac:dyDescent="0.35">
      <c r="A89" s="152"/>
      <c r="B89" s="149" t="s">
        <v>1</v>
      </c>
      <c r="C89" s="152" t="s">
        <v>194</v>
      </c>
      <c r="D89" s="62" t="s">
        <v>166</v>
      </c>
      <c r="E89" s="33">
        <f>C89*1591.35</f>
        <v>0</v>
      </c>
      <c r="F89" s="18"/>
      <c r="G89" s="128"/>
      <c r="H89" s="128"/>
      <c r="I89" s="128"/>
      <c r="J89" s="128">
        <f>E89</f>
        <v>0</v>
      </c>
      <c r="K89" s="130">
        <f t="shared" si="3"/>
        <v>0</v>
      </c>
      <c r="L89" s="126">
        <f t="shared" si="4"/>
        <v>0</v>
      </c>
    </row>
    <row r="90" spans="1:12" x14ac:dyDescent="0.35">
      <c r="A90" s="152"/>
      <c r="B90" s="159"/>
      <c r="C90" s="152"/>
      <c r="D90" s="157">
        <f>SUM(D88:D88)</f>
        <v>278</v>
      </c>
      <c r="E90" s="158">
        <f>SUM(E88:E89)</f>
        <v>50040</v>
      </c>
      <c r="F90" s="18"/>
      <c r="G90" s="128"/>
      <c r="H90" s="128"/>
      <c r="I90" s="128"/>
      <c r="J90" s="128"/>
      <c r="K90" s="130"/>
      <c r="L90" s="126"/>
    </row>
    <row r="91" spans="1:12" x14ac:dyDescent="0.35">
      <c r="A91" s="152"/>
      <c r="B91" s="159"/>
      <c r="C91" s="152"/>
      <c r="D91" s="109"/>
      <c r="E91" s="155"/>
      <c r="F91" s="18"/>
      <c r="G91" s="128"/>
      <c r="H91" s="128"/>
      <c r="I91" s="128"/>
      <c r="J91" s="128"/>
      <c r="K91" s="130"/>
      <c r="L91" s="126"/>
    </row>
    <row r="92" spans="1:12" x14ac:dyDescent="0.35">
      <c r="A92" s="147" t="s">
        <v>283</v>
      </c>
      <c r="B92" s="149" t="s">
        <v>45</v>
      </c>
      <c r="C92" s="147" t="s">
        <v>196</v>
      </c>
      <c r="D92" s="241">
        <v>9283</v>
      </c>
      <c r="E92" s="122">
        <f>D92*45.37</f>
        <v>421169.70999999996</v>
      </c>
      <c r="F92" s="18"/>
      <c r="G92" s="128"/>
      <c r="H92" s="128">
        <f>E92</f>
        <v>421169.70999999996</v>
      </c>
      <c r="I92" s="128"/>
      <c r="J92" s="128"/>
      <c r="K92" s="130">
        <f t="shared" si="3"/>
        <v>421169.70999999996</v>
      </c>
      <c r="L92" s="126">
        <f t="shared" si="4"/>
        <v>0</v>
      </c>
    </row>
    <row r="93" spans="1:12" x14ac:dyDescent="0.35">
      <c r="A93" s="152"/>
      <c r="B93" s="149" t="s">
        <v>1</v>
      </c>
      <c r="C93" s="152" t="s">
        <v>284</v>
      </c>
      <c r="D93" s="62" t="s">
        <v>166</v>
      </c>
      <c r="E93" s="33">
        <f>C93*1591.35</f>
        <v>270529.5</v>
      </c>
      <c r="F93" s="18"/>
      <c r="G93" s="128"/>
      <c r="H93" s="128"/>
      <c r="I93" s="128"/>
      <c r="J93" s="128">
        <f>E93</f>
        <v>270529.5</v>
      </c>
      <c r="K93" s="130">
        <f t="shared" si="3"/>
        <v>270529.5</v>
      </c>
      <c r="L93" s="126">
        <f t="shared" si="4"/>
        <v>0</v>
      </c>
    </row>
    <row r="94" spans="1:12" x14ac:dyDescent="0.35">
      <c r="A94" s="152"/>
      <c r="B94" s="159"/>
      <c r="C94" s="152"/>
      <c r="D94" s="157">
        <f>SUM(D92:D92)</f>
        <v>9283</v>
      </c>
      <c r="E94" s="158">
        <f>SUM(E92:E93)</f>
        <v>691699.21</v>
      </c>
      <c r="F94" s="18"/>
      <c r="G94" s="128"/>
      <c r="H94" s="128"/>
      <c r="I94" s="128"/>
      <c r="J94" s="128"/>
      <c r="K94" s="130"/>
      <c r="L94" s="126"/>
    </row>
    <row r="95" spans="1:12" x14ac:dyDescent="0.35">
      <c r="A95" s="152"/>
      <c r="B95" s="159"/>
      <c r="C95" s="152"/>
      <c r="D95" s="109"/>
      <c r="E95" s="155"/>
      <c r="F95" s="18"/>
      <c r="G95" s="128"/>
      <c r="H95" s="128"/>
      <c r="I95" s="128"/>
      <c r="J95" s="128"/>
      <c r="K95" s="130"/>
      <c r="L95" s="126"/>
    </row>
    <row r="96" spans="1:12" x14ac:dyDescent="0.35">
      <c r="A96" s="147" t="s">
        <v>285</v>
      </c>
      <c r="B96" s="149" t="s">
        <v>45</v>
      </c>
      <c r="C96" s="147" t="s">
        <v>196</v>
      </c>
      <c r="D96" s="24">
        <f>868+70</f>
        <v>938</v>
      </c>
      <c r="E96" s="122">
        <v>23125.89</v>
      </c>
      <c r="F96" s="18"/>
      <c r="G96" s="128"/>
      <c r="H96" s="128">
        <f>E96</f>
        <v>23125.89</v>
      </c>
      <c r="I96" s="128"/>
      <c r="J96" s="128"/>
      <c r="K96" s="130">
        <f t="shared" si="3"/>
        <v>23125.89</v>
      </c>
      <c r="L96" s="126">
        <f t="shared" si="4"/>
        <v>0</v>
      </c>
    </row>
    <row r="97" spans="1:12" x14ac:dyDescent="0.35">
      <c r="A97" s="152"/>
      <c r="B97" s="149" t="s">
        <v>1</v>
      </c>
      <c r="C97" s="152" t="s">
        <v>194</v>
      </c>
      <c r="D97" s="62" t="s">
        <v>266</v>
      </c>
      <c r="E97" s="33">
        <f>C97*1591.35</f>
        <v>0</v>
      </c>
      <c r="F97" s="18"/>
      <c r="G97" s="128"/>
      <c r="H97" s="128"/>
      <c r="I97" s="128"/>
      <c r="J97" s="128">
        <f>E97</f>
        <v>0</v>
      </c>
      <c r="K97" s="130">
        <f t="shared" si="3"/>
        <v>0</v>
      </c>
      <c r="L97" s="126">
        <f t="shared" si="4"/>
        <v>0</v>
      </c>
    </row>
    <row r="98" spans="1:12" x14ac:dyDescent="0.35">
      <c r="A98" s="152"/>
      <c r="B98" s="159"/>
      <c r="C98" s="152"/>
      <c r="D98" s="157">
        <f>SUM(D96:D96)</f>
        <v>938</v>
      </c>
      <c r="E98" s="158">
        <f>SUM(E96:E97)</f>
        <v>23125.89</v>
      </c>
      <c r="F98" s="18"/>
      <c r="G98" s="128"/>
      <c r="H98" s="128"/>
      <c r="I98" s="128"/>
      <c r="J98" s="128"/>
      <c r="K98" s="130"/>
      <c r="L98" s="126"/>
    </row>
    <row r="99" spans="1:12" x14ac:dyDescent="0.35">
      <c r="A99" s="152"/>
      <c r="B99" s="159"/>
      <c r="C99" s="152"/>
      <c r="D99" s="109"/>
      <c r="E99" s="155"/>
      <c r="F99" s="18"/>
      <c r="G99" s="128"/>
      <c r="H99" s="128"/>
      <c r="I99" s="128"/>
      <c r="J99" s="128"/>
      <c r="K99" s="130"/>
      <c r="L99" s="126"/>
    </row>
    <row r="100" spans="1:12" x14ac:dyDescent="0.35">
      <c r="A100" s="147" t="s">
        <v>209</v>
      </c>
      <c r="B100" s="149" t="s">
        <v>45</v>
      </c>
      <c r="C100" s="147" t="s">
        <v>286</v>
      </c>
      <c r="D100" s="106" t="s">
        <v>287</v>
      </c>
      <c r="E100" s="122">
        <v>633.72</v>
      </c>
      <c r="F100" s="18"/>
      <c r="G100" s="128"/>
      <c r="H100" s="128">
        <f>E100</f>
        <v>633.72</v>
      </c>
      <c r="I100" s="128"/>
      <c r="J100" s="128"/>
      <c r="K100" s="130">
        <f t="shared" si="3"/>
        <v>633.72</v>
      </c>
      <c r="L100" s="126">
        <f t="shared" si="4"/>
        <v>0</v>
      </c>
    </row>
    <row r="101" spans="1:12" x14ac:dyDescent="0.35">
      <c r="A101" s="152"/>
      <c r="B101" s="149" t="s">
        <v>1</v>
      </c>
      <c r="C101" s="152" t="s">
        <v>194</v>
      </c>
      <c r="D101" s="62" t="s">
        <v>166</v>
      </c>
      <c r="E101" s="33">
        <f>C101*1591.35</f>
        <v>0</v>
      </c>
      <c r="F101" s="18"/>
      <c r="G101" s="128"/>
      <c r="H101" s="128"/>
      <c r="I101" s="128"/>
      <c r="J101" s="128">
        <f>E101</f>
        <v>0</v>
      </c>
      <c r="K101" s="130">
        <f t="shared" si="3"/>
        <v>0</v>
      </c>
      <c r="L101" s="126">
        <f t="shared" si="4"/>
        <v>0</v>
      </c>
    </row>
    <row r="102" spans="1:12" x14ac:dyDescent="0.35">
      <c r="A102" s="152"/>
      <c r="B102" s="159"/>
      <c r="C102" s="152"/>
      <c r="D102" s="157">
        <f>SUM(D100:D100)</f>
        <v>0</v>
      </c>
      <c r="E102" s="158">
        <f>SUM(E100:E101)</f>
        <v>633.72</v>
      </c>
      <c r="F102" s="18"/>
      <c r="G102" s="128"/>
      <c r="H102" s="128"/>
      <c r="I102" s="128"/>
      <c r="J102" s="128"/>
      <c r="K102" s="130"/>
      <c r="L102" s="126"/>
    </row>
    <row r="103" spans="1:12" x14ac:dyDescent="0.35">
      <c r="A103" s="152"/>
      <c r="B103" s="159"/>
      <c r="C103" s="152"/>
      <c r="D103" s="109"/>
      <c r="E103" s="155"/>
      <c r="F103" s="18"/>
      <c r="G103" s="128"/>
      <c r="H103" s="128"/>
      <c r="I103" s="128"/>
      <c r="J103" s="128"/>
      <c r="K103" s="130"/>
      <c r="L103" s="126"/>
    </row>
    <row r="104" spans="1:12" x14ac:dyDescent="0.35">
      <c r="A104" s="147" t="s">
        <v>288</v>
      </c>
      <c r="B104" s="149" t="s">
        <v>45</v>
      </c>
      <c r="C104" s="147" t="s">
        <v>286</v>
      </c>
      <c r="D104" s="106" t="s">
        <v>287</v>
      </c>
      <c r="E104" s="122">
        <v>1224.02</v>
      </c>
      <c r="F104" s="18"/>
      <c r="G104" s="128"/>
      <c r="H104" s="128">
        <f>E104</f>
        <v>1224.02</v>
      </c>
      <c r="I104" s="128"/>
      <c r="J104" s="128"/>
      <c r="K104" s="130">
        <f t="shared" si="3"/>
        <v>1224.02</v>
      </c>
      <c r="L104" s="126">
        <f t="shared" si="4"/>
        <v>0</v>
      </c>
    </row>
    <row r="105" spans="1:12" x14ac:dyDescent="0.35">
      <c r="A105" s="152"/>
      <c r="B105" s="149" t="s">
        <v>1</v>
      </c>
      <c r="C105" s="152" t="s">
        <v>194</v>
      </c>
      <c r="D105" s="62" t="s">
        <v>166</v>
      </c>
      <c r="E105" s="33">
        <f>C105*1591.35</f>
        <v>0</v>
      </c>
      <c r="F105" s="18"/>
      <c r="G105" s="128"/>
      <c r="H105" s="128"/>
      <c r="I105" s="128"/>
      <c r="J105" s="128">
        <f>E105</f>
        <v>0</v>
      </c>
      <c r="K105" s="130">
        <f t="shared" si="3"/>
        <v>0</v>
      </c>
      <c r="L105" s="126">
        <f t="shared" si="4"/>
        <v>0</v>
      </c>
    </row>
    <row r="106" spans="1:12" x14ac:dyDescent="0.35">
      <c r="A106" s="152"/>
      <c r="B106" s="159"/>
      <c r="C106" s="152"/>
      <c r="D106" s="157">
        <f>SUM(D104:D104)</f>
        <v>0</v>
      </c>
      <c r="E106" s="158">
        <f>SUM(E104:E105)</f>
        <v>1224.02</v>
      </c>
      <c r="F106" s="18"/>
      <c r="G106" s="128"/>
      <c r="H106" s="128"/>
      <c r="I106" s="128"/>
      <c r="J106" s="128"/>
      <c r="K106" s="130"/>
      <c r="L106" s="126"/>
    </row>
    <row r="107" spans="1:12" x14ac:dyDescent="0.35">
      <c r="A107" s="152"/>
      <c r="B107" s="159"/>
      <c r="C107" s="152"/>
      <c r="D107" s="109"/>
      <c r="E107" s="155"/>
      <c r="F107" s="18"/>
      <c r="G107" s="128"/>
      <c r="H107" s="128"/>
      <c r="I107" s="128"/>
      <c r="J107" s="128"/>
      <c r="K107" s="130"/>
      <c r="L107" s="126"/>
    </row>
    <row r="108" spans="1:12" x14ac:dyDescent="0.35">
      <c r="A108" s="147" t="s">
        <v>289</v>
      </c>
      <c r="B108" s="149" t="s">
        <v>45</v>
      </c>
      <c r="C108" s="147" t="s">
        <v>286</v>
      </c>
      <c r="D108" s="106" t="s">
        <v>287</v>
      </c>
      <c r="E108" s="122">
        <v>7609.21</v>
      </c>
      <c r="F108" s="18"/>
      <c r="G108" s="128"/>
      <c r="H108" s="128">
        <f>E108</f>
        <v>7609.21</v>
      </c>
      <c r="I108" s="128"/>
      <c r="J108" s="128"/>
      <c r="K108" s="130">
        <f t="shared" si="3"/>
        <v>7609.21</v>
      </c>
      <c r="L108" s="126">
        <f t="shared" si="4"/>
        <v>0</v>
      </c>
    </row>
    <row r="109" spans="1:12" x14ac:dyDescent="0.35">
      <c r="A109" s="152"/>
      <c r="B109" s="149" t="s">
        <v>1</v>
      </c>
      <c r="C109" s="152" t="s">
        <v>194</v>
      </c>
      <c r="D109" s="62" t="s">
        <v>166</v>
      </c>
      <c r="E109" s="33">
        <f>C109*1591.35</f>
        <v>0</v>
      </c>
      <c r="F109" s="18"/>
      <c r="G109" s="128"/>
      <c r="H109" s="128"/>
      <c r="I109" s="128"/>
      <c r="J109" s="128">
        <f>E109</f>
        <v>0</v>
      </c>
      <c r="K109" s="130">
        <f t="shared" si="3"/>
        <v>0</v>
      </c>
      <c r="L109" s="126">
        <f t="shared" si="4"/>
        <v>0</v>
      </c>
    </row>
    <row r="110" spans="1:12" x14ac:dyDescent="0.35">
      <c r="A110" s="152"/>
      <c r="B110" s="159"/>
      <c r="C110" s="152"/>
      <c r="D110" s="157">
        <f>SUM(D108:D108)</f>
        <v>0</v>
      </c>
      <c r="E110" s="158">
        <f>SUM(E108:E109)</f>
        <v>7609.21</v>
      </c>
      <c r="F110" s="18"/>
      <c r="G110" s="128"/>
      <c r="H110" s="128"/>
      <c r="I110" s="128"/>
      <c r="J110" s="128"/>
      <c r="K110" s="130"/>
      <c r="L110" s="126"/>
    </row>
    <row r="111" spans="1:12" x14ac:dyDescent="0.35">
      <c r="A111" s="152"/>
      <c r="B111" s="159"/>
      <c r="C111" s="152"/>
      <c r="D111" s="109"/>
      <c r="E111" s="155"/>
      <c r="F111" s="18"/>
      <c r="G111" s="128"/>
      <c r="H111" s="128"/>
      <c r="I111" s="128"/>
      <c r="J111" s="128"/>
      <c r="K111" s="130"/>
      <c r="L111" s="126"/>
    </row>
    <row r="112" spans="1:12" x14ac:dyDescent="0.35">
      <c r="A112" s="147" t="s">
        <v>198</v>
      </c>
      <c r="B112" s="149" t="s">
        <v>45</v>
      </c>
      <c r="C112" s="147" t="s">
        <v>286</v>
      </c>
      <c r="D112" s="106" t="s">
        <v>287</v>
      </c>
      <c r="E112" s="122">
        <v>9183.64</v>
      </c>
      <c r="F112" s="18"/>
      <c r="G112" s="128"/>
      <c r="H112" s="128">
        <f>E112</f>
        <v>9183.64</v>
      </c>
      <c r="I112" s="128"/>
      <c r="J112" s="128"/>
      <c r="K112" s="130">
        <f t="shared" si="3"/>
        <v>9183.64</v>
      </c>
      <c r="L112" s="126">
        <f t="shared" si="4"/>
        <v>0</v>
      </c>
    </row>
    <row r="113" spans="1:12" x14ac:dyDescent="0.35">
      <c r="A113" s="152"/>
      <c r="B113" s="149" t="s">
        <v>1</v>
      </c>
      <c r="C113" s="152" t="s">
        <v>194</v>
      </c>
      <c r="D113" s="62" t="s">
        <v>166</v>
      </c>
      <c r="E113" s="33">
        <f>C113*1591.35</f>
        <v>0</v>
      </c>
      <c r="F113" s="18"/>
      <c r="G113" s="128"/>
      <c r="H113" s="128"/>
      <c r="I113" s="128"/>
      <c r="J113" s="128">
        <f>E113</f>
        <v>0</v>
      </c>
      <c r="K113" s="130">
        <f t="shared" si="3"/>
        <v>0</v>
      </c>
      <c r="L113" s="126">
        <f t="shared" si="4"/>
        <v>0</v>
      </c>
    </row>
    <row r="114" spans="1:12" x14ac:dyDescent="0.35">
      <c r="A114" s="152"/>
      <c r="B114" s="159"/>
      <c r="C114" s="152"/>
      <c r="D114" s="157">
        <f>SUM(D112:D112)</f>
        <v>0</v>
      </c>
      <c r="E114" s="158">
        <f>SUM(E112:E113)</f>
        <v>9183.64</v>
      </c>
      <c r="F114" s="18"/>
      <c r="G114" s="128"/>
      <c r="H114" s="128"/>
      <c r="I114" s="128"/>
      <c r="J114" s="128"/>
      <c r="K114" s="130"/>
      <c r="L114" s="126"/>
    </row>
    <row r="115" spans="1:12" x14ac:dyDescent="0.35">
      <c r="A115" s="152"/>
      <c r="B115" s="159"/>
      <c r="C115" s="152"/>
      <c r="D115" s="109"/>
      <c r="E115" s="155"/>
      <c r="F115" s="18"/>
      <c r="G115" s="128"/>
      <c r="H115" s="128"/>
      <c r="I115" s="128"/>
      <c r="J115" s="128"/>
      <c r="K115" s="130"/>
      <c r="L115" s="126"/>
    </row>
    <row r="116" spans="1:12" x14ac:dyDescent="0.35">
      <c r="A116" s="147" t="s">
        <v>290</v>
      </c>
      <c r="B116" s="149" t="s">
        <v>45</v>
      </c>
      <c r="C116" s="147" t="s">
        <v>286</v>
      </c>
      <c r="D116" s="106" t="s">
        <v>287</v>
      </c>
      <c r="E116" s="122">
        <v>25806.21</v>
      </c>
      <c r="F116" s="18"/>
      <c r="G116" s="128"/>
      <c r="H116" s="128">
        <f>E116</f>
        <v>25806.21</v>
      </c>
      <c r="I116" s="128"/>
      <c r="J116" s="128"/>
      <c r="K116" s="130">
        <f t="shared" si="3"/>
        <v>25806.21</v>
      </c>
      <c r="L116" s="126">
        <f t="shared" si="4"/>
        <v>0</v>
      </c>
    </row>
    <row r="117" spans="1:12" x14ac:dyDescent="0.35">
      <c r="A117" s="152"/>
      <c r="B117" s="149" t="s">
        <v>1</v>
      </c>
      <c r="C117" s="152" t="s">
        <v>194</v>
      </c>
      <c r="D117" s="62" t="s">
        <v>166</v>
      </c>
      <c r="E117" s="33">
        <f>C117*1591.35</f>
        <v>0</v>
      </c>
      <c r="F117" s="18"/>
      <c r="G117" s="128"/>
      <c r="H117" s="128"/>
      <c r="I117" s="128"/>
      <c r="J117" s="128">
        <f>E117</f>
        <v>0</v>
      </c>
      <c r="K117" s="130">
        <f t="shared" si="3"/>
        <v>0</v>
      </c>
      <c r="L117" s="126">
        <f t="shared" si="4"/>
        <v>0</v>
      </c>
    </row>
    <row r="118" spans="1:12" x14ac:dyDescent="0.35">
      <c r="A118" s="152"/>
      <c r="B118" s="159"/>
      <c r="C118" s="152"/>
      <c r="D118" s="157">
        <f>SUM(D116:D116)</f>
        <v>0</v>
      </c>
      <c r="E118" s="158">
        <f>SUM(E116:E117)</f>
        <v>25806.21</v>
      </c>
      <c r="F118" s="18"/>
      <c r="G118" s="128"/>
      <c r="H118" s="128"/>
      <c r="I118" s="128"/>
      <c r="J118" s="128"/>
      <c r="K118" s="130"/>
      <c r="L118" s="126"/>
    </row>
    <row r="119" spans="1:12" x14ac:dyDescent="0.35">
      <c r="A119" s="152"/>
      <c r="B119" s="159"/>
      <c r="C119" s="152"/>
      <c r="D119" s="109"/>
      <c r="E119" s="155"/>
      <c r="F119" s="18"/>
      <c r="G119" s="128"/>
      <c r="H119" s="128"/>
      <c r="I119" s="128"/>
      <c r="J119" s="128"/>
      <c r="K119" s="130"/>
      <c r="L119" s="126"/>
    </row>
    <row r="120" spans="1:12" x14ac:dyDescent="0.35">
      <c r="A120" s="147" t="s">
        <v>291</v>
      </c>
      <c r="B120" s="149" t="s">
        <v>45</v>
      </c>
      <c r="C120" s="147" t="s">
        <v>286</v>
      </c>
      <c r="D120" s="106" t="s">
        <v>287</v>
      </c>
      <c r="E120" s="122">
        <v>40358.26</v>
      </c>
      <c r="F120" s="18"/>
      <c r="G120" s="128"/>
      <c r="H120" s="128">
        <f>E120</f>
        <v>40358.26</v>
      </c>
      <c r="I120" s="128"/>
      <c r="J120" s="128"/>
      <c r="K120" s="130">
        <f t="shared" si="3"/>
        <v>40358.26</v>
      </c>
      <c r="L120" s="126">
        <f t="shared" si="4"/>
        <v>0</v>
      </c>
    </row>
    <row r="121" spans="1:12" x14ac:dyDescent="0.35">
      <c r="A121" s="152"/>
      <c r="B121" s="149" t="s">
        <v>1</v>
      </c>
      <c r="C121" s="152" t="s">
        <v>194</v>
      </c>
      <c r="D121" s="62" t="s">
        <v>166</v>
      </c>
      <c r="E121" s="33">
        <f>C121*1591.35</f>
        <v>0</v>
      </c>
      <c r="F121" s="18"/>
      <c r="G121" s="128"/>
      <c r="H121" s="128"/>
      <c r="I121" s="128"/>
      <c r="J121" s="128">
        <f>E121</f>
        <v>0</v>
      </c>
      <c r="K121" s="130">
        <f t="shared" si="3"/>
        <v>0</v>
      </c>
      <c r="L121" s="126">
        <f t="shared" si="4"/>
        <v>0</v>
      </c>
    </row>
    <row r="122" spans="1:12" x14ac:dyDescent="0.35">
      <c r="A122" s="152"/>
      <c r="B122" s="159"/>
      <c r="C122" s="152"/>
      <c r="D122" s="157">
        <f>SUM(D120:D120)</f>
        <v>0</v>
      </c>
      <c r="E122" s="158">
        <f>SUM(E120:E121)</f>
        <v>40358.26</v>
      </c>
      <c r="F122" s="18"/>
      <c r="G122" s="128"/>
      <c r="H122" s="128"/>
      <c r="I122" s="128"/>
      <c r="J122" s="128"/>
      <c r="K122" s="130"/>
      <c r="L122" s="126"/>
    </row>
    <row r="123" spans="1:12" x14ac:dyDescent="0.35">
      <c r="A123" s="152"/>
      <c r="B123" s="159"/>
      <c r="C123" s="152"/>
      <c r="D123" s="109"/>
      <c r="E123" s="155"/>
      <c r="F123" s="18"/>
      <c r="G123" s="128"/>
      <c r="H123" s="128"/>
      <c r="I123" s="128"/>
      <c r="J123" s="128"/>
      <c r="K123" s="130"/>
      <c r="L123" s="126"/>
    </row>
    <row r="124" spans="1:12" x14ac:dyDescent="0.35">
      <c r="A124" s="147" t="s">
        <v>292</v>
      </c>
      <c r="B124" s="149" t="s">
        <v>45</v>
      </c>
      <c r="C124" s="147" t="s">
        <v>286</v>
      </c>
      <c r="D124" s="106" t="s">
        <v>287</v>
      </c>
      <c r="E124" s="122">
        <v>31483.83</v>
      </c>
      <c r="F124" s="18"/>
      <c r="G124" s="128"/>
      <c r="H124" s="128">
        <f>E124</f>
        <v>31483.83</v>
      </c>
      <c r="I124" s="128"/>
      <c r="J124" s="128"/>
      <c r="K124" s="130">
        <f t="shared" si="3"/>
        <v>31483.83</v>
      </c>
      <c r="L124" s="126">
        <f t="shared" si="4"/>
        <v>0</v>
      </c>
    </row>
    <row r="125" spans="1:12" x14ac:dyDescent="0.35">
      <c r="A125" s="152"/>
      <c r="B125" s="149" t="s">
        <v>1</v>
      </c>
      <c r="C125" s="152" t="s">
        <v>194</v>
      </c>
      <c r="D125" s="62" t="s">
        <v>166</v>
      </c>
      <c r="E125" s="33">
        <f>C125*1591.35</f>
        <v>0</v>
      </c>
      <c r="F125" s="18"/>
      <c r="G125" s="128"/>
      <c r="H125" s="128"/>
      <c r="I125" s="128"/>
      <c r="J125" s="128">
        <f>E125</f>
        <v>0</v>
      </c>
      <c r="K125" s="130">
        <f t="shared" si="3"/>
        <v>0</v>
      </c>
      <c r="L125" s="126">
        <f t="shared" si="4"/>
        <v>0</v>
      </c>
    </row>
    <row r="126" spans="1:12" x14ac:dyDescent="0.35">
      <c r="A126" s="152"/>
      <c r="B126" s="159"/>
      <c r="C126" s="152"/>
      <c r="D126" s="157">
        <f>SUM(D124:D124)</f>
        <v>0</v>
      </c>
      <c r="E126" s="158">
        <f>SUM(E124:E125)</f>
        <v>31483.83</v>
      </c>
      <c r="F126" s="18"/>
      <c r="G126" s="128"/>
      <c r="H126" s="128"/>
      <c r="I126" s="128"/>
      <c r="J126" s="128"/>
      <c r="K126" s="130"/>
      <c r="L126" s="126"/>
    </row>
    <row r="127" spans="1:12" x14ac:dyDescent="0.35">
      <c r="A127" s="152"/>
      <c r="B127" s="159"/>
      <c r="C127" s="152"/>
      <c r="D127" s="109"/>
      <c r="E127" s="155"/>
      <c r="F127" s="18"/>
      <c r="G127" s="128"/>
      <c r="H127" s="128"/>
      <c r="I127" s="128"/>
      <c r="J127" s="128"/>
      <c r="K127" s="130"/>
      <c r="L127" s="126"/>
    </row>
    <row r="128" spans="1:12" x14ac:dyDescent="0.35">
      <c r="A128" s="147" t="s">
        <v>293</v>
      </c>
      <c r="B128" s="149" t="s">
        <v>45</v>
      </c>
      <c r="C128" s="147" t="s">
        <v>286</v>
      </c>
      <c r="D128" s="106" t="s">
        <v>287</v>
      </c>
      <c r="E128" s="122">
        <v>26411.49</v>
      </c>
      <c r="F128" s="18"/>
      <c r="G128" s="128"/>
      <c r="H128" s="128">
        <f>E128</f>
        <v>26411.49</v>
      </c>
      <c r="I128" s="128"/>
      <c r="J128" s="128"/>
      <c r="K128" s="130">
        <f t="shared" si="3"/>
        <v>26411.49</v>
      </c>
      <c r="L128" s="126">
        <f t="shared" si="4"/>
        <v>0</v>
      </c>
    </row>
    <row r="129" spans="1:12" x14ac:dyDescent="0.35">
      <c r="A129" s="152"/>
      <c r="B129" s="149" t="s">
        <v>1</v>
      </c>
      <c r="C129" s="152" t="s">
        <v>194</v>
      </c>
      <c r="D129" s="62" t="s">
        <v>166</v>
      </c>
      <c r="E129" s="33">
        <f>C129*1591.35</f>
        <v>0</v>
      </c>
      <c r="F129" s="18"/>
      <c r="G129" s="128"/>
      <c r="H129" s="128"/>
      <c r="I129" s="128"/>
      <c r="J129" s="128">
        <f>E129</f>
        <v>0</v>
      </c>
      <c r="K129" s="130">
        <f t="shared" si="3"/>
        <v>0</v>
      </c>
      <c r="L129" s="126">
        <f t="shared" si="4"/>
        <v>0</v>
      </c>
    </row>
    <row r="130" spans="1:12" x14ac:dyDescent="0.35">
      <c r="A130" s="152"/>
      <c r="B130" s="159"/>
      <c r="C130" s="152"/>
      <c r="D130" s="157">
        <f>SUM(D128:D128)</f>
        <v>0</v>
      </c>
      <c r="E130" s="158">
        <f>SUM(E128:E129)</f>
        <v>26411.49</v>
      </c>
      <c r="F130" s="18"/>
      <c r="G130" s="128"/>
      <c r="H130" s="128"/>
      <c r="I130" s="128"/>
      <c r="J130" s="128"/>
      <c r="K130" s="130"/>
      <c r="L130" s="126"/>
    </row>
    <row r="131" spans="1:12" x14ac:dyDescent="0.35">
      <c r="A131" s="147"/>
      <c r="B131" s="150"/>
      <c r="C131" s="147"/>
      <c r="D131" s="24"/>
      <c r="E131" s="32"/>
      <c r="F131" s="18"/>
      <c r="G131" s="128"/>
      <c r="H131" s="128"/>
      <c r="I131" s="128"/>
      <c r="J131" s="128"/>
      <c r="K131" s="130"/>
      <c r="L131" s="126"/>
    </row>
    <row r="132" spans="1:12" x14ac:dyDescent="0.35">
      <c r="A132" s="19"/>
      <c r="B132" s="20" t="s">
        <v>58</v>
      </c>
      <c r="C132" s="19"/>
      <c r="D132" s="25">
        <f>D98+D86+D81+D76+D71+D67+D62+D58+D50+D44+D40+D35+D31+D26+D22+D18+D13+D94+D90+D54</f>
        <v>93456</v>
      </c>
      <c r="E132" s="34">
        <f>E130+E126+E122+E118+E114+E110+E106+E102+E98+E90+E86+E81+E76+E71+E67+E62+E58+E54+E50+E44+E40+E35+E31+E26+E22+E18+E13+E8+E94</f>
        <v>8605645.7799999993</v>
      </c>
      <c r="F132" s="18"/>
      <c r="G132" s="131">
        <f t="shared" ref="G132:L132" si="5">SUM(G7:G131)</f>
        <v>215000</v>
      </c>
      <c r="H132" s="131">
        <f t="shared" si="5"/>
        <v>7609292.9299999988</v>
      </c>
      <c r="I132" s="131">
        <f t="shared" si="5"/>
        <v>0</v>
      </c>
      <c r="J132" s="131">
        <f t="shared" si="5"/>
        <v>781352.85</v>
      </c>
      <c r="K132" s="131">
        <f t="shared" si="5"/>
        <v>8605645.7800000031</v>
      </c>
      <c r="L132" s="127">
        <f t="shared" si="5"/>
        <v>0</v>
      </c>
    </row>
    <row r="133" spans="1:12" x14ac:dyDescent="0.35">
      <c r="A133" s="19"/>
      <c r="B133" s="20"/>
      <c r="C133" s="19"/>
      <c r="D133" s="21"/>
      <c r="E133" s="21"/>
      <c r="G133" s="128"/>
      <c r="H133" s="128"/>
      <c r="I133" s="128"/>
      <c r="J133" s="128"/>
      <c r="K133" s="128"/>
      <c r="L133" s="125"/>
    </row>
    <row r="134" spans="1:12" x14ac:dyDescent="0.35">
      <c r="A134" s="151" t="s">
        <v>69</v>
      </c>
      <c r="B134" s="20"/>
      <c r="C134" s="19"/>
      <c r="D134" s="21"/>
      <c r="E134" s="21"/>
      <c r="F134" s="18"/>
      <c r="G134" s="128"/>
      <c r="H134" s="128"/>
      <c r="I134" s="128"/>
      <c r="J134" s="128"/>
      <c r="K134" s="128"/>
      <c r="L134" s="125"/>
    </row>
    <row r="135" spans="1:12" x14ac:dyDescent="0.35">
      <c r="A135" s="151" t="s">
        <v>147</v>
      </c>
      <c r="B135" s="20"/>
      <c r="C135" s="19"/>
      <c r="D135" s="24"/>
      <c r="E135" s="21"/>
      <c r="F135" s="18"/>
      <c r="G135" s="130"/>
      <c r="H135" s="130"/>
      <c r="I135" s="130"/>
      <c r="J135" s="130"/>
      <c r="K135" s="130"/>
      <c r="L135" s="125"/>
    </row>
    <row r="136" spans="1:12" x14ac:dyDescent="0.35">
      <c r="A136" s="151" t="s">
        <v>146</v>
      </c>
      <c r="B136" s="20"/>
      <c r="C136" s="19"/>
      <c r="E136" s="21"/>
      <c r="F136" s="18"/>
      <c r="G136" s="130"/>
      <c r="H136" s="228"/>
      <c r="I136" s="228"/>
      <c r="J136" s="130"/>
      <c r="K136" s="130"/>
      <c r="L136" s="125"/>
    </row>
    <row r="137" spans="1:12" x14ac:dyDescent="0.35">
      <c r="A137" s="151" t="s">
        <v>157</v>
      </c>
      <c r="B137" s="20"/>
      <c r="C137" s="19"/>
      <c r="E137" s="21"/>
      <c r="F137" s="18"/>
      <c r="G137" s="162"/>
      <c r="H137" s="229"/>
      <c r="I137" s="229"/>
      <c r="J137" s="162"/>
      <c r="K137" s="162"/>
      <c r="L137" s="126"/>
    </row>
    <row r="138" spans="1:12" x14ac:dyDescent="0.35">
      <c r="A138" s="147"/>
      <c r="B138" s="150"/>
      <c r="C138" s="147"/>
      <c r="D138" s="24"/>
      <c r="E138" s="32"/>
      <c r="F138" s="18"/>
      <c r="G138" s="162"/>
      <c r="H138" s="229"/>
      <c r="I138" s="229"/>
      <c r="J138" s="162"/>
      <c r="K138" s="162"/>
      <c r="L138" s="126"/>
    </row>
    <row r="139" spans="1:12" x14ac:dyDescent="0.35">
      <c r="A139" s="147"/>
      <c r="B139" s="150"/>
      <c r="C139" s="147"/>
      <c r="D139" s="106"/>
      <c r="E139" s="122"/>
      <c r="F139" s="18"/>
      <c r="G139" s="162"/>
      <c r="H139" s="162"/>
      <c r="I139" s="162"/>
      <c r="J139" s="162"/>
      <c r="K139" s="162"/>
      <c r="L139" s="126"/>
    </row>
    <row r="140" spans="1:12" x14ac:dyDescent="0.35">
      <c r="A140" s="147"/>
      <c r="B140" s="150"/>
      <c r="C140" s="147"/>
      <c r="D140" s="24"/>
      <c r="E140" s="32"/>
      <c r="F140" s="18"/>
      <c r="G140" s="162"/>
      <c r="H140" s="162"/>
      <c r="I140" s="162"/>
      <c r="J140" s="162"/>
      <c r="K140" s="162"/>
      <c r="L140" s="126"/>
    </row>
    <row r="141" spans="1:12" x14ac:dyDescent="0.35">
      <c r="A141" s="147"/>
      <c r="B141" s="150"/>
      <c r="C141" s="147"/>
      <c r="D141" s="24"/>
      <c r="E141" s="32"/>
      <c r="F141" s="18"/>
      <c r="G141" s="162"/>
      <c r="H141" s="162"/>
      <c r="I141" s="162"/>
      <c r="J141" s="162"/>
      <c r="K141" s="162"/>
      <c r="L141" s="126"/>
    </row>
    <row r="142" spans="1:12" x14ac:dyDescent="0.35">
      <c r="A142" s="147"/>
      <c r="B142" s="150"/>
      <c r="C142" s="147"/>
      <c r="D142" s="24"/>
      <c r="E142" s="32"/>
      <c r="F142" s="18"/>
      <c r="G142" s="162"/>
      <c r="H142" s="162"/>
      <c r="I142" s="162"/>
      <c r="J142" s="162"/>
      <c r="K142" s="162"/>
      <c r="L142" s="126"/>
    </row>
    <row r="143" spans="1:12" x14ac:dyDescent="0.35">
      <c r="A143" s="147"/>
      <c r="B143" s="150"/>
      <c r="C143" s="147"/>
      <c r="D143" s="24"/>
      <c r="E143" s="32"/>
      <c r="F143" s="18"/>
      <c r="G143" s="163"/>
      <c r="H143" s="163"/>
      <c r="I143" s="163"/>
      <c r="J143" s="163"/>
      <c r="K143" s="162"/>
      <c r="L143" s="126"/>
    </row>
    <row r="144" spans="1:12" x14ac:dyDescent="0.35">
      <c r="A144" s="147"/>
      <c r="B144" s="150"/>
      <c r="C144" s="147"/>
      <c r="D144" s="24"/>
      <c r="E144" s="32"/>
      <c r="F144" s="18"/>
      <c r="G144" s="163"/>
      <c r="H144" s="163"/>
      <c r="I144" s="163"/>
      <c r="J144" s="163"/>
      <c r="K144" s="162"/>
      <c r="L144" s="126"/>
    </row>
    <row r="145" spans="1:12" x14ac:dyDescent="0.35">
      <c r="A145" s="147"/>
      <c r="B145" s="150"/>
      <c r="C145" s="147"/>
      <c r="D145" s="24"/>
      <c r="E145" s="32"/>
      <c r="F145" s="18"/>
      <c r="G145" s="163"/>
      <c r="H145" s="163"/>
      <c r="I145" s="163"/>
      <c r="J145" s="163"/>
      <c r="K145" s="162"/>
      <c r="L145" s="126"/>
    </row>
    <row r="146" spans="1:12" x14ac:dyDescent="0.35">
      <c r="A146" s="147"/>
      <c r="B146" s="150"/>
      <c r="C146" s="147"/>
      <c r="D146" s="106"/>
      <c r="E146" s="32"/>
      <c r="F146" s="18"/>
      <c r="G146" s="163"/>
      <c r="H146" s="163"/>
      <c r="I146" s="163"/>
      <c r="J146" s="163"/>
      <c r="K146" s="162"/>
      <c r="L146" s="126"/>
    </row>
    <row r="147" spans="1:12" x14ac:dyDescent="0.35">
      <c r="A147" s="147"/>
      <c r="B147" s="150"/>
      <c r="C147" s="147"/>
      <c r="D147" s="106"/>
      <c r="E147" s="122"/>
      <c r="F147" s="18"/>
      <c r="G147" s="163"/>
      <c r="H147" s="163"/>
      <c r="I147" s="163"/>
      <c r="J147" s="163"/>
      <c r="K147" s="163"/>
      <c r="L147" s="126"/>
    </row>
    <row r="148" spans="1:12" x14ac:dyDescent="0.35">
      <c r="A148" s="147"/>
      <c r="B148" s="150"/>
      <c r="C148" s="147"/>
      <c r="D148" s="24"/>
      <c r="E148" s="32"/>
      <c r="F148" s="18"/>
      <c r="G148" s="163"/>
      <c r="H148" s="163"/>
      <c r="I148" s="163"/>
      <c r="J148" s="163"/>
      <c r="K148" s="163"/>
      <c r="L148" s="125"/>
    </row>
    <row r="149" spans="1:12" x14ac:dyDescent="0.35">
      <c r="A149" s="147"/>
      <c r="B149" s="150"/>
      <c r="C149" s="147"/>
      <c r="D149" s="24"/>
      <c r="E149" s="32"/>
      <c r="F149" s="18"/>
      <c r="G149" s="163"/>
      <c r="H149" s="163"/>
      <c r="I149" s="163"/>
      <c r="J149" s="163"/>
      <c r="K149" s="163"/>
      <c r="L149" s="125"/>
    </row>
    <row r="150" spans="1:12" x14ac:dyDescent="0.35">
      <c r="A150" s="19"/>
      <c r="B150" s="20"/>
      <c r="C150" s="19"/>
      <c r="D150" s="24"/>
      <c r="E150" s="33"/>
      <c r="F150" s="18"/>
      <c r="G150" s="164"/>
      <c r="H150" s="164"/>
      <c r="I150" s="164"/>
      <c r="J150" s="164"/>
      <c r="K150" s="164"/>
      <c r="L150" s="165"/>
    </row>
    <row r="151" spans="1:12" x14ac:dyDescent="0.35">
      <c r="A151" s="19"/>
      <c r="B151" s="20"/>
      <c r="C151" s="19"/>
      <c r="D151" s="24"/>
      <c r="E151" s="32"/>
      <c r="F151" s="18"/>
      <c r="G151" s="163"/>
      <c r="H151" s="163"/>
      <c r="I151" s="163"/>
      <c r="J151" s="163"/>
      <c r="K151" s="163"/>
      <c r="L151" s="125"/>
    </row>
    <row r="152" spans="1:12" x14ac:dyDescent="0.35">
      <c r="A152" s="151"/>
      <c r="B152" s="20"/>
      <c r="C152" s="19"/>
      <c r="D152" s="265"/>
      <c r="E152" s="265"/>
      <c r="F152" s="18"/>
      <c r="G152" s="163"/>
      <c r="H152" s="163"/>
      <c r="I152" s="163"/>
      <c r="J152" s="163"/>
      <c r="K152" s="163"/>
      <c r="L152" s="125"/>
    </row>
    <row r="153" spans="1:12" x14ac:dyDescent="0.35">
      <c r="A153" s="151"/>
      <c r="B153" s="20"/>
      <c r="C153" s="19"/>
      <c r="D153" s="24"/>
      <c r="E153" s="265"/>
      <c r="F153" s="18"/>
      <c r="G153" s="163"/>
      <c r="H153" s="163"/>
      <c r="I153" s="163"/>
      <c r="J153" s="163"/>
      <c r="K153" s="163"/>
      <c r="L153" s="125"/>
    </row>
    <row r="154" spans="1:12" x14ac:dyDescent="0.35">
      <c r="A154" s="151"/>
      <c r="B154" s="20"/>
      <c r="C154" s="19"/>
      <c r="E154" s="265"/>
      <c r="F154" s="18"/>
      <c r="G154" s="163"/>
      <c r="H154" s="163"/>
      <c r="I154" s="163"/>
      <c r="J154" s="163"/>
      <c r="K154" s="163"/>
      <c r="L154" s="125"/>
    </row>
    <row r="155" spans="1:12" x14ac:dyDescent="0.35">
      <c r="A155" s="151"/>
      <c r="B155" s="20"/>
      <c r="C155" s="19"/>
      <c r="E155" s="265"/>
      <c r="F155" s="18"/>
    </row>
  </sheetData>
  <pageMargins left="0.7" right="0.7" top="0.75" bottom="0.75" header="0.3" footer="0.3"/>
  <pageSetup scale="62" pageOrder="overThenDown" orientation="portrait" r:id="rId1"/>
  <headerFooter>
    <oddHeader>&amp;R 2024 Schedule IV
Page &amp;P of &amp;N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A3FE-A99E-4345-8615-FF97A027955D}">
  <dimension ref="A1:L47"/>
  <sheetViews>
    <sheetView view="pageBreakPreview" zoomScaleNormal="100" zoomScaleSheetLayoutView="100" workbookViewId="0">
      <selection activeCell="B36" sqref="B36"/>
    </sheetView>
  </sheetViews>
  <sheetFormatPr defaultRowHeight="14.5" x14ac:dyDescent="0.35"/>
  <cols>
    <col min="1" max="1" width="17.26953125" customWidth="1"/>
    <col min="2" max="2" width="22" customWidth="1"/>
    <col min="3" max="3" width="28.453125" customWidth="1"/>
    <col min="4" max="4" width="9.54296875" bestFit="1" customWidth="1"/>
    <col min="5" max="5" width="14.26953125" bestFit="1" customWidth="1"/>
    <col min="7" max="7" width="12.54296875" style="29" bestFit="1" customWidth="1"/>
    <col min="8" max="8" width="15.26953125" style="29" bestFit="1" customWidth="1"/>
    <col min="9" max="9" width="14.1796875" style="29" bestFit="1" customWidth="1"/>
    <col min="10" max="10" width="14.26953125" style="29" bestFit="1" customWidth="1"/>
    <col min="11" max="11" width="15.26953125" bestFit="1" customWidth="1"/>
    <col min="12" max="12" width="14.26953125" bestFit="1" customWidth="1"/>
    <col min="255" max="255" width="32" customWidth="1"/>
    <col min="256" max="256" width="18.7265625" customWidth="1"/>
    <col min="257" max="257" width="9.1796875" customWidth="1"/>
    <col min="258" max="258" width="13.26953125" customWidth="1"/>
    <col min="259" max="259" width="16.7265625" customWidth="1"/>
    <col min="260" max="260" width="29.1796875" customWidth="1"/>
    <col min="511" max="511" width="32" customWidth="1"/>
    <col min="512" max="512" width="18.7265625" customWidth="1"/>
    <col min="513" max="513" width="9.1796875" customWidth="1"/>
    <col min="514" max="514" width="13.26953125" customWidth="1"/>
    <col min="515" max="515" width="16.7265625" customWidth="1"/>
    <col min="516" max="516" width="29.1796875" customWidth="1"/>
    <col min="767" max="767" width="32" customWidth="1"/>
    <col min="768" max="768" width="18.7265625" customWidth="1"/>
    <col min="769" max="769" width="9.1796875" customWidth="1"/>
    <col min="770" max="770" width="13.26953125" customWidth="1"/>
    <col min="771" max="771" width="16.7265625" customWidth="1"/>
    <col min="772" max="772" width="29.1796875" customWidth="1"/>
    <col min="1023" max="1023" width="32" customWidth="1"/>
    <col min="1024" max="1024" width="18.7265625" customWidth="1"/>
    <col min="1025" max="1025" width="9.1796875" customWidth="1"/>
    <col min="1026" max="1026" width="13.26953125" customWidth="1"/>
    <col min="1027" max="1027" width="16.7265625" customWidth="1"/>
    <col min="1028" max="1028" width="29.1796875" customWidth="1"/>
    <col min="1279" max="1279" width="32" customWidth="1"/>
    <col min="1280" max="1280" width="18.7265625" customWidth="1"/>
    <col min="1281" max="1281" width="9.1796875" customWidth="1"/>
    <col min="1282" max="1282" width="13.26953125" customWidth="1"/>
    <col min="1283" max="1283" width="16.7265625" customWidth="1"/>
    <col min="1284" max="1284" width="29.1796875" customWidth="1"/>
    <col min="1535" max="1535" width="32" customWidth="1"/>
    <col min="1536" max="1536" width="18.7265625" customWidth="1"/>
    <col min="1537" max="1537" width="9.1796875" customWidth="1"/>
    <col min="1538" max="1538" width="13.26953125" customWidth="1"/>
    <col min="1539" max="1539" width="16.7265625" customWidth="1"/>
    <col min="1540" max="1540" width="29.1796875" customWidth="1"/>
    <col min="1791" max="1791" width="32" customWidth="1"/>
    <col min="1792" max="1792" width="18.7265625" customWidth="1"/>
    <col min="1793" max="1793" width="9.1796875" customWidth="1"/>
    <col min="1794" max="1794" width="13.26953125" customWidth="1"/>
    <col min="1795" max="1795" width="16.7265625" customWidth="1"/>
    <col min="1796" max="1796" width="29.1796875" customWidth="1"/>
    <col min="2047" max="2047" width="32" customWidth="1"/>
    <col min="2048" max="2048" width="18.7265625" customWidth="1"/>
    <col min="2049" max="2049" width="9.1796875" customWidth="1"/>
    <col min="2050" max="2050" width="13.26953125" customWidth="1"/>
    <col min="2051" max="2051" width="16.7265625" customWidth="1"/>
    <col min="2052" max="2052" width="29.1796875" customWidth="1"/>
    <col min="2303" max="2303" width="32" customWidth="1"/>
    <col min="2304" max="2304" width="18.7265625" customWidth="1"/>
    <col min="2305" max="2305" width="9.1796875" customWidth="1"/>
    <col min="2306" max="2306" width="13.26953125" customWidth="1"/>
    <col min="2307" max="2307" width="16.7265625" customWidth="1"/>
    <col min="2308" max="2308" width="29.1796875" customWidth="1"/>
    <col min="2559" max="2559" width="32" customWidth="1"/>
    <col min="2560" max="2560" width="18.7265625" customWidth="1"/>
    <col min="2561" max="2561" width="9.1796875" customWidth="1"/>
    <col min="2562" max="2562" width="13.26953125" customWidth="1"/>
    <col min="2563" max="2563" width="16.7265625" customWidth="1"/>
    <col min="2564" max="2564" width="29.1796875" customWidth="1"/>
    <col min="2815" max="2815" width="32" customWidth="1"/>
    <col min="2816" max="2816" width="18.7265625" customWidth="1"/>
    <col min="2817" max="2817" width="9.1796875" customWidth="1"/>
    <col min="2818" max="2818" width="13.26953125" customWidth="1"/>
    <col min="2819" max="2819" width="16.7265625" customWidth="1"/>
    <col min="2820" max="2820" width="29.1796875" customWidth="1"/>
    <col min="3071" max="3071" width="32" customWidth="1"/>
    <col min="3072" max="3072" width="18.7265625" customWidth="1"/>
    <col min="3073" max="3073" width="9.1796875" customWidth="1"/>
    <col min="3074" max="3074" width="13.26953125" customWidth="1"/>
    <col min="3075" max="3075" width="16.7265625" customWidth="1"/>
    <col min="3076" max="3076" width="29.1796875" customWidth="1"/>
    <col min="3327" max="3327" width="32" customWidth="1"/>
    <col min="3328" max="3328" width="18.7265625" customWidth="1"/>
    <col min="3329" max="3329" width="9.1796875" customWidth="1"/>
    <col min="3330" max="3330" width="13.26953125" customWidth="1"/>
    <col min="3331" max="3331" width="16.7265625" customWidth="1"/>
    <col min="3332" max="3332" width="29.1796875" customWidth="1"/>
    <col min="3583" max="3583" width="32" customWidth="1"/>
    <col min="3584" max="3584" width="18.7265625" customWidth="1"/>
    <col min="3585" max="3585" width="9.1796875" customWidth="1"/>
    <col min="3586" max="3586" width="13.26953125" customWidth="1"/>
    <col min="3587" max="3587" width="16.7265625" customWidth="1"/>
    <col min="3588" max="3588" width="29.1796875" customWidth="1"/>
    <col min="3839" max="3839" width="32" customWidth="1"/>
    <col min="3840" max="3840" width="18.7265625" customWidth="1"/>
    <col min="3841" max="3841" width="9.1796875" customWidth="1"/>
    <col min="3842" max="3842" width="13.26953125" customWidth="1"/>
    <col min="3843" max="3843" width="16.7265625" customWidth="1"/>
    <col min="3844" max="3844" width="29.1796875" customWidth="1"/>
    <col min="4095" max="4095" width="32" customWidth="1"/>
    <col min="4096" max="4096" width="18.7265625" customWidth="1"/>
    <col min="4097" max="4097" width="9.1796875" customWidth="1"/>
    <col min="4098" max="4098" width="13.26953125" customWidth="1"/>
    <col min="4099" max="4099" width="16.7265625" customWidth="1"/>
    <col min="4100" max="4100" width="29.1796875" customWidth="1"/>
    <col min="4351" max="4351" width="32" customWidth="1"/>
    <col min="4352" max="4352" width="18.7265625" customWidth="1"/>
    <col min="4353" max="4353" width="9.1796875" customWidth="1"/>
    <col min="4354" max="4354" width="13.26953125" customWidth="1"/>
    <col min="4355" max="4355" width="16.7265625" customWidth="1"/>
    <col min="4356" max="4356" width="29.1796875" customWidth="1"/>
    <col min="4607" max="4607" width="32" customWidth="1"/>
    <col min="4608" max="4608" width="18.7265625" customWidth="1"/>
    <col min="4609" max="4609" width="9.1796875" customWidth="1"/>
    <col min="4610" max="4610" width="13.26953125" customWidth="1"/>
    <col min="4611" max="4611" width="16.7265625" customWidth="1"/>
    <col min="4612" max="4612" width="29.1796875" customWidth="1"/>
    <col min="4863" max="4863" width="32" customWidth="1"/>
    <col min="4864" max="4864" width="18.7265625" customWidth="1"/>
    <col min="4865" max="4865" width="9.1796875" customWidth="1"/>
    <col min="4866" max="4866" width="13.26953125" customWidth="1"/>
    <col min="4867" max="4867" width="16.7265625" customWidth="1"/>
    <col min="4868" max="4868" width="29.1796875" customWidth="1"/>
    <col min="5119" max="5119" width="32" customWidth="1"/>
    <col min="5120" max="5120" width="18.7265625" customWidth="1"/>
    <col min="5121" max="5121" width="9.1796875" customWidth="1"/>
    <col min="5122" max="5122" width="13.26953125" customWidth="1"/>
    <col min="5123" max="5123" width="16.7265625" customWidth="1"/>
    <col min="5124" max="5124" width="29.1796875" customWidth="1"/>
    <col min="5375" max="5375" width="32" customWidth="1"/>
    <col min="5376" max="5376" width="18.7265625" customWidth="1"/>
    <col min="5377" max="5377" width="9.1796875" customWidth="1"/>
    <col min="5378" max="5378" width="13.26953125" customWidth="1"/>
    <col min="5379" max="5379" width="16.7265625" customWidth="1"/>
    <col min="5380" max="5380" width="29.1796875" customWidth="1"/>
    <col min="5631" max="5631" width="32" customWidth="1"/>
    <col min="5632" max="5632" width="18.7265625" customWidth="1"/>
    <col min="5633" max="5633" width="9.1796875" customWidth="1"/>
    <col min="5634" max="5634" width="13.26953125" customWidth="1"/>
    <col min="5635" max="5635" width="16.7265625" customWidth="1"/>
    <col min="5636" max="5636" width="29.1796875" customWidth="1"/>
    <col min="5887" max="5887" width="32" customWidth="1"/>
    <col min="5888" max="5888" width="18.7265625" customWidth="1"/>
    <col min="5889" max="5889" width="9.1796875" customWidth="1"/>
    <col min="5890" max="5890" width="13.26953125" customWidth="1"/>
    <col min="5891" max="5891" width="16.7265625" customWidth="1"/>
    <col min="5892" max="5892" width="29.1796875" customWidth="1"/>
    <col min="6143" max="6143" width="32" customWidth="1"/>
    <col min="6144" max="6144" width="18.7265625" customWidth="1"/>
    <col min="6145" max="6145" width="9.1796875" customWidth="1"/>
    <col min="6146" max="6146" width="13.26953125" customWidth="1"/>
    <col min="6147" max="6147" width="16.7265625" customWidth="1"/>
    <col min="6148" max="6148" width="29.1796875" customWidth="1"/>
    <col min="6399" max="6399" width="32" customWidth="1"/>
    <col min="6400" max="6400" width="18.7265625" customWidth="1"/>
    <col min="6401" max="6401" width="9.1796875" customWidth="1"/>
    <col min="6402" max="6402" width="13.26953125" customWidth="1"/>
    <col min="6403" max="6403" width="16.7265625" customWidth="1"/>
    <col min="6404" max="6404" width="29.1796875" customWidth="1"/>
    <col min="6655" max="6655" width="32" customWidth="1"/>
    <col min="6656" max="6656" width="18.7265625" customWidth="1"/>
    <col min="6657" max="6657" width="9.1796875" customWidth="1"/>
    <col min="6658" max="6658" width="13.26953125" customWidth="1"/>
    <col min="6659" max="6659" width="16.7265625" customWidth="1"/>
    <col min="6660" max="6660" width="29.1796875" customWidth="1"/>
    <col min="6911" max="6911" width="32" customWidth="1"/>
    <col min="6912" max="6912" width="18.7265625" customWidth="1"/>
    <col min="6913" max="6913" width="9.1796875" customWidth="1"/>
    <col min="6914" max="6914" width="13.26953125" customWidth="1"/>
    <col min="6915" max="6915" width="16.7265625" customWidth="1"/>
    <col min="6916" max="6916" width="29.1796875" customWidth="1"/>
    <col min="7167" max="7167" width="32" customWidth="1"/>
    <col min="7168" max="7168" width="18.7265625" customWidth="1"/>
    <col min="7169" max="7169" width="9.1796875" customWidth="1"/>
    <col min="7170" max="7170" width="13.26953125" customWidth="1"/>
    <col min="7171" max="7171" width="16.7265625" customWidth="1"/>
    <col min="7172" max="7172" width="29.1796875" customWidth="1"/>
    <col min="7423" max="7423" width="32" customWidth="1"/>
    <col min="7424" max="7424" width="18.7265625" customWidth="1"/>
    <col min="7425" max="7425" width="9.1796875" customWidth="1"/>
    <col min="7426" max="7426" width="13.26953125" customWidth="1"/>
    <col min="7427" max="7427" width="16.7265625" customWidth="1"/>
    <col min="7428" max="7428" width="29.1796875" customWidth="1"/>
    <col min="7679" max="7679" width="32" customWidth="1"/>
    <col min="7680" max="7680" width="18.7265625" customWidth="1"/>
    <col min="7681" max="7681" width="9.1796875" customWidth="1"/>
    <col min="7682" max="7682" width="13.26953125" customWidth="1"/>
    <col min="7683" max="7683" width="16.7265625" customWidth="1"/>
    <col min="7684" max="7684" width="29.1796875" customWidth="1"/>
    <col min="7935" max="7935" width="32" customWidth="1"/>
    <col min="7936" max="7936" width="18.7265625" customWidth="1"/>
    <col min="7937" max="7937" width="9.1796875" customWidth="1"/>
    <col min="7938" max="7938" width="13.26953125" customWidth="1"/>
    <col min="7939" max="7939" width="16.7265625" customWidth="1"/>
    <col min="7940" max="7940" width="29.1796875" customWidth="1"/>
    <col min="8191" max="8191" width="32" customWidth="1"/>
    <col min="8192" max="8192" width="18.7265625" customWidth="1"/>
    <col min="8193" max="8193" width="9.1796875" customWidth="1"/>
    <col min="8194" max="8194" width="13.26953125" customWidth="1"/>
    <col min="8195" max="8195" width="16.7265625" customWidth="1"/>
    <col min="8196" max="8196" width="29.1796875" customWidth="1"/>
    <col min="8447" max="8447" width="32" customWidth="1"/>
    <col min="8448" max="8448" width="18.7265625" customWidth="1"/>
    <col min="8449" max="8449" width="9.1796875" customWidth="1"/>
    <col min="8450" max="8450" width="13.26953125" customWidth="1"/>
    <col min="8451" max="8451" width="16.7265625" customWidth="1"/>
    <col min="8452" max="8452" width="29.1796875" customWidth="1"/>
    <col min="8703" max="8703" width="32" customWidth="1"/>
    <col min="8704" max="8704" width="18.7265625" customWidth="1"/>
    <col min="8705" max="8705" width="9.1796875" customWidth="1"/>
    <col min="8706" max="8706" width="13.26953125" customWidth="1"/>
    <col min="8707" max="8707" width="16.7265625" customWidth="1"/>
    <col min="8708" max="8708" width="29.1796875" customWidth="1"/>
    <col min="8959" max="8959" width="32" customWidth="1"/>
    <col min="8960" max="8960" width="18.7265625" customWidth="1"/>
    <col min="8961" max="8961" width="9.1796875" customWidth="1"/>
    <col min="8962" max="8962" width="13.26953125" customWidth="1"/>
    <col min="8963" max="8963" width="16.7265625" customWidth="1"/>
    <col min="8964" max="8964" width="29.1796875" customWidth="1"/>
    <col min="9215" max="9215" width="32" customWidth="1"/>
    <col min="9216" max="9216" width="18.7265625" customWidth="1"/>
    <col min="9217" max="9217" width="9.1796875" customWidth="1"/>
    <col min="9218" max="9218" width="13.26953125" customWidth="1"/>
    <col min="9219" max="9219" width="16.7265625" customWidth="1"/>
    <col min="9220" max="9220" width="29.1796875" customWidth="1"/>
    <col min="9471" max="9471" width="32" customWidth="1"/>
    <col min="9472" max="9472" width="18.7265625" customWidth="1"/>
    <col min="9473" max="9473" width="9.1796875" customWidth="1"/>
    <col min="9474" max="9474" width="13.26953125" customWidth="1"/>
    <col min="9475" max="9475" width="16.7265625" customWidth="1"/>
    <col min="9476" max="9476" width="29.1796875" customWidth="1"/>
    <col min="9727" max="9727" width="32" customWidth="1"/>
    <col min="9728" max="9728" width="18.7265625" customWidth="1"/>
    <col min="9729" max="9729" width="9.1796875" customWidth="1"/>
    <col min="9730" max="9730" width="13.26953125" customWidth="1"/>
    <col min="9731" max="9731" width="16.7265625" customWidth="1"/>
    <col min="9732" max="9732" width="29.1796875" customWidth="1"/>
    <col min="9983" max="9983" width="32" customWidth="1"/>
    <col min="9984" max="9984" width="18.7265625" customWidth="1"/>
    <col min="9985" max="9985" width="9.1796875" customWidth="1"/>
    <col min="9986" max="9986" width="13.26953125" customWidth="1"/>
    <col min="9987" max="9987" width="16.7265625" customWidth="1"/>
    <col min="9988" max="9988" width="29.1796875" customWidth="1"/>
    <col min="10239" max="10239" width="32" customWidth="1"/>
    <col min="10240" max="10240" width="18.7265625" customWidth="1"/>
    <col min="10241" max="10241" width="9.1796875" customWidth="1"/>
    <col min="10242" max="10242" width="13.26953125" customWidth="1"/>
    <col min="10243" max="10243" width="16.7265625" customWidth="1"/>
    <col min="10244" max="10244" width="29.1796875" customWidth="1"/>
    <col min="10495" max="10495" width="32" customWidth="1"/>
    <col min="10496" max="10496" width="18.7265625" customWidth="1"/>
    <col min="10497" max="10497" width="9.1796875" customWidth="1"/>
    <col min="10498" max="10498" width="13.26953125" customWidth="1"/>
    <col min="10499" max="10499" width="16.7265625" customWidth="1"/>
    <col min="10500" max="10500" width="29.1796875" customWidth="1"/>
    <col min="10751" max="10751" width="32" customWidth="1"/>
    <col min="10752" max="10752" width="18.7265625" customWidth="1"/>
    <col min="10753" max="10753" width="9.1796875" customWidth="1"/>
    <col min="10754" max="10754" width="13.26953125" customWidth="1"/>
    <col min="10755" max="10755" width="16.7265625" customWidth="1"/>
    <col min="10756" max="10756" width="29.1796875" customWidth="1"/>
    <col min="11007" max="11007" width="32" customWidth="1"/>
    <col min="11008" max="11008" width="18.7265625" customWidth="1"/>
    <col min="11009" max="11009" width="9.1796875" customWidth="1"/>
    <col min="11010" max="11010" width="13.26953125" customWidth="1"/>
    <col min="11011" max="11011" width="16.7265625" customWidth="1"/>
    <col min="11012" max="11012" width="29.1796875" customWidth="1"/>
    <col min="11263" max="11263" width="32" customWidth="1"/>
    <col min="11264" max="11264" width="18.7265625" customWidth="1"/>
    <col min="11265" max="11265" width="9.1796875" customWidth="1"/>
    <col min="11266" max="11266" width="13.26953125" customWidth="1"/>
    <col min="11267" max="11267" width="16.7265625" customWidth="1"/>
    <col min="11268" max="11268" width="29.1796875" customWidth="1"/>
    <col min="11519" max="11519" width="32" customWidth="1"/>
    <col min="11520" max="11520" width="18.7265625" customWidth="1"/>
    <col min="11521" max="11521" width="9.1796875" customWidth="1"/>
    <col min="11522" max="11522" width="13.26953125" customWidth="1"/>
    <col min="11523" max="11523" width="16.7265625" customWidth="1"/>
    <col min="11524" max="11524" width="29.1796875" customWidth="1"/>
    <col min="11775" max="11775" width="32" customWidth="1"/>
    <col min="11776" max="11776" width="18.7265625" customWidth="1"/>
    <col min="11777" max="11777" width="9.1796875" customWidth="1"/>
    <col min="11778" max="11778" width="13.26953125" customWidth="1"/>
    <col min="11779" max="11779" width="16.7265625" customWidth="1"/>
    <col min="11780" max="11780" width="29.1796875" customWidth="1"/>
    <col min="12031" max="12031" width="32" customWidth="1"/>
    <col min="12032" max="12032" width="18.7265625" customWidth="1"/>
    <col min="12033" max="12033" width="9.1796875" customWidth="1"/>
    <col min="12034" max="12034" width="13.26953125" customWidth="1"/>
    <col min="12035" max="12035" width="16.7265625" customWidth="1"/>
    <col min="12036" max="12036" width="29.1796875" customWidth="1"/>
    <col min="12287" max="12287" width="32" customWidth="1"/>
    <col min="12288" max="12288" width="18.7265625" customWidth="1"/>
    <col min="12289" max="12289" width="9.1796875" customWidth="1"/>
    <col min="12290" max="12290" width="13.26953125" customWidth="1"/>
    <col min="12291" max="12291" width="16.7265625" customWidth="1"/>
    <col min="12292" max="12292" width="29.1796875" customWidth="1"/>
    <col min="12543" max="12543" width="32" customWidth="1"/>
    <col min="12544" max="12544" width="18.7265625" customWidth="1"/>
    <col min="12545" max="12545" width="9.1796875" customWidth="1"/>
    <col min="12546" max="12546" width="13.26953125" customWidth="1"/>
    <col min="12547" max="12547" width="16.7265625" customWidth="1"/>
    <col min="12548" max="12548" width="29.1796875" customWidth="1"/>
    <col min="12799" max="12799" width="32" customWidth="1"/>
    <col min="12800" max="12800" width="18.7265625" customWidth="1"/>
    <col min="12801" max="12801" width="9.1796875" customWidth="1"/>
    <col min="12802" max="12802" width="13.26953125" customWidth="1"/>
    <col min="12803" max="12803" width="16.7265625" customWidth="1"/>
    <col min="12804" max="12804" width="29.1796875" customWidth="1"/>
    <col min="13055" max="13055" width="32" customWidth="1"/>
    <col min="13056" max="13056" width="18.7265625" customWidth="1"/>
    <col min="13057" max="13057" width="9.1796875" customWidth="1"/>
    <col min="13058" max="13058" width="13.26953125" customWidth="1"/>
    <col min="13059" max="13059" width="16.7265625" customWidth="1"/>
    <col min="13060" max="13060" width="29.1796875" customWidth="1"/>
    <col min="13311" max="13311" width="32" customWidth="1"/>
    <col min="13312" max="13312" width="18.7265625" customWidth="1"/>
    <col min="13313" max="13313" width="9.1796875" customWidth="1"/>
    <col min="13314" max="13314" width="13.26953125" customWidth="1"/>
    <col min="13315" max="13315" width="16.7265625" customWidth="1"/>
    <col min="13316" max="13316" width="29.1796875" customWidth="1"/>
    <col min="13567" max="13567" width="32" customWidth="1"/>
    <col min="13568" max="13568" width="18.7265625" customWidth="1"/>
    <col min="13569" max="13569" width="9.1796875" customWidth="1"/>
    <col min="13570" max="13570" width="13.26953125" customWidth="1"/>
    <col min="13571" max="13571" width="16.7265625" customWidth="1"/>
    <col min="13572" max="13572" width="29.1796875" customWidth="1"/>
    <col min="13823" max="13823" width="32" customWidth="1"/>
    <col min="13824" max="13824" width="18.7265625" customWidth="1"/>
    <col min="13825" max="13825" width="9.1796875" customWidth="1"/>
    <col min="13826" max="13826" width="13.26953125" customWidth="1"/>
    <col min="13827" max="13827" width="16.7265625" customWidth="1"/>
    <col min="13828" max="13828" width="29.1796875" customWidth="1"/>
    <col min="14079" max="14079" width="32" customWidth="1"/>
    <col min="14080" max="14080" width="18.7265625" customWidth="1"/>
    <col min="14081" max="14081" width="9.1796875" customWidth="1"/>
    <col min="14082" max="14082" width="13.26953125" customWidth="1"/>
    <col min="14083" max="14083" width="16.7265625" customWidth="1"/>
    <col min="14084" max="14084" width="29.1796875" customWidth="1"/>
    <col min="14335" max="14335" width="32" customWidth="1"/>
    <col min="14336" max="14336" width="18.7265625" customWidth="1"/>
    <col min="14337" max="14337" width="9.1796875" customWidth="1"/>
    <col min="14338" max="14338" width="13.26953125" customWidth="1"/>
    <col min="14339" max="14339" width="16.7265625" customWidth="1"/>
    <col min="14340" max="14340" width="29.1796875" customWidth="1"/>
    <col min="14591" max="14591" width="32" customWidth="1"/>
    <col min="14592" max="14592" width="18.7265625" customWidth="1"/>
    <col min="14593" max="14593" width="9.1796875" customWidth="1"/>
    <col min="14594" max="14594" width="13.26953125" customWidth="1"/>
    <col min="14595" max="14595" width="16.7265625" customWidth="1"/>
    <col min="14596" max="14596" width="29.1796875" customWidth="1"/>
    <col min="14847" max="14847" width="32" customWidth="1"/>
    <col min="14848" max="14848" width="18.7265625" customWidth="1"/>
    <col min="14849" max="14849" width="9.1796875" customWidth="1"/>
    <col min="14850" max="14850" width="13.26953125" customWidth="1"/>
    <col min="14851" max="14851" width="16.7265625" customWidth="1"/>
    <col min="14852" max="14852" width="29.1796875" customWidth="1"/>
    <col min="15103" max="15103" width="32" customWidth="1"/>
    <col min="15104" max="15104" width="18.7265625" customWidth="1"/>
    <col min="15105" max="15105" width="9.1796875" customWidth="1"/>
    <col min="15106" max="15106" width="13.26953125" customWidth="1"/>
    <col min="15107" max="15107" width="16.7265625" customWidth="1"/>
    <col min="15108" max="15108" width="29.1796875" customWidth="1"/>
    <col min="15359" max="15359" width="32" customWidth="1"/>
    <col min="15360" max="15360" width="18.7265625" customWidth="1"/>
    <col min="15361" max="15361" width="9.1796875" customWidth="1"/>
    <col min="15362" max="15362" width="13.26953125" customWidth="1"/>
    <col min="15363" max="15363" width="16.7265625" customWidth="1"/>
    <col min="15364" max="15364" width="29.1796875" customWidth="1"/>
    <col min="15615" max="15615" width="32" customWidth="1"/>
    <col min="15616" max="15616" width="18.7265625" customWidth="1"/>
    <col min="15617" max="15617" width="9.1796875" customWidth="1"/>
    <col min="15618" max="15618" width="13.26953125" customWidth="1"/>
    <col min="15619" max="15619" width="16.7265625" customWidth="1"/>
    <col min="15620" max="15620" width="29.1796875" customWidth="1"/>
    <col min="15871" max="15871" width="32" customWidth="1"/>
    <col min="15872" max="15872" width="18.7265625" customWidth="1"/>
    <col min="15873" max="15873" width="9.1796875" customWidth="1"/>
    <col min="15874" max="15874" width="13.26953125" customWidth="1"/>
    <col min="15875" max="15875" width="16.7265625" customWidth="1"/>
    <col min="15876" max="15876" width="29.1796875" customWidth="1"/>
    <col min="16127" max="16127" width="32" customWidth="1"/>
    <col min="16128" max="16128" width="18.7265625" customWidth="1"/>
    <col min="16129" max="16129" width="9.1796875" customWidth="1"/>
    <col min="16130" max="16130" width="13.26953125" customWidth="1"/>
    <col min="16131" max="16131" width="16.7265625" customWidth="1"/>
    <col min="16132" max="16132" width="29.1796875" customWidth="1"/>
  </cols>
  <sheetData>
    <row r="1" spans="1:12" x14ac:dyDescent="0.35">
      <c r="A1" s="141" t="s">
        <v>66</v>
      </c>
      <c r="B1" s="20"/>
      <c r="C1" s="19"/>
      <c r="E1" s="139"/>
      <c r="G1" s="128"/>
      <c r="H1" s="128"/>
      <c r="I1" s="128"/>
      <c r="J1" s="128"/>
      <c r="K1" s="128"/>
      <c r="L1" s="125"/>
    </row>
    <row r="2" spans="1:12" x14ac:dyDescent="0.35">
      <c r="A2" s="141" t="s">
        <v>199</v>
      </c>
      <c r="B2" s="20"/>
      <c r="C2" s="19"/>
      <c r="E2" s="21"/>
      <c r="G2" s="128"/>
      <c r="H2" s="128"/>
      <c r="I2" s="128"/>
      <c r="J2" s="128"/>
      <c r="K2" s="128"/>
      <c r="L2" s="125"/>
    </row>
    <row r="3" spans="1:12" x14ac:dyDescent="0.35">
      <c r="A3" s="142"/>
      <c r="B3" s="20"/>
      <c r="C3" s="19"/>
      <c r="E3" s="21"/>
      <c r="G3" s="128"/>
      <c r="H3" s="128"/>
      <c r="I3" s="128"/>
      <c r="J3" s="128"/>
      <c r="K3" s="128"/>
      <c r="L3" s="125"/>
    </row>
    <row r="4" spans="1:12" x14ac:dyDescent="0.35">
      <c r="A4" s="19"/>
      <c r="B4" s="20"/>
      <c r="C4" s="19"/>
      <c r="E4" s="21"/>
      <c r="G4" s="128"/>
      <c r="H4" s="128"/>
      <c r="I4" s="128"/>
      <c r="J4" s="128"/>
      <c r="K4" s="128"/>
      <c r="L4" s="125"/>
    </row>
    <row r="5" spans="1:12" x14ac:dyDescent="0.35">
      <c r="A5" s="19"/>
      <c r="B5" s="143" t="s">
        <v>101</v>
      </c>
      <c r="C5" s="20" t="s">
        <v>57</v>
      </c>
      <c r="D5" s="11"/>
      <c r="E5" s="92"/>
      <c r="G5" s="128"/>
      <c r="H5" s="128"/>
      <c r="I5" s="128"/>
      <c r="J5" s="128"/>
      <c r="K5" s="128"/>
      <c r="L5" s="125"/>
    </row>
    <row r="6" spans="1:12" s="15" customFormat="1" ht="16" x14ac:dyDescent="0.5">
      <c r="A6" s="144" t="s">
        <v>102</v>
      </c>
      <c r="B6" s="145" t="s">
        <v>103</v>
      </c>
      <c r="C6" s="145" t="s">
        <v>104</v>
      </c>
      <c r="D6" s="146" t="s">
        <v>68</v>
      </c>
      <c r="E6" s="93" t="s">
        <v>105</v>
      </c>
      <c r="G6" s="124" t="s">
        <v>59</v>
      </c>
      <c r="H6" s="124" t="s">
        <v>156</v>
      </c>
      <c r="I6" s="124" t="s">
        <v>151</v>
      </c>
      <c r="J6" s="124" t="s">
        <v>1</v>
      </c>
      <c r="K6" s="129" t="s">
        <v>152</v>
      </c>
    </row>
    <row r="7" spans="1:12" x14ac:dyDescent="0.35">
      <c r="A7" s="19"/>
      <c r="B7" s="20"/>
      <c r="C7" s="19"/>
      <c r="E7" s="21"/>
      <c r="G7" s="128"/>
      <c r="H7" s="128"/>
      <c r="I7" s="128"/>
      <c r="J7" s="128"/>
      <c r="K7" s="128"/>
      <c r="L7" s="125"/>
    </row>
    <row r="8" spans="1:12" x14ac:dyDescent="0.35">
      <c r="A8" s="147" t="s">
        <v>54</v>
      </c>
      <c r="B8" s="148"/>
      <c r="C8" s="147" t="s">
        <v>106</v>
      </c>
      <c r="D8" s="24"/>
      <c r="E8" s="32">
        <v>215000</v>
      </c>
      <c r="G8" s="128">
        <f>+E8</f>
        <v>215000</v>
      </c>
      <c r="H8" s="128"/>
      <c r="I8" s="128"/>
      <c r="J8" s="128"/>
      <c r="K8" s="130">
        <f>SUM(G8:J8)</f>
        <v>215000</v>
      </c>
      <c r="L8" s="126">
        <f t="shared" ref="L8:L16" si="0">E8-K8</f>
        <v>0</v>
      </c>
    </row>
    <row r="9" spans="1:12" x14ac:dyDescent="0.35">
      <c r="A9" s="147"/>
      <c r="B9" s="148"/>
      <c r="C9" s="147"/>
      <c r="D9" s="24"/>
      <c r="E9" s="32"/>
      <c r="G9" s="128"/>
      <c r="H9" s="128"/>
      <c r="I9" s="128"/>
      <c r="J9" s="128"/>
      <c r="K9" s="130">
        <f t="shared" ref="K9:K21" si="1">SUM(G9:J9)</f>
        <v>0</v>
      </c>
      <c r="L9" s="126">
        <f t="shared" si="0"/>
        <v>0</v>
      </c>
    </row>
    <row r="10" spans="1:12" x14ac:dyDescent="0.35">
      <c r="A10" s="147" t="s">
        <v>289</v>
      </c>
      <c r="B10" s="149" t="s">
        <v>45</v>
      </c>
      <c r="C10" s="147" t="s">
        <v>195</v>
      </c>
      <c r="D10" s="24">
        <v>5023</v>
      </c>
      <c r="E10" s="122">
        <f>D10*85</f>
        <v>426955</v>
      </c>
      <c r="F10" s="18"/>
      <c r="G10" s="130"/>
      <c r="H10" s="130">
        <f>E10</f>
        <v>426955</v>
      </c>
      <c r="I10" s="130"/>
      <c r="J10" s="130"/>
      <c r="K10" s="130">
        <f t="shared" si="1"/>
        <v>426955</v>
      </c>
      <c r="L10" s="126">
        <f t="shared" si="0"/>
        <v>0</v>
      </c>
    </row>
    <row r="11" spans="1:12" x14ac:dyDescent="0.35">
      <c r="A11" s="147"/>
      <c r="B11" s="149" t="s">
        <v>45</v>
      </c>
      <c r="C11" s="147" t="s">
        <v>196</v>
      </c>
      <c r="D11" s="24">
        <v>40</v>
      </c>
      <c r="E11" s="122">
        <f>D11*85</f>
        <v>3400</v>
      </c>
      <c r="F11" s="18"/>
      <c r="G11" s="130"/>
      <c r="H11" s="130">
        <f>E11</f>
        <v>3400</v>
      </c>
      <c r="I11" s="130"/>
      <c r="J11" s="130"/>
      <c r="K11" s="130">
        <f t="shared" si="1"/>
        <v>3400</v>
      </c>
      <c r="L11" s="126">
        <f t="shared" si="0"/>
        <v>0</v>
      </c>
    </row>
    <row r="12" spans="1:12" x14ac:dyDescent="0.35">
      <c r="A12" s="152"/>
      <c r="B12" s="149" t="s">
        <v>1</v>
      </c>
      <c r="C12" s="152" t="s">
        <v>197</v>
      </c>
      <c r="D12" s="62" t="s">
        <v>166</v>
      </c>
      <c r="E12" s="33">
        <f>C12*1639.09</f>
        <v>3278.18</v>
      </c>
      <c r="F12" s="18"/>
      <c r="G12" s="130"/>
      <c r="H12" s="130"/>
      <c r="I12" s="130"/>
      <c r="J12" s="130">
        <f>E12</f>
        <v>3278.18</v>
      </c>
      <c r="K12" s="130">
        <f t="shared" ref="K12" si="2">SUM(G12:J12)</f>
        <v>3278.18</v>
      </c>
      <c r="L12" s="126">
        <f t="shared" ref="L12" si="3">E12-K12</f>
        <v>0</v>
      </c>
    </row>
    <row r="13" spans="1:12" x14ac:dyDescent="0.35">
      <c r="A13" s="152"/>
      <c r="B13" s="159"/>
      <c r="C13" s="152"/>
      <c r="D13" s="157">
        <f>SUM(D10)</f>
        <v>5023</v>
      </c>
      <c r="E13" s="158">
        <f>SUM(E10:E12)</f>
        <v>433633.18</v>
      </c>
      <c r="F13" s="18"/>
      <c r="G13" s="130"/>
      <c r="H13" s="130"/>
      <c r="I13" s="130"/>
      <c r="J13" s="130"/>
      <c r="K13" s="130"/>
      <c r="L13" s="126"/>
    </row>
    <row r="14" spans="1:12" x14ac:dyDescent="0.35">
      <c r="A14" s="147"/>
      <c r="B14" s="150"/>
      <c r="C14" s="147"/>
      <c r="D14" s="106"/>
      <c r="E14" s="122"/>
      <c r="F14" s="18"/>
      <c r="G14" s="130"/>
      <c r="H14" s="130"/>
      <c r="I14" s="130"/>
      <c r="J14" s="130"/>
      <c r="K14" s="130"/>
      <c r="L14" s="126"/>
    </row>
    <row r="15" spans="1:12" x14ac:dyDescent="0.35">
      <c r="A15" s="147" t="s">
        <v>294</v>
      </c>
      <c r="B15" s="149" t="s">
        <v>45</v>
      </c>
      <c r="C15" s="147" t="s">
        <v>195</v>
      </c>
      <c r="D15" s="24">
        <v>5169</v>
      </c>
      <c r="E15" s="122">
        <f>D15*85</f>
        <v>439365</v>
      </c>
      <c r="F15" s="18"/>
      <c r="G15" s="130"/>
      <c r="H15" s="130">
        <f>+E15</f>
        <v>439365</v>
      </c>
      <c r="I15" s="130"/>
      <c r="J15" s="130"/>
      <c r="K15" s="130">
        <f t="shared" si="1"/>
        <v>439365</v>
      </c>
      <c r="L15" s="126">
        <f t="shared" si="0"/>
        <v>0</v>
      </c>
    </row>
    <row r="16" spans="1:12" x14ac:dyDescent="0.35">
      <c r="A16" s="152"/>
      <c r="B16" s="149" t="s">
        <v>45</v>
      </c>
      <c r="C16" s="147" t="s">
        <v>196</v>
      </c>
      <c r="D16" s="24">
        <v>88</v>
      </c>
      <c r="E16" s="122">
        <f>D16*85</f>
        <v>7480</v>
      </c>
      <c r="F16" s="18"/>
      <c r="G16" s="130"/>
      <c r="H16" s="130">
        <f>E16</f>
        <v>7480</v>
      </c>
      <c r="I16" s="130"/>
      <c r="J16" s="130"/>
      <c r="K16" s="130">
        <f t="shared" si="1"/>
        <v>7480</v>
      </c>
      <c r="L16" s="126">
        <f t="shared" si="0"/>
        <v>0</v>
      </c>
    </row>
    <row r="17" spans="1:12" x14ac:dyDescent="0.35">
      <c r="A17" s="152"/>
      <c r="B17" s="149" t="s">
        <v>1</v>
      </c>
      <c r="C17" s="152" t="s">
        <v>169</v>
      </c>
      <c r="D17" s="62" t="s">
        <v>166</v>
      </c>
      <c r="E17" s="33">
        <f>C17*1639.09</f>
        <v>6556.36</v>
      </c>
      <c r="F17" s="18"/>
      <c r="G17" s="130"/>
      <c r="H17" s="130"/>
      <c r="I17" s="130"/>
      <c r="J17" s="130">
        <f>E17</f>
        <v>6556.36</v>
      </c>
      <c r="K17" s="130">
        <f t="shared" ref="K17" si="4">SUM(G17:J17)</f>
        <v>6556.36</v>
      </c>
      <c r="L17" s="126">
        <f t="shared" ref="L17" si="5">E17-K17</f>
        <v>0</v>
      </c>
    </row>
    <row r="18" spans="1:12" x14ac:dyDescent="0.35">
      <c r="A18" s="147"/>
      <c r="B18" s="159"/>
      <c r="C18" s="152"/>
      <c r="D18" s="157">
        <f>SUM(D15)</f>
        <v>5169</v>
      </c>
      <c r="E18" s="158">
        <f>SUM(E15:E17)</f>
        <v>453401.36</v>
      </c>
      <c r="F18" s="18"/>
      <c r="G18" s="130"/>
      <c r="H18" s="130"/>
      <c r="I18" s="130"/>
      <c r="J18" s="130"/>
      <c r="K18" s="130"/>
      <c r="L18" s="126"/>
    </row>
    <row r="19" spans="1:12" x14ac:dyDescent="0.35">
      <c r="A19" s="147"/>
      <c r="B19" s="150"/>
      <c r="C19" s="147"/>
      <c r="D19" s="269"/>
      <c r="E19" s="270"/>
      <c r="F19" s="18"/>
      <c r="G19" s="130"/>
      <c r="H19" s="130"/>
      <c r="I19" s="130"/>
      <c r="J19" s="130"/>
      <c r="K19" s="130"/>
      <c r="L19" s="126"/>
    </row>
    <row r="20" spans="1:12" x14ac:dyDescent="0.35">
      <c r="A20" s="147" t="s">
        <v>209</v>
      </c>
      <c r="B20" s="149" t="s">
        <v>45</v>
      </c>
      <c r="C20" s="147" t="s">
        <v>196</v>
      </c>
      <c r="D20" s="24">
        <v>55915</v>
      </c>
      <c r="E20" s="122">
        <f>D20*85</f>
        <v>4752775</v>
      </c>
      <c r="F20" s="18"/>
      <c r="G20" s="130"/>
      <c r="H20" s="130">
        <f>E20</f>
        <v>4752775</v>
      </c>
      <c r="I20" s="130"/>
      <c r="J20" s="130"/>
      <c r="K20" s="130">
        <f t="shared" si="1"/>
        <v>4752775</v>
      </c>
      <c r="L20" s="126">
        <f>E20-K20</f>
        <v>0</v>
      </c>
    </row>
    <row r="21" spans="1:12" x14ac:dyDescent="0.35">
      <c r="A21" s="152"/>
      <c r="B21" s="149" t="s">
        <v>1</v>
      </c>
      <c r="C21" s="152" t="s">
        <v>295</v>
      </c>
      <c r="D21" s="62" t="s">
        <v>166</v>
      </c>
      <c r="E21" s="33">
        <v>0</v>
      </c>
      <c r="F21" s="18"/>
      <c r="G21" s="130"/>
      <c r="H21" s="130"/>
      <c r="I21" s="130"/>
      <c r="J21" s="130">
        <f>E21</f>
        <v>0</v>
      </c>
      <c r="K21" s="130">
        <f t="shared" si="1"/>
        <v>0</v>
      </c>
      <c r="L21" s="126">
        <f>E21-K21</f>
        <v>0</v>
      </c>
    </row>
    <row r="22" spans="1:12" x14ac:dyDescent="0.35">
      <c r="A22" s="147"/>
      <c r="B22" s="159"/>
      <c r="C22" s="152"/>
      <c r="D22" s="157">
        <f>SUM(D20)</f>
        <v>55915</v>
      </c>
      <c r="E22" s="158">
        <f>SUM(E20:E21)</f>
        <v>4752775</v>
      </c>
      <c r="F22" s="18"/>
      <c r="G22" s="130"/>
      <c r="H22" s="130"/>
      <c r="I22" s="130"/>
      <c r="J22" s="130"/>
      <c r="K22" s="130"/>
      <c r="L22" s="126"/>
    </row>
    <row r="23" spans="1:12" x14ac:dyDescent="0.35">
      <c r="A23" s="19"/>
      <c r="B23" s="150"/>
      <c r="C23" s="147"/>
      <c r="D23" s="24"/>
      <c r="E23" s="32"/>
      <c r="F23" s="18"/>
      <c r="G23" s="130"/>
      <c r="H23" s="130"/>
      <c r="I23" s="130"/>
      <c r="J23" s="130"/>
      <c r="K23" s="130"/>
      <c r="L23" s="126"/>
    </row>
    <row r="24" spans="1:12" x14ac:dyDescent="0.35">
      <c r="A24" s="19"/>
      <c r="B24" s="20" t="s">
        <v>58</v>
      </c>
      <c r="C24" s="19"/>
      <c r="D24" s="25">
        <f>D22+D18+D13</f>
        <v>66107</v>
      </c>
      <c r="E24" s="34">
        <f>E22+E18+E13+E8</f>
        <v>5854809.54</v>
      </c>
      <c r="F24" s="18"/>
      <c r="G24" s="131">
        <f t="shared" ref="G24:L24" si="6">SUM(G7:G23)</f>
        <v>215000</v>
      </c>
      <c r="H24" s="131">
        <f t="shared" si="6"/>
        <v>5629975</v>
      </c>
      <c r="I24" s="131">
        <f t="shared" si="6"/>
        <v>0</v>
      </c>
      <c r="J24" s="131">
        <f t="shared" si="6"/>
        <v>9834.5399999999991</v>
      </c>
      <c r="K24" s="131">
        <f t="shared" si="6"/>
        <v>5854809.54</v>
      </c>
      <c r="L24" s="127">
        <f t="shared" si="6"/>
        <v>0</v>
      </c>
    </row>
    <row r="25" spans="1:12" x14ac:dyDescent="0.35">
      <c r="A25" s="19"/>
      <c r="B25" s="20"/>
      <c r="C25" s="19"/>
      <c r="D25" s="24"/>
      <c r="E25" s="32"/>
      <c r="F25" s="18"/>
      <c r="G25" s="131"/>
      <c r="H25" s="131"/>
      <c r="I25" s="131"/>
      <c r="J25" s="131"/>
      <c r="K25" s="131">
        <f>K24/2</f>
        <v>2927404.77</v>
      </c>
      <c r="L25" s="127">
        <f>K24-E24</f>
        <v>0</v>
      </c>
    </row>
    <row r="26" spans="1:12" x14ac:dyDescent="0.35">
      <c r="A26" s="151" t="s">
        <v>69</v>
      </c>
      <c r="B26" s="20"/>
      <c r="C26" s="19"/>
      <c r="D26" s="22"/>
      <c r="E26" s="22"/>
      <c r="G26" s="128"/>
      <c r="H26" s="128"/>
      <c r="I26" s="128"/>
      <c r="J26" s="128"/>
      <c r="K26" s="128"/>
      <c r="L26" s="125"/>
    </row>
    <row r="27" spans="1:12" x14ac:dyDescent="0.35">
      <c r="A27" s="151" t="s">
        <v>147</v>
      </c>
      <c r="B27" s="20"/>
      <c r="C27" s="19"/>
      <c r="D27" s="22"/>
      <c r="E27" s="22"/>
      <c r="F27" s="18"/>
      <c r="G27" s="128"/>
      <c r="H27" s="128"/>
      <c r="I27" s="128"/>
      <c r="J27" s="128"/>
      <c r="K27" s="128"/>
      <c r="L27" s="125"/>
    </row>
    <row r="28" spans="1:12" x14ac:dyDescent="0.35">
      <c r="A28" s="151" t="s">
        <v>146</v>
      </c>
      <c r="B28" s="20"/>
      <c r="C28" s="19"/>
      <c r="D28" s="23"/>
      <c r="E28" s="22"/>
      <c r="F28" s="18"/>
      <c r="G28" s="162"/>
      <c r="H28" s="162"/>
      <c r="I28" s="162"/>
      <c r="J28" s="162"/>
      <c r="K28" s="162"/>
      <c r="L28" s="126"/>
    </row>
    <row r="29" spans="1:12" x14ac:dyDescent="0.35">
      <c r="A29" s="151" t="s">
        <v>157</v>
      </c>
      <c r="B29" s="20"/>
      <c r="C29" s="19"/>
      <c r="E29" s="22"/>
      <c r="F29" s="18"/>
      <c r="G29" s="162"/>
      <c r="H29" s="162"/>
      <c r="I29" s="162"/>
      <c r="J29" s="162"/>
      <c r="K29" s="162"/>
      <c r="L29" s="126"/>
    </row>
    <row r="30" spans="1:12" x14ac:dyDescent="0.35">
      <c r="A30" s="19"/>
      <c r="B30" s="20"/>
      <c r="C30" s="19"/>
      <c r="D30" s="22"/>
      <c r="E30" s="22"/>
      <c r="F30" s="18"/>
      <c r="G30" s="162"/>
      <c r="H30" s="162"/>
      <c r="I30" s="162"/>
      <c r="J30" s="162"/>
      <c r="K30" s="162"/>
      <c r="L30" s="126"/>
    </row>
    <row r="31" spans="1:12" x14ac:dyDescent="0.35">
      <c r="A31" s="147"/>
      <c r="B31" s="150"/>
      <c r="C31" s="147"/>
      <c r="D31" s="106"/>
      <c r="E31" s="122"/>
      <c r="F31" s="18"/>
      <c r="G31" s="163"/>
      <c r="H31" s="163"/>
      <c r="I31" s="163"/>
      <c r="J31" s="163"/>
      <c r="K31" s="163"/>
      <c r="L31" s="125"/>
    </row>
    <row r="32" spans="1:12" x14ac:dyDescent="0.35">
      <c r="A32" s="147"/>
      <c r="B32" s="150"/>
      <c r="C32" s="147"/>
      <c r="D32" s="24"/>
      <c r="E32" s="32"/>
      <c r="F32" s="18"/>
      <c r="G32" s="164"/>
      <c r="H32" s="164"/>
      <c r="I32" s="164"/>
      <c r="J32" s="164"/>
      <c r="K32" s="164"/>
      <c r="L32" s="165"/>
    </row>
    <row r="33" spans="1:12" x14ac:dyDescent="0.35">
      <c r="A33" s="147"/>
      <c r="B33" s="150"/>
      <c r="C33" s="147"/>
      <c r="D33" s="24"/>
      <c r="E33" s="32"/>
      <c r="F33" s="18"/>
      <c r="G33" s="163"/>
      <c r="H33" s="163"/>
      <c r="I33" s="163"/>
      <c r="J33" s="163"/>
      <c r="K33" s="163"/>
      <c r="L33" s="125"/>
    </row>
    <row r="34" spans="1:12" x14ac:dyDescent="0.35">
      <c r="A34" s="147"/>
      <c r="B34" s="150"/>
      <c r="C34" s="147"/>
      <c r="D34" s="24"/>
      <c r="E34" s="32"/>
      <c r="F34" s="18"/>
      <c r="G34" s="163"/>
      <c r="H34" s="163"/>
      <c r="I34" s="163"/>
      <c r="J34" s="163"/>
      <c r="K34" s="163"/>
      <c r="L34" s="125"/>
    </row>
    <row r="35" spans="1:12" x14ac:dyDescent="0.35">
      <c r="A35" s="147"/>
      <c r="B35" s="150"/>
      <c r="C35" s="147"/>
      <c r="D35" s="24"/>
      <c r="E35" s="32"/>
      <c r="F35" s="18"/>
      <c r="G35" s="163"/>
      <c r="H35" s="163"/>
      <c r="I35" s="163"/>
      <c r="J35" s="163"/>
      <c r="K35" s="163"/>
      <c r="L35" s="125"/>
    </row>
    <row r="36" spans="1:12" x14ac:dyDescent="0.35">
      <c r="A36" s="147"/>
      <c r="B36" s="150"/>
      <c r="C36" s="147"/>
      <c r="D36" s="24"/>
      <c r="E36" s="32"/>
      <c r="F36" s="18"/>
      <c r="G36" s="163"/>
      <c r="H36" s="163"/>
      <c r="I36" s="163"/>
      <c r="J36" s="163"/>
      <c r="K36" s="163"/>
      <c r="L36" s="125"/>
    </row>
    <row r="37" spans="1:12" x14ac:dyDescent="0.35">
      <c r="A37" s="147"/>
      <c r="B37" s="150"/>
      <c r="C37" s="147"/>
      <c r="D37" s="24"/>
      <c r="E37" s="32"/>
    </row>
    <row r="38" spans="1:12" x14ac:dyDescent="0.35">
      <c r="A38" s="147"/>
      <c r="B38" s="150"/>
      <c r="C38" s="147"/>
      <c r="D38" s="106"/>
      <c r="E38" s="32"/>
    </row>
    <row r="39" spans="1:12" x14ac:dyDescent="0.35">
      <c r="A39" s="147"/>
      <c r="B39" s="150"/>
      <c r="C39" s="147"/>
      <c r="D39" s="106"/>
      <c r="E39" s="122"/>
    </row>
    <row r="40" spans="1:12" x14ac:dyDescent="0.35">
      <c r="A40" s="147"/>
      <c r="B40" s="150"/>
      <c r="C40" s="147"/>
      <c r="D40" s="24"/>
      <c r="E40" s="32"/>
    </row>
    <row r="41" spans="1:12" x14ac:dyDescent="0.35">
      <c r="A41" s="147"/>
      <c r="B41" s="150"/>
      <c r="C41" s="147"/>
      <c r="D41" s="24"/>
      <c r="E41" s="32"/>
    </row>
    <row r="42" spans="1:12" x14ac:dyDescent="0.35">
      <c r="A42" s="19"/>
      <c r="B42" s="20"/>
      <c r="C42" s="19"/>
      <c r="D42" s="24"/>
      <c r="E42" s="33"/>
    </row>
    <row r="43" spans="1:12" x14ac:dyDescent="0.35">
      <c r="A43" s="19"/>
      <c r="B43" s="20"/>
      <c r="C43" s="19"/>
      <c r="D43" s="24"/>
      <c r="E43" s="32"/>
    </row>
    <row r="44" spans="1:12" x14ac:dyDescent="0.35">
      <c r="A44" s="151"/>
      <c r="B44" s="20"/>
      <c r="C44" s="19"/>
      <c r="D44" s="160"/>
      <c r="E44" s="160"/>
    </row>
    <row r="45" spans="1:12" x14ac:dyDescent="0.35">
      <c r="A45" s="151"/>
      <c r="B45" s="20"/>
      <c r="C45" s="19"/>
      <c r="D45" s="23"/>
      <c r="E45" s="160"/>
    </row>
    <row r="46" spans="1:12" x14ac:dyDescent="0.35">
      <c r="A46" s="151"/>
      <c r="B46" s="20"/>
      <c r="C46" s="19"/>
      <c r="E46" s="160"/>
    </row>
    <row r="47" spans="1:12" x14ac:dyDescent="0.35">
      <c r="A47" s="151"/>
      <c r="B47" s="20"/>
      <c r="C47" s="19"/>
      <c r="E47" s="160"/>
    </row>
  </sheetData>
  <pageMargins left="0.7" right="0.7" top="0.75" bottom="0.75" header="0.3" footer="0.3"/>
  <pageSetup scale="62" pageOrder="overThenDown" orientation="portrait" r:id="rId1"/>
  <headerFooter>
    <oddHeader>&amp;R 2024 Schedule IV
Page &amp;P of &amp;N</oddHead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P158"/>
  <sheetViews>
    <sheetView workbookViewId="0">
      <pane ySplit="4" topLeftCell="A5" activePane="bottomLeft" state="frozen"/>
      <selection pane="bottomLeft" activeCell="B2" sqref="B2"/>
    </sheetView>
  </sheetViews>
  <sheetFormatPr defaultColWidth="9.1796875" defaultRowHeight="14.5" x14ac:dyDescent="0.35"/>
  <cols>
    <col min="1" max="1" width="43.26953125" bestFit="1" customWidth="1"/>
    <col min="2" max="2" width="11" bestFit="1" customWidth="1"/>
    <col min="3" max="3" width="14.1796875" bestFit="1" customWidth="1"/>
  </cols>
  <sheetData>
    <row r="1" spans="1:68" x14ac:dyDescent="0.35">
      <c r="A1" s="35" t="s">
        <v>47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</row>
    <row r="2" spans="1:68" x14ac:dyDescent="0.35">
      <c r="A2" s="35" t="s">
        <v>298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</row>
    <row r="3" spans="1:68" x14ac:dyDescent="0.35">
      <c r="A3" s="36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</row>
    <row r="4" spans="1:68" ht="15.5" x14ac:dyDescent="0.35">
      <c r="A4" s="37" t="s">
        <v>108</v>
      </c>
      <c r="B4" s="26" t="s">
        <v>58</v>
      </c>
      <c r="C4" s="27" t="s">
        <v>109</v>
      </c>
      <c r="D4" s="27">
        <v>1956</v>
      </c>
      <c r="E4" s="27">
        <v>1957</v>
      </c>
      <c r="F4" s="27">
        <v>1958</v>
      </c>
      <c r="G4" s="27">
        <v>1959</v>
      </c>
      <c r="H4" s="27">
        <v>1960</v>
      </c>
      <c r="I4" s="27">
        <v>1961</v>
      </c>
      <c r="J4" s="27">
        <v>1962</v>
      </c>
      <c r="K4" s="27">
        <v>1963</v>
      </c>
      <c r="L4" s="27">
        <v>1964</v>
      </c>
      <c r="M4" s="27">
        <v>1965</v>
      </c>
      <c r="N4" s="27">
        <v>1966</v>
      </c>
      <c r="O4" s="27">
        <v>1967</v>
      </c>
      <c r="P4" s="27">
        <v>1968</v>
      </c>
      <c r="Q4" s="27">
        <v>1969</v>
      </c>
      <c r="R4" s="27">
        <v>1970</v>
      </c>
      <c r="S4" s="27">
        <v>1971</v>
      </c>
      <c r="T4" s="27">
        <v>1972</v>
      </c>
      <c r="U4" s="27">
        <v>1973</v>
      </c>
      <c r="V4" s="27">
        <v>1974</v>
      </c>
      <c r="W4" s="27">
        <v>1975</v>
      </c>
      <c r="X4" s="27">
        <v>1976</v>
      </c>
      <c r="Y4" s="27">
        <v>1977</v>
      </c>
      <c r="Z4" s="27">
        <v>1978</v>
      </c>
      <c r="AA4" s="27">
        <v>1979</v>
      </c>
      <c r="AB4" s="27">
        <v>1980</v>
      </c>
      <c r="AC4" s="27">
        <v>1981</v>
      </c>
      <c r="AD4" s="27">
        <v>1982</v>
      </c>
      <c r="AE4" s="27">
        <v>1983</v>
      </c>
      <c r="AF4" s="27">
        <v>1984</v>
      </c>
      <c r="AG4" s="27">
        <v>1985</v>
      </c>
      <c r="AH4" s="27">
        <v>1986</v>
      </c>
      <c r="AI4" s="27">
        <v>1987</v>
      </c>
      <c r="AJ4" s="27">
        <v>1988</v>
      </c>
      <c r="AK4" s="27">
        <v>1989</v>
      </c>
      <c r="AL4" s="27">
        <v>1990</v>
      </c>
      <c r="AM4" s="27">
        <v>1991</v>
      </c>
      <c r="AN4" s="27">
        <v>1992</v>
      </c>
      <c r="AO4" s="27">
        <v>1993</v>
      </c>
      <c r="AP4" s="27">
        <v>1994</v>
      </c>
      <c r="AQ4" s="27">
        <v>1995</v>
      </c>
      <c r="AR4" s="27">
        <v>1996</v>
      </c>
      <c r="AS4" s="27">
        <v>1997</v>
      </c>
      <c r="AT4" s="27">
        <v>1998</v>
      </c>
      <c r="AU4" s="27">
        <v>1999</v>
      </c>
      <c r="AV4" s="27">
        <v>2000</v>
      </c>
      <c r="AW4" s="27">
        <v>2001</v>
      </c>
      <c r="AX4" s="27">
        <v>2002</v>
      </c>
      <c r="AY4" s="27">
        <v>2003</v>
      </c>
      <c r="AZ4" s="27">
        <v>2004</v>
      </c>
      <c r="BA4" s="27">
        <v>2005</v>
      </c>
      <c r="BB4" s="27">
        <v>2006</v>
      </c>
      <c r="BC4" s="27">
        <v>2007</v>
      </c>
      <c r="BD4" s="27">
        <v>2008</v>
      </c>
      <c r="BE4" s="27">
        <v>2009</v>
      </c>
      <c r="BF4" s="27">
        <v>2010</v>
      </c>
      <c r="BG4" s="27">
        <v>2011</v>
      </c>
      <c r="BH4" s="27">
        <v>2012</v>
      </c>
      <c r="BI4" s="27">
        <v>2013</v>
      </c>
      <c r="BJ4" s="27">
        <v>2014</v>
      </c>
      <c r="BK4" s="27">
        <v>2015</v>
      </c>
      <c r="BL4" s="27">
        <v>2016</v>
      </c>
      <c r="BM4" s="27">
        <v>2017</v>
      </c>
      <c r="BN4" s="27">
        <v>2018</v>
      </c>
      <c r="BO4" s="27">
        <v>2019</v>
      </c>
      <c r="BP4" s="27">
        <v>2020</v>
      </c>
    </row>
    <row r="5" spans="1:68" x14ac:dyDescent="0.35">
      <c r="A5" s="38" t="s">
        <v>83</v>
      </c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</row>
    <row r="6" spans="1:68" x14ac:dyDescent="0.35">
      <c r="A6" t="s">
        <v>170</v>
      </c>
      <c r="B6" s="31">
        <f t="shared" ref="B6:B18" si="0">SUM(C6:BP6)</f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</row>
    <row r="7" spans="1:68" x14ac:dyDescent="0.35">
      <c r="A7" t="s">
        <v>171</v>
      </c>
      <c r="B7" s="31">
        <f t="shared" si="0"/>
        <v>2166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>
        <v>117</v>
      </c>
      <c r="Q7" s="29">
        <v>563</v>
      </c>
      <c r="R7" s="202">
        <v>200</v>
      </c>
      <c r="S7" s="29"/>
      <c r="T7" s="29">
        <v>137</v>
      </c>
      <c r="U7" s="29"/>
      <c r="V7" s="29"/>
      <c r="W7" s="29">
        <v>60</v>
      </c>
      <c r="X7" s="29">
        <v>110</v>
      </c>
      <c r="Y7" s="29"/>
      <c r="Z7" s="29"/>
      <c r="AA7" s="29"/>
      <c r="AB7" s="29">
        <v>446</v>
      </c>
      <c r="AC7" s="29">
        <v>446</v>
      </c>
      <c r="AD7" s="29">
        <v>87</v>
      </c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</row>
    <row r="8" spans="1:68" x14ac:dyDescent="0.35">
      <c r="A8" t="s">
        <v>96</v>
      </c>
      <c r="B8" s="31">
        <f t="shared" si="0"/>
        <v>93</v>
      </c>
      <c r="C8" s="29">
        <v>93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</row>
    <row r="9" spans="1:68" x14ac:dyDescent="0.35">
      <c r="A9" t="s">
        <v>172</v>
      </c>
      <c r="B9" s="31">
        <f t="shared" si="0"/>
        <v>268</v>
      </c>
      <c r="C9" s="29"/>
      <c r="D9" s="29"/>
      <c r="E9" s="29"/>
      <c r="F9" s="29"/>
      <c r="G9" s="29"/>
      <c r="H9" s="29"/>
      <c r="I9" s="29"/>
      <c r="J9" s="29"/>
      <c r="K9" s="29">
        <v>42</v>
      </c>
      <c r="L9" s="29">
        <v>127</v>
      </c>
      <c r="M9" s="29">
        <v>45</v>
      </c>
      <c r="N9" s="29"/>
      <c r="O9" s="29"/>
      <c r="P9" s="29"/>
      <c r="Q9" s="29"/>
      <c r="R9" s="29"/>
      <c r="S9" s="29"/>
      <c r="T9" s="29">
        <v>54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</row>
    <row r="10" spans="1:68" x14ac:dyDescent="0.35">
      <c r="A10" t="s">
        <v>173</v>
      </c>
      <c r="B10" s="31">
        <f t="shared" si="0"/>
        <v>2612</v>
      </c>
      <c r="C10" s="29">
        <v>707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>
        <v>76</v>
      </c>
      <c r="S10" s="29">
        <v>295</v>
      </c>
      <c r="T10" s="29">
        <v>63</v>
      </c>
      <c r="U10" s="29">
        <v>44</v>
      </c>
      <c r="V10" s="29">
        <v>197</v>
      </c>
      <c r="W10" s="29">
        <v>519</v>
      </c>
      <c r="X10" s="29">
        <v>48</v>
      </c>
      <c r="Y10" s="29">
        <v>32</v>
      </c>
      <c r="Z10" s="29"/>
      <c r="AA10" s="29">
        <v>226</v>
      </c>
      <c r="AB10" s="29">
        <v>317</v>
      </c>
      <c r="AC10" s="29"/>
      <c r="AD10" s="29">
        <v>88</v>
      </c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</row>
    <row r="11" spans="1:68" x14ac:dyDescent="0.35">
      <c r="A11" t="s">
        <v>174</v>
      </c>
      <c r="B11" s="31">
        <f t="shared" si="0"/>
        <v>356</v>
      </c>
      <c r="C11" s="29">
        <v>127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>
        <v>45</v>
      </c>
      <c r="U11" s="29"/>
      <c r="V11" s="29">
        <v>98</v>
      </c>
      <c r="W11" s="29"/>
      <c r="X11" s="29">
        <v>86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</row>
    <row r="12" spans="1:68" x14ac:dyDescent="0.35">
      <c r="A12" t="s">
        <v>175</v>
      </c>
      <c r="B12" s="31">
        <f t="shared" si="0"/>
        <v>3211</v>
      </c>
      <c r="C12" s="29">
        <v>3211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</row>
    <row r="13" spans="1:68" x14ac:dyDescent="0.35">
      <c r="A13" t="s">
        <v>97</v>
      </c>
      <c r="B13" s="31">
        <f t="shared" si="0"/>
        <v>231</v>
      </c>
      <c r="C13" s="29">
        <v>158</v>
      </c>
      <c r="D13" s="29"/>
      <c r="E13" s="29"/>
      <c r="F13" s="29"/>
      <c r="G13" s="29"/>
      <c r="H13" s="29"/>
      <c r="I13" s="29"/>
      <c r="J13" s="29"/>
      <c r="K13" s="29"/>
      <c r="L13" s="29"/>
      <c r="M13" s="29">
        <v>73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</row>
    <row r="14" spans="1:68" x14ac:dyDescent="0.35">
      <c r="A14" t="s">
        <v>176</v>
      </c>
      <c r="B14" s="31">
        <f t="shared" si="0"/>
        <v>1101</v>
      </c>
      <c r="C14" s="29"/>
      <c r="D14" s="29"/>
      <c r="E14" s="29"/>
      <c r="F14" s="29"/>
      <c r="G14" s="29"/>
      <c r="H14" s="29"/>
      <c r="I14" s="29"/>
      <c r="J14" s="29"/>
      <c r="K14" s="29">
        <v>794</v>
      </c>
      <c r="L14" s="29"/>
      <c r="M14" s="29"/>
      <c r="N14" s="29"/>
      <c r="O14" s="29"/>
      <c r="P14" s="29"/>
      <c r="Q14" s="29"/>
      <c r="R14" s="29">
        <v>50</v>
      </c>
      <c r="S14" s="29">
        <v>205</v>
      </c>
      <c r="T14" s="29"/>
      <c r="U14" s="29"/>
      <c r="V14" s="29"/>
      <c r="W14" s="29"/>
      <c r="X14" s="29"/>
      <c r="Y14" s="29"/>
      <c r="Z14" s="29">
        <v>52</v>
      </c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</row>
    <row r="15" spans="1:68" x14ac:dyDescent="0.35">
      <c r="A15" t="s">
        <v>177</v>
      </c>
      <c r="B15" s="31">
        <f t="shared" si="0"/>
        <v>92346</v>
      </c>
      <c r="C15" s="29">
        <v>8008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>
        <v>1202</v>
      </c>
      <c r="Q15" s="29">
        <v>38140</v>
      </c>
      <c r="R15" s="29">
        <v>12126</v>
      </c>
      <c r="S15" s="29">
        <v>4695</v>
      </c>
      <c r="T15" s="29">
        <v>4589</v>
      </c>
      <c r="U15" s="29">
        <v>1087</v>
      </c>
      <c r="V15" s="29">
        <v>1959</v>
      </c>
      <c r="W15" s="29">
        <v>250</v>
      </c>
      <c r="X15" s="29">
        <v>1098</v>
      </c>
      <c r="Y15" s="29">
        <v>333</v>
      </c>
      <c r="Z15" s="29">
        <v>3006</v>
      </c>
      <c r="AA15" s="29">
        <v>750</v>
      </c>
      <c r="AB15" s="29">
        <v>7195</v>
      </c>
      <c r="AC15" s="29">
        <v>4083</v>
      </c>
      <c r="AD15" s="29">
        <v>3825</v>
      </c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x14ac:dyDescent="0.35">
      <c r="A16" t="s">
        <v>178</v>
      </c>
      <c r="B16" s="31">
        <f t="shared" si="0"/>
        <v>3937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>
        <v>3937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x14ac:dyDescent="0.35">
      <c r="A17" t="s">
        <v>98</v>
      </c>
      <c r="B17" s="31">
        <f t="shared" si="0"/>
        <v>210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>
        <v>210</v>
      </c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x14ac:dyDescent="0.35">
      <c r="A18" t="s">
        <v>179</v>
      </c>
      <c r="B18" s="31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x14ac:dyDescent="0.35">
      <c r="A19" s="39" t="s">
        <v>111</v>
      </c>
      <c r="B19" s="30">
        <f t="shared" ref="B19:BM19" si="1">SUM(B6:B18)</f>
        <v>106531</v>
      </c>
      <c r="C19" s="30">
        <f t="shared" si="1"/>
        <v>12304</v>
      </c>
      <c r="D19" s="30">
        <f t="shared" si="1"/>
        <v>0</v>
      </c>
      <c r="E19" s="30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836</v>
      </c>
      <c r="L19" s="30">
        <f t="shared" si="1"/>
        <v>127</v>
      </c>
      <c r="M19" s="30">
        <f t="shared" si="1"/>
        <v>118</v>
      </c>
      <c r="N19" s="30">
        <f t="shared" si="1"/>
        <v>0</v>
      </c>
      <c r="O19" s="30">
        <f t="shared" si="1"/>
        <v>0</v>
      </c>
      <c r="P19" s="30">
        <f t="shared" si="1"/>
        <v>1319</v>
      </c>
      <c r="Q19" s="30">
        <f t="shared" si="1"/>
        <v>38703</v>
      </c>
      <c r="R19" s="30">
        <f t="shared" si="1"/>
        <v>16389</v>
      </c>
      <c r="S19" s="30">
        <f t="shared" si="1"/>
        <v>5195</v>
      </c>
      <c r="T19" s="30">
        <f t="shared" si="1"/>
        <v>4888</v>
      </c>
      <c r="U19" s="30">
        <f t="shared" si="1"/>
        <v>1131</v>
      </c>
      <c r="V19" s="30">
        <f t="shared" si="1"/>
        <v>2254</v>
      </c>
      <c r="W19" s="30">
        <f t="shared" si="1"/>
        <v>829</v>
      </c>
      <c r="X19" s="30">
        <f t="shared" si="1"/>
        <v>1342</v>
      </c>
      <c r="Y19" s="30">
        <f t="shared" si="1"/>
        <v>365</v>
      </c>
      <c r="Z19" s="30">
        <f t="shared" si="1"/>
        <v>3058</v>
      </c>
      <c r="AA19" s="30">
        <f t="shared" si="1"/>
        <v>976</v>
      </c>
      <c r="AB19" s="30">
        <f t="shared" si="1"/>
        <v>7958</v>
      </c>
      <c r="AC19" s="30">
        <f t="shared" si="1"/>
        <v>4529</v>
      </c>
      <c r="AD19" s="30">
        <f t="shared" si="1"/>
        <v>4000</v>
      </c>
      <c r="AE19" s="30">
        <f t="shared" si="1"/>
        <v>210</v>
      </c>
      <c r="AF19" s="30">
        <f t="shared" si="1"/>
        <v>0</v>
      </c>
      <c r="AG19" s="30">
        <f t="shared" si="1"/>
        <v>0</v>
      </c>
      <c r="AH19" s="30">
        <f t="shared" si="1"/>
        <v>0</v>
      </c>
      <c r="AI19" s="30">
        <f t="shared" si="1"/>
        <v>0</v>
      </c>
      <c r="AJ19" s="30">
        <f t="shared" si="1"/>
        <v>0</v>
      </c>
      <c r="AK19" s="30">
        <f t="shared" si="1"/>
        <v>0</v>
      </c>
      <c r="AL19" s="30">
        <f t="shared" si="1"/>
        <v>0</v>
      </c>
      <c r="AM19" s="30">
        <f t="shared" si="1"/>
        <v>0</v>
      </c>
      <c r="AN19" s="30">
        <f t="shared" si="1"/>
        <v>0</v>
      </c>
      <c r="AO19" s="30">
        <f t="shared" si="1"/>
        <v>0</v>
      </c>
      <c r="AP19" s="30">
        <f t="shared" si="1"/>
        <v>0</v>
      </c>
      <c r="AQ19" s="30">
        <f t="shared" si="1"/>
        <v>0</v>
      </c>
      <c r="AR19" s="30">
        <f t="shared" si="1"/>
        <v>0</v>
      </c>
      <c r="AS19" s="30">
        <f t="shared" si="1"/>
        <v>0</v>
      </c>
      <c r="AT19" s="30">
        <f t="shared" si="1"/>
        <v>0</v>
      </c>
      <c r="AU19" s="30">
        <f t="shared" si="1"/>
        <v>0</v>
      </c>
      <c r="AV19" s="30">
        <f t="shared" si="1"/>
        <v>0</v>
      </c>
      <c r="AW19" s="30">
        <f t="shared" si="1"/>
        <v>0</v>
      </c>
      <c r="AX19" s="30">
        <f t="shared" si="1"/>
        <v>0</v>
      </c>
      <c r="AY19" s="30">
        <f t="shared" si="1"/>
        <v>0</v>
      </c>
      <c r="AZ19" s="30">
        <f t="shared" si="1"/>
        <v>0</v>
      </c>
      <c r="BA19" s="30">
        <f t="shared" si="1"/>
        <v>0</v>
      </c>
      <c r="BB19" s="30">
        <f t="shared" si="1"/>
        <v>0</v>
      </c>
      <c r="BC19" s="30">
        <f t="shared" si="1"/>
        <v>0</v>
      </c>
      <c r="BD19" s="30">
        <f t="shared" si="1"/>
        <v>0</v>
      </c>
      <c r="BE19" s="30">
        <f t="shared" si="1"/>
        <v>0</v>
      </c>
      <c r="BF19" s="30">
        <f t="shared" si="1"/>
        <v>0</v>
      </c>
      <c r="BG19" s="30">
        <f t="shared" si="1"/>
        <v>0</v>
      </c>
      <c r="BH19" s="30">
        <f t="shared" si="1"/>
        <v>0</v>
      </c>
      <c r="BI19" s="30">
        <f t="shared" si="1"/>
        <v>0</v>
      </c>
      <c r="BJ19" s="30">
        <f t="shared" si="1"/>
        <v>0</v>
      </c>
      <c r="BK19" s="30">
        <f t="shared" si="1"/>
        <v>0</v>
      </c>
      <c r="BL19" s="30">
        <f t="shared" si="1"/>
        <v>0</v>
      </c>
      <c r="BM19" s="30">
        <f t="shared" si="1"/>
        <v>0</v>
      </c>
      <c r="BN19" s="30">
        <f t="shared" ref="BN19:BP19" si="2">SUM(BN6:BN18)</f>
        <v>0</v>
      </c>
      <c r="BO19" s="30">
        <f t="shared" si="2"/>
        <v>0</v>
      </c>
      <c r="BP19" s="30">
        <f t="shared" si="2"/>
        <v>0</v>
      </c>
    </row>
    <row r="20" spans="1:68" x14ac:dyDescent="0.35">
      <c r="A20" s="36"/>
      <c r="B20" s="31"/>
      <c r="C20" s="97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x14ac:dyDescent="0.35">
      <c r="A21" s="38" t="s">
        <v>84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x14ac:dyDescent="0.35">
      <c r="A22" t="s">
        <v>170</v>
      </c>
      <c r="B22" s="31">
        <f t="shared" ref="B22:B28" si="3">SUM(C22:BP22)</f>
        <v>0</v>
      </c>
      <c r="C22" s="29"/>
      <c r="D22" s="29"/>
      <c r="E22" s="29"/>
      <c r="F22" s="29"/>
      <c r="G22" s="29"/>
      <c r="H22" s="29"/>
      <c r="I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x14ac:dyDescent="0.35">
      <c r="A23" t="s">
        <v>171</v>
      </c>
      <c r="B23" s="31">
        <f t="shared" si="3"/>
        <v>2288</v>
      </c>
      <c r="C23" s="29">
        <v>617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>
        <v>200</v>
      </c>
      <c r="Q23" s="29">
        <v>635</v>
      </c>
      <c r="R23" s="29">
        <v>206</v>
      </c>
      <c r="S23" s="29">
        <v>401</v>
      </c>
      <c r="T23" s="29"/>
      <c r="U23" s="29"/>
      <c r="V23" s="29">
        <v>48</v>
      </c>
      <c r="W23" s="29">
        <v>113</v>
      </c>
      <c r="X23" s="29"/>
      <c r="Y23" s="29"/>
      <c r="Z23" s="29"/>
      <c r="AA23" s="29">
        <v>22</v>
      </c>
      <c r="AB23" s="29"/>
      <c r="AC23" s="29">
        <v>46</v>
      </c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x14ac:dyDescent="0.35">
      <c r="A24" t="s">
        <v>172</v>
      </c>
      <c r="B24" s="31">
        <f t="shared" si="3"/>
        <v>23</v>
      </c>
      <c r="C24" s="29">
        <v>23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x14ac:dyDescent="0.35">
      <c r="A25" t="s">
        <v>173</v>
      </c>
      <c r="B25" s="31">
        <f t="shared" si="3"/>
        <v>3118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>
        <v>40</v>
      </c>
      <c r="P25" s="29"/>
      <c r="Q25" s="29"/>
      <c r="R25" s="29">
        <v>173</v>
      </c>
      <c r="S25" s="29">
        <v>106</v>
      </c>
      <c r="T25" s="29">
        <v>378</v>
      </c>
      <c r="U25" s="29">
        <v>187</v>
      </c>
      <c r="V25" s="29">
        <v>50</v>
      </c>
      <c r="W25" s="29">
        <v>1352</v>
      </c>
      <c r="X25" s="29">
        <v>53</v>
      </c>
      <c r="Y25" s="29">
        <v>109</v>
      </c>
      <c r="Z25" s="29">
        <v>91</v>
      </c>
      <c r="AA25" s="29">
        <v>412</v>
      </c>
      <c r="AB25" s="29"/>
      <c r="AC25" s="29">
        <v>167</v>
      </c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x14ac:dyDescent="0.35">
      <c r="A26" t="s">
        <v>174</v>
      </c>
      <c r="B26" s="31">
        <f t="shared" si="3"/>
        <v>425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>
        <v>122</v>
      </c>
      <c r="T26" s="29">
        <v>44</v>
      </c>
      <c r="U26" s="29">
        <v>30</v>
      </c>
      <c r="V26" s="29"/>
      <c r="W26" s="29">
        <v>103</v>
      </c>
      <c r="X26" s="29">
        <v>26</v>
      </c>
      <c r="Y26" s="29"/>
      <c r="Z26" s="29">
        <v>75</v>
      </c>
      <c r="AA26" s="29"/>
      <c r="AB26" s="29"/>
      <c r="AC26" s="29"/>
      <c r="AD26" s="29">
        <v>25</v>
      </c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x14ac:dyDescent="0.35">
      <c r="A27" t="s">
        <v>177</v>
      </c>
      <c r="B27" s="31">
        <f t="shared" si="3"/>
        <v>136349</v>
      </c>
      <c r="C27" s="29">
        <v>3081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>
        <v>25089</v>
      </c>
      <c r="P27" s="29">
        <v>4522</v>
      </c>
      <c r="Q27" s="29">
        <v>20983</v>
      </c>
      <c r="R27" s="29">
        <v>5324</v>
      </c>
      <c r="S27" s="29">
        <v>4741</v>
      </c>
      <c r="T27" s="29">
        <v>16183</v>
      </c>
      <c r="U27" s="29">
        <v>6112</v>
      </c>
      <c r="V27" s="29">
        <v>8678</v>
      </c>
      <c r="W27" s="29">
        <v>5625</v>
      </c>
      <c r="X27" s="29">
        <v>1321</v>
      </c>
      <c r="Y27" s="29">
        <v>3348</v>
      </c>
      <c r="Z27" s="29">
        <v>3277</v>
      </c>
      <c r="AA27" s="29">
        <v>9127</v>
      </c>
      <c r="AB27" s="29">
        <v>6468</v>
      </c>
      <c r="AC27" s="29">
        <v>7900</v>
      </c>
      <c r="AD27" s="29">
        <v>4570</v>
      </c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x14ac:dyDescent="0.35">
      <c r="A28" t="s">
        <v>180</v>
      </c>
      <c r="B28" s="31">
        <f t="shared" si="3"/>
        <v>11608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>
        <v>9283</v>
      </c>
      <c r="AD28" s="29">
        <v>2325</v>
      </c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x14ac:dyDescent="0.35">
      <c r="A29" s="39" t="s">
        <v>112</v>
      </c>
      <c r="B29" s="115">
        <f t="shared" ref="B29:BM29" si="4">SUM(B23:B28)</f>
        <v>153811</v>
      </c>
      <c r="C29" s="115">
        <f t="shared" si="4"/>
        <v>3721</v>
      </c>
      <c r="D29" s="115">
        <f t="shared" si="4"/>
        <v>0</v>
      </c>
      <c r="E29" s="115">
        <f t="shared" si="4"/>
        <v>0</v>
      </c>
      <c r="F29" s="115">
        <f t="shared" si="4"/>
        <v>0</v>
      </c>
      <c r="G29" s="115">
        <f t="shared" si="4"/>
        <v>0</v>
      </c>
      <c r="H29" s="115">
        <f t="shared" si="4"/>
        <v>0</v>
      </c>
      <c r="I29" s="115">
        <f t="shared" si="4"/>
        <v>0</v>
      </c>
      <c r="J29" s="115">
        <f t="shared" si="4"/>
        <v>0</v>
      </c>
      <c r="K29" s="115">
        <f t="shared" si="4"/>
        <v>0</v>
      </c>
      <c r="L29" s="115">
        <f t="shared" si="4"/>
        <v>0</v>
      </c>
      <c r="M29" s="115">
        <f t="shared" si="4"/>
        <v>0</v>
      </c>
      <c r="N29" s="115">
        <f t="shared" si="4"/>
        <v>0</v>
      </c>
      <c r="O29" s="115">
        <f t="shared" si="4"/>
        <v>25129</v>
      </c>
      <c r="P29" s="115">
        <f t="shared" si="4"/>
        <v>4722</v>
      </c>
      <c r="Q29" s="115">
        <f t="shared" si="4"/>
        <v>21618</v>
      </c>
      <c r="R29" s="115">
        <f t="shared" si="4"/>
        <v>5703</v>
      </c>
      <c r="S29" s="115">
        <f t="shared" si="4"/>
        <v>5370</v>
      </c>
      <c r="T29" s="115">
        <f t="shared" si="4"/>
        <v>16605</v>
      </c>
      <c r="U29" s="115">
        <f t="shared" si="4"/>
        <v>6329</v>
      </c>
      <c r="V29" s="115">
        <f t="shared" si="4"/>
        <v>8776</v>
      </c>
      <c r="W29" s="115">
        <f t="shared" si="4"/>
        <v>7193</v>
      </c>
      <c r="X29" s="115">
        <f t="shared" si="4"/>
        <v>1400</v>
      </c>
      <c r="Y29" s="115">
        <f t="shared" si="4"/>
        <v>3457</v>
      </c>
      <c r="Z29" s="115">
        <f t="shared" si="4"/>
        <v>3443</v>
      </c>
      <c r="AA29" s="115">
        <f t="shared" si="4"/>
        <v>9561</v>
      </c>
      <c r="AB29" s="115">
        <f t="shared" si="4"/>
        <v>6468</v>
      </c>
      <c r="AC29" s="115">
        <f t="shared" si="4"/>
        <v>17396</v>
      </c>
      <c r="AD29" s="115">
        <f t="shared" si="4"/>
        <v>6920</v>
      </c>
      <c r="AE29" s="30">
        <f t="shared" si="4"/>
        <v>0</v>
      </c>
      <c r="AF29" s="30">
        <f t="shared" si="4"/>
        <v>0</v>
      </c>
      <c r="AG29" s="30">
        <f t="shared" si="4"/>
        <v>0</v>
      </c>
      <c r="AH29" s="30">
        <f t="shared" si="4"/>
        <v>0</v>
      </c>
      <c r="AI29" s="30">
        <f t="shared" si="4"/>
        <v>0</v>
      </c>
      <c r="AJ29" s="30">
        <f t="shared" si="4"/>
        <v>0</v>
      </c>
      <c r="AK29" s="30">
        <f t="shared" si="4"/>
        <v>0</v>
      </c>
      <c r="AL29" s="30">
        <f t="shared" si="4"/>
        <v>0</v>
      </c>
      <c r="AM29" s="30">
        <f t="shared" si="4"/>
        <v>0</v>
      </c>
      <c r="AN29" s="30">
        <f t="shared" si="4"/>
        <v>0</v>
      </c>
      <c r="AO29" s="30">
        <f t="shared" si="4"/>
        <v>0</v>
      </c>
      <c r="AP29" s="30">
        <f t="shared" si="4"/>
        <v>0</v>
      </c>
      <c r="AQ29" s="30">
        <f t="shared" si="4"/>
        <v>0</v>
      </c>
      <c r="AR29" s="30">
        <f t="shared" si="4"/>
        <v>0</v>
      </c>
      <c r="AS29" s="30">
        <f t="shared" si="4"/>
        <v>0</v>
      </c>
      <c r="AT29" s="30">
        <f t="shared" si="4"/>
        <v>0</v>
      </c>
      <c r="AU29" s="30">
        <f t="shared" si="4"/>
        <v>0</v>
      </c>
      <c r="AV29" s="30">
        <f t="shared" si="4"/>
        <v>0</v>
      </c>
      <c r="AW29" s="30">
        <f t="shared" si="4"/>
        <v>0</v>
      </c>
      <c r="AX29" s="30">
        <f t="shared" si="4"/>
        <v>0</v>
      </c>
      <c r="AY29" s="30">
        <f t="shared" si="4"/>
        <v>0</v>
      </c>
      <c r="AZ29" s="30">
        <f t="shared" si="4"/>
        <v>0</v>
      </c>
      <c r="BA29" s="30">
        <f t="shared" si="4"/>
        <v>0</v>
      </c>
      <c r="BB29" s="30">
        <f t="shared" si="4"/>
        <v>0</v>
      </c>
      <c r="BC29" s="30">
        <f t="shared" si="4"/>
        <v>0</v>
      </c>
      <c r="BD29" s="30">
        <f t="shared" si="4"/>
        <v>0</v>
      </c>
      <c r="BE29" s="30">
        <f t="shared" si="4"/>
        <v>0</v>
      </c>
      <c r="BF29" s="30">
        <f t="shared" si="4"/>
        <v>0</v>
      </c>
      <c r="BG29" s="30">
        <f t="shared" si="4"/>
        <v>0</v>
      </c>
      <c r="BH29" s="30">
        <f t="shared" si="4"/>
        <v>0</v>
      </c>
      <c r="BI29" s="30">
        <f t="shared" si="4"/>
        <v>0</v>
      </c>
      <c r="BJ29" s="30">
        <f t="shared" si="4"/>
        <v>0</v>
      </c>
      <c r="BK29" s="30">
        <f t="shared" si="4"/>
        <v>0</v>
      </c>
      <c r="BL29" s="30">
        <f t="shared" si="4"/>
        <v>0</v>
      </c>
      <c r="BM29" s="30">
        <f t="shared" si="4"/>
        <v>0</v>
      </c>
      <c r="BN29" s="30">
        <f t="shared" ref="BN29:BP29" si="5">SUM(BN23:BN28)</f>
        <v>0</v>
      </c>
      <c r="BO29" s="30">
        <f t="shared" si="5"/>
        <v>0</v>
      </c>
      <c r="BP29" s="30">
        <f t="shared" si="5"/>
        <v>0</v>
      </c>
    </row>
    <row r="30" spans="1:68" x14ac:dyDescent="0.35">
      <c r="A30" s="36"/>
      <c r="B30" s="31"/>
      <c r="C30" s="97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x14ac:dyDescent="0.35">
      <c r="A31" s="38" t="s">
        <v>113</v>
      </c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x14ac:dyDescent="0.35">
      <c r="A32" t="s">
        <v>171</v>
      </c>
      <c r="B32" s="31">
        <f t="shared" ref="B32:B37" si="6">SUM(C32:BP32)</f>
        <v>731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>
        <v>63</v>
      </c>
      <c r="R32" s="29">
        <v>75</v>
      </c>
      <c r="S32" s="29"/>
      <c r="T32" s="29">
        <v>113</v>
      </c>
      <c r="U32" s="29"/>
      <c r="V32" s="29"/>
      <c r="W32" s="29"/>
      <c r="X32" s="29"/>
      <c r="Y32" s="29"/>
      <c r="Z32" s="29"/>
      <c r="AA32" s="29"/>
      <c r="AB32" s="29">
        <v>480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x14ac:dyDescent="0.35">
      <c r="A33" t="s">
        <v>173</v>
      </c>
      <c r="B33" s="31">
        <f t="shared" si="6"/>
        <v>897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>
        <v>94</v>
      </c>
      <c r="T33" s="29">
        <v>133</v>
      </c>
      <c r="U33" s="29"/>
      <c r="V33" s="29"/>
      <c r="W33" s="29"/>
      <c r="X33" s="29">
        <v>65</v>
      </c>
      <c r="Y33" s="29">
        <v>110</v>
      </c>
      <c r="Z33" s="29">
        <v>25</v>
      </c>
      <c r="AA33" s="29">
        <v>214</v>
      </c>
      <c r="AB33" s="29"/>
      <c r="AC33" s="29">
        <v>157</v>
      </c>
      <c r="AD33" s="29">
        <v>99</v>
      </c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x14ac:dyDescent="0.35">
      <c r="A34" t="s">
        <v>174</v>
      </c>
      <c r="B34" s="31">
        <f t="shared" si="6"/>
        <v>513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>
        <v>95</v>
      </c>
      <c r="Y34" s="29">
        <v>252</v>
      </c>
      <c r="Z34" s="29"/>
      <c r="AA34" s="29">
        <v>166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x14ac:dyDescent="0.35">
      <c r="A35" t="s">
        <v>97</v>
      </c>
      <c r="B35" s="31">
        <f t="shared" si="6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x14ac:dyDescent="0.35">
      <c r="A36" t="s">
        <v>177</v>
      </c>
      <c r="B36" s="31">
        <f t="shared" si="6"/>
        <v>24305</v>
      </c>
      <c r="C36" s="29">
        <v>6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>
        <v>651</v>
      </c>
      <c r="O36" s="170">
        <v>38</v>
      </c>
      <c r="P36" s="170">
        <v>133</v>
      </c>
      <c r="Q36" s="170">
        <v>122</v>
      </c>
      <c r="R36" s="170">
        <v>548</v>
      </c>
      <c r="S36" s="170">
        <v>215</v>
      </c>
      <c r="T36" s="170"/>
      <c r="U36" s="170">
        <v>4070</v>
      </c>
      <c r="V36" s="170">
        <v>726</v>
      </c>
      <c r="W36" s="170">
        <v>2417</v>
      </c>
      <c r="X36" s="170">
        <v>446</v>
      </c>
      <c r="Y36" s="170">
        <v>486</v>
      </c>
      <c r="Z36" s="170">
        <v>1263</v>
      </c>
      <c r="AA36" s="170">
        <v>7059</v>
      </c>
      <c r="AB36" s="170">
        <v>1059</v>
      </c>
      <c r="AC36" s="170">
        <v>2779</v>
      </c>
      <c r="AD36" s="170">
        <v>2287</v>
      </c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68" x14ac:dyDescent="0.35">
      <c r="A37" t="s">
        <v>100</v>
      </c>
      <c r="B37" s="31">
        <f t="shared" si="6"/>
        <v>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</row>
    <row r="38" spans="1:68" x14ac:dyDescent="0.35">
      <c r="A38" s="39" t="s">
        <v>114</v>
      </c>
      <c r="B38" s="30">
        <f t="shared" ref="B38:BM38" si="7">SUM(B32:B37)</f>
        <v>26446</v>
      </c>
      <c r="C38" s="30">
        <f t="shared" si="7"/>
        <v>6</v>
      </c>
      <c r="D38" s="30">
        <f t="shared" si="7"/>
        <v>0</v>
      </c>
      <c r="E38" s="30">
        <f t="shared" si="7"/>
        <v>0</v>
      </c>
      <c r="F38" s="30">
        <f t="shared" si="7"/>
        <v>0</v>
      </c>
      <c r="G38" s="30">
        <f t="shared" si="7"/>
        <v>0</v>
      </c>
      <c r="H38" s="30">
        <f t="shared" si="7"/>
        <v>0</v>
      </c>
      <c r="I38" s="30">
        <f t="shared" si="7"/>
        <v>0</v>
      </c>
      <c r="J38" s="30">
        <f t="shared" si="7"/>
        <v>0</v>
      </c>
      <c r="K38" s="30">
        <f t="shared" si="7"/>
        <v>0</v>
      </c>
      <c r="L38" s="30">
        <f t="shared" si="7"/>
        <v>0</v>
      </c>
      <c r="M38" s="30">
        <f t="shared" si="7"/>
        <v>0</v>
      </c>
      <c r="N38" s="30">
        <f t="shared" si="7"/>
        <v>651</v>
      </c>
      <c r="O38" s="30">
        <f t="shared" si="7"/>
        <v>38</v>
      </c>
      <c r="P38" s="30">
        <f t="shared" si="7"/>
        <v>133</v>
      </c>
      <c r="Q38" s="30">
        <f t="shared" si="7"/>
        <v>185</v>
      </c>
      <c r="R38" s="30">
        <f t="shared" si="7"/>
        <v>623</v>
      </c>
      <c r="S38" s="30">
        <f t="shared" si="7"/>
        <v>309</v>
      </c>
      <c r="T38" s="30">
        <f t="shared" si="7"/>
        <v>246</v>
      </c>
      <c r="U38" s="30">
        <f t="shared" si="7"/>
        <v>4070</v>
      </c>
      <c r="V38" s="30">
        <f t="shared" si="7"/>
        <v>726</v>
      </c>
      <c r="W38" s="30">
        <f t="shared" si="7"/>
        <v>2417</v>
      </c>
      <c r="X38" s="30">
        <f t="shared" si="7"/>
        <v>606</v>
      </c>
      <c r="Y38" s="30">
        <f t="shared" si="7"/>
        <v>848</v>
      </c>
      <c r="Z38" s="30">
        <f t="shared" si="7"/>
        <v>1288</v>
      </c>
      <c r="AA38" s="30">
        <f t="shared" si="7"/>
        <v>7439</v>
      </c>
      <c r="AB38" s="30">
        <f t="shared" si="7"/>
        <v>1539</v>
      </c>
      <c r="AC38" s="30">
        <f t="shared" si="7"/>
        <v>2936</v>
      </c>
      <c r="AD38" s="30">
        <f t="shared" si="7"/>
        <v>2386</v>
      </c>
      <c r="AE38" s="30">
        <f t="shared" si="7"/>
        <v>0</v>
      </c>
      <c r="AF38" s="30">
        <f t="shared" si="7"/>
        <v>0</v>
      </c>
      <c r="AG38" s="30">
        <f t="shared" si="7"/>
        <v>0</v>
      </c>
      <c r="AH38" s="30">
        <f t="shared" si="7"/>
        <v>0</v>
      </c>
      <c r="AI38" s="30">
        <f t="shared" si="7"/>
        <v>0</v>
      </c>
      <c r="AJ38" s="30">
        <f t="shared" si="7"/>
        <v>0</v>
      </c>
      <c r="AK38" s="30">
        <f t="shared" si="7"/>
        <v>0</v>
      </c>
      <c r="AL38" s="30">
        <f t="shared" si="7"/>
        <v>0</v>
      </c>
      <c r="AM38" s="30">
        <f t="shared" si="7"/>
        <v>0</v>
      </c>
      <c r="AN38" s="30">
        <f t="shared" si="7"/>
        <v>0</v>
      </c>
      <c r="AO38" s="30">
        <f t="shared" si="7"/>
        <v>0</v>
      </c>
      <c r="AP38" s="30">
        <f t="shared" si="7"/>
        <v>0</v>
      </c>
      <c r="AQ38" s="30">
        <f t="shared" si="7"/>
        <v>0</v>
      </c>
      <c r="AR38" s="30">
        <f t="shared" si="7"/>
        <v>0</v>
      </c>
      <c r="AS38" s="30">
        <f t="shared" si="7"/>
        <v>0</v>
      </c>
      <c r="AT38" s="30">
        <f t="shared" si="7"/>
        <v>0</v>
      </c>
      <c r="AU38" s="30">
        <f t="shared" si="7"/>
        <v>0</v>
      </c>
      <c r="AV38" s="30">
        <f t="shared" si="7"/>
        <v>0</v>
      </c>
      <c r="AW38" s="30">
        <f t="shared" si="7"/>
        <v>0</v>
      </c>
      <c r="AX38" s="30">
        <f t="shared" si="7"/>
        <v>0</v>
      </c>
      <c r="AY38" s="30">
        <f t="shared" si="7"/>
        <v>0</v>
      </c>
      <c r="AZ38" s="30">
        <f t="shared" si="7"/>
        <v>0</v>
      </c>
      <c r="BA38" s="30">
        <f t="shared" si="7"/>
        <v>0</v>
      </c>
      <c r="BB38" s="30">
        <f t="shared" si="7"/>
        <v>0</v>
      </c>
      <c r="BC38" s="30">
        <f t="shared" si="7"/>
        <v>0</v>
      </c>
      <c r="BD38" s="30">
        <f t="shared" si="7"/>
        <v>0</v>
      </c>
      <c r="BE38" s="30">
        <f t="shared" si="7"/>
        <v>0</v>
      </c>
      <c r="BF38" s="30">
        <f t="shared" si="7"/>
        <v>0</v>
      </c>
      <c r="BG38" s="30">
        <f t="shared" si="7"/>
        <v>0</v>
      </c>
      <c r="BH38" s="30">
        <f t="shared" si="7"/>
        <v>0</v>
      </c>
      <c r="BI38" s="30">
        <f t="shared" si="7"/>
        <v>0</v>
      </c>
      <c r="BJ38" s="30">
        <f t="shared" si="7"/>
        <v>0</v>
      </c>
      <c r="BK38" s="30">
        <f t="shared" si="7"/>
        <v>0</v>
      </c>
      <c r="BL38" s="30">
        <f t="shared" si="7"/>
        <v>0</v>
      </c>
      <c r="BM38" s="30">
        <f t="shared" si="7"/>
        <v>0</v>
      </c>
      <c r="BN38" s="30">
        <f t="shared" ref="BN38:BP38" si="8">SUM(BN32:BN37)</f>
        <v>0</v>
      </c>
      <c r="BO38" s="30">
        <f t="shared" si="8"/>
        <v>0</v>
      </c>
      <c r="BP38" s="30">
        <f t="shared" si="8"/>
        <v>0</v>
      </c>
    </row>
    <row r="39" spans="1:68" x14ac:dyDescent="0.35">
      <c r="A39" s="36"/>
      <c r="B39" s="31"/>
      <c r="C39" s="97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</row>
    <row r="40" spans="1:68" x14ac:dyDescent="0.35">
      <c r="A40" s="38" t="s">
        <v>85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</row>
    <row r="41" spans="1:68" x14ac:dyDescent="0.35">
      <c r="A41" t="s">
        <v>171</v>
      </c>
      <c r="B41" s="31">
        <f t="shared" ref="B41:B49" si="9">SUM(C41:BP41)</f>
        <v>1682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70">
        <v>232</v>
      </c>
      <c r="P41" s="170">
        <v>235</v>
      </c>
      <c r="Q41" s="170">
        <v>470</v>
      </c>
      <c r="R41" s="170">
        <v>77</v>
      </c>
      <c r="S41" s="170"/>
      <c r="T41" s="170"/>
      <c r="U41" s="170">
        <v>166</v>
      </c>
      <c r="V41" s="170">
        <v>66</v>
      </c>
      <c r="W41" s="170">
        <v>125</v>
      </c>
      <c r="X41" s="170">
        <v>41</v>
      </c>
      <c r="Y41" s="170">
        <v>29</v>
      </c>
      <c r="Z41" s="36"/>
      <c r="AA41" s="36"/>
      <c r="AB41" s="36">
        <v>185</v>
      </c>
      <c r="AC41" s="36">
        <v>28</v>
      </c>
      <c r="AD41" s="36">
        <v>28</v>
      </c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</row>
    <row r="42" spans="1:68" x14ac:dyDescent="0.35">
      <c r="A42" t="s">
        <v>172</v>
      </c>
      <c r="B42" s="31">
        <f t="shared" si="9"/>
        <v>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>
        <v>5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</row>
    <row r="43" spans="1:68" x14ac:dyDescent="0.35">
      <c r="A43" t="s">
        <v>173</v>
      </c>
      <c r="B43" s="31">
        <f t="shared" si="9"/>
        <v>4244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>
        <v>90</v>
      </c>
      <c r="N43" s="36"/>
      <c r="O43" s="36"/>
      <c r="P43" s="36"/>
      <c r="Q43" s="36">
        <v>32</v>
      </c>
      <c r="R43" s="36">
        <v>992</v>
      </c>
      <c r="S43" s="36">
        <v>172</v>
      </c>
      <c r="T43" s="36">
        <v>483</v>
      </c>
      <c r="U43" s="36">
        <v>308</v>
      </c>
      <c r="V43" s="36">
        <v>311</v>
      </c>
      <c r="W43" s="36">
        <v>360</v>
      </c>
      <c r="X43" s="36">
        <v>131</v>
      </c>
      <c r="Y43" s="36">
        <v>136</v>
      </c>
      <c r="Z43" s="36">
        <v>131</v>
      </c>
      <c r="AA43" s="36">
        <v>272</v>
      </c>
      <c r="AB43" s="36">
        <v>712</v>
      </c>
      <c r="AC43" s="36"/>
      <c r="AD43" s="36">
        <v>114</v>
      </c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</row>
    <row r="44" spans="1:68" x14ac:dyDescent="0.35">
      <c r="A44" t="s">
        <v>174</v>
      </c>
      <c r="B44" s="31">
        <f t="shared" si="9"/>
        <v>358</v>
      </c>
      <c r="C44" s="36">
        <v>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>
        <v>350</v>
      </c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</row>
    <row r="45" spans="1:68" x14ac:dyDescent="0.35">
      <c r="A45" t="s">
        <v>97</v>
      </c>
      <c r="B45" s="31">
        <f t="shared" si="9"/>
        <v>12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>
        <v>12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</row>
    <row r="46" spans="1:68" x14ac:dyDescent="0.35">
      <c r="A46" t="s">
        <v>176</v>
      </c>
      <c r="B46" s="31">
        <f t="shared" si="9"/>
        <v>822</v>
      </c>
      <c r="C46" s="36"/>
      <c r="D46" s="36"/>
      <c r="E46" s="36"/>
      <c r="F46" s="36"/>
      <c r="G46" s="36"/>
      <c r="H46" s="36"/>
      <c r="I46" s="36"/>
      <c r="J46" s="36"/>
      <c r="K46" s="36"/>
      <c r="L46" s="36">
        <v>487</v>
      </c>
      <c r="M46" s="36">
        <v>144</v>
      </c>
      <c r="N46" s="36">
        <v>145</v>
      </c>
      <c r="O46" s="36"/>
      <c r="P46" s="36"/>
      <c r="Q46" s="36">
        <v>46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</row>
    <row r="47" spans="1:68" x14ac:dyDescent="0.35">
      <c r="A47" t="s">
        <v>177</v>
      </c>
      <c r="B47" s="31">
        <f t="shared" si="9"/>
        <v>67854</v>
      </c>
      <c r="C47" s="36"/>
      <c r="D47" s="36"/>
      <c r="E47" s="36"/>
      <c r="F47" s="36"/>
      <c r="G47" s="36"/>
      <c r="H47" s="36"/>
      <c r="I47" s="36"/>
      <c r="J47" s="36">
        <v>143</v>
      </c>
      <c r="K47" s="36"/>
      <c r="L47" s="36"/>
      <c r="M47" s="36">
        <v>829</v>
      </c>
      <c r="N47" s="36"/>
      <c r="O47" s="36">
        <v>1527</v>
      </c>
      <c r="P47" s="36">
        <v>12489</v>
      </c>
      <c r="Q47" s="36">
        <v>18614</v>
      </c>
      <c r="R47" s="36">
        <v>7706</v>
      </c>
      <c r="S47" s="36">
        <v>2708</v>
      </c>
      <c r="T47" s="36">
        <v>4420</v>
      </c>
      <c r="U47" s="36">
        <v>4102</v>
      </c>
      <c r="V47" s="36">
        <v>1290</v>
      </c>
      <c r="W47" s="36">
        <v>3285</v>
      </c>
      <c r="X47" s="36">
        <v>1554</v>
      </c>
      <c r="Y47" s="36">
        <v>828</v>
      </c>
      <c r="Z47" s="36">
        <v>695</v>
      </c>
      <c r="AA47" s="36">
        <v>3154</v>
      </c>
      <c r="AB47" s="36">
        <v>1489</v>
      </c>
      <c r="AC47" s="36">
        <v>1278</v>
      </c>
      <c r="AD47" s="36">
        <v>1743</v>
      </c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</row>
    <row r="48" spans="1:68" x14ac:dyDescent="0.35">
      <c r="A48" t="s">
        <v>181</v>
      </c>
      <c r="B48" s="31">
        <f t="shared" si="9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</row>
    <row r="49" spans="1:68" x14ac:dyDescent="0.35">
      <c r="A49" s="94" t="s">
        <v>178</v>
      </c>
      <c r="B49" s="31">
        <f t="shared" si="9"/>
        <v>4906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>
        <v>2166</v>
      </c>
      <c r="Z49" s="171"/>
      <c r="AA49" s="171"/>
      <c r="AB49" s="171">
        <v>2740</v>
      </c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</row>
    <row r="50" spans="1:68" x14ac:dyDescent="0.35">
      <c r="A50" s="39" t="s">
        <v>115</v>
      </c>
      <c r="B50" s="30">
        <f t="shared" ref="B50:BM50" si="10">SUM(B41:B49)</f>
        <v>79883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>
        <f t="shared" si="10"/>
        <v>0</v>
      </c>
      <c r="BJ50" s="30">
        <f t="shared" si="10"/>
        <v>0</v>
      </c>
      <c r="BK50" s="30">
        <f t="shared" si="10"/>
        <v>0</v>
      </c>
      <c r="BL50" s="30">
        <f t="shared" si="10"/>
        <v>0</v>
      </c>
      <c r="BM50" s="30">
        <f t="shared" si="10"/>
        <v>0</v>
      </c>
      <c r="BN50" s="30">
        <f t="shared" ref="BN50:BP50" si="11">SUM(BN41:BN49)</f>
        <v>0</v>
      </c>
      <c r="BO50" s="30">
        <f t="shared" si="11"/>
        <v>0</v>
      </c>
      <c r="BP50" s="30">
        <f t="shared" si="11"/>
        <v>0</v>
      </c>
    </row>
    <row r="51" spans="1:68" x14ac:dyDescent="0.35">
      <c r="A51" s="36"/>
      <c r="B51" s="31"/>
      <c r="C51" s="97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</row>
    <row r="52" spans="1:68" x14ac:dyDescent="0.35">
      <c r="A52" s="38" t="s">
        <v>86</v>
      </c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</row>
    <row r="53" spans="1:68" x14ac:dyDescent="0.35">
      <c r="A53" t="s">
        <v>96</v>
      </c>
      <c r="B53" s="31">
        <f t="shared" ref="B53:B57" si="12">SUM(C53:BP53)</f>
        <v>189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>
        <v>189</v>
      </c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</row>
    <row r="54" spans="1:68" x14ac:dyDescent="0.35">
      <c r="A54" t="s">
        <v>172</v>
      </c>
      <c r="B54" s="31">
        <f t="shared" si="12"/>
        <v>146</v>
      </c>
      <c r="C54" s="29">
        <v>146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</row>
    <row r="55" spans="1:68" x14ac:dyDescent="0.35">
      <c r="A55" t="s">
        <v>181</v>
      </c>
      <c r="B55" s="31">
        <f t="shared" si="12"/>
        <v>300</v>
      </c>
      <c r="C55" s="29">
        <v>300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</row>
    <row r="56" spans="1:68" x14ac:dyDescent="0.35">
      <c r="A56" t="s">
        <v>179</v>
      </c>
      <c r="B56" s="31">
        <f t="shared" si="12"/>
        <v>0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</row>
    <row r="57" spans="1:68" x14ac:dyDescent="0.35">
      <c r="A57" t="s">
        <v>182</v>
      </c>
      <c r="B57" s="31">
        <f t="shared" si="12"/>
        <v>0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</row>
    <row r="58" spans="1:68" x14ac:dyDescent="0.35">
      <c r="A58" s="39" t="s">
        <v>116</v>
      </c>
      <c r="B58" s="30">
        <f>SUM(B53:B57)</f>
        <v>635</v>
      </c>
      <c r="C58" s="30">
        <f>SUM(C53:C57)</f>
        <v>446</v>
      </c>
      <c r="D58" s="30">
        <f t="shared" ref="D58:BO58" si="13">SUM(D53:D56)</f>
        <v>0</v>
      </c>
      <c r="E58" s="30">
        <f t="shared" si="13"/>
        <v>0</v>
      </c>
      <c r="F58" s="30">
        <f t="shared" si="13"/>
        <v>0</v>
      </c>
      <c r="G58" s="30">
        <f t="shared" si="13"/>
        <v>0</v>
      </c>
      <c r="H58" s="30">
        <f t="shared" si="13"/>
        <v>0</v>
      </c>
      <c r="I58" s="30">
        <f t="shared" si="13"/>
        <v>0</v>
      </c>
      <c r="J58" s="30">
        <f t="shared" si="13"/>
        <v>0</v>
      </c>
      <c r="K58" s="30">
        <f t="shared" si="13"/>
        <v>0</v>
      </c>
      <c r="L58" s="30">
        <f t="shared" si="13"/>
        <v>0</v>
      </c>
      <c r="M58" s="30">
        <f t="shared" si="13"/>
        <v>0</v>
      </c>
      <c r="N58" s="30">
        <f t="shared" si="13"/>
        <v>0</v>
      </c>
      <c r="O58" s="30">
        <f t="shared" si="13"/>
        <v>0</v>
      </c>
      <c r="P58" s="30">
        <f t="shared" si="13"/>
        <v>0</v>
      </c>
      <c r="Q58" s="30">
        <f t="shared" si="13"/>
        <v>0</v>
      </c>
      <c r="R58" s="30">
        <f t="shared" si="13"/>
        <v>0</v>
      </c>
      <c r="S58" s="30">
        <f t="shared" si="13"/>
        <v>0</v>
      </c>
      <c r="T58" s="30">
        <f t="shared" si="13"/>
        <v>0</v>
      </c>
      <c r="U58" s="30">
        <f t="shared" si="13"/>
        <v>0</v>
      </c>
      <c r="V58" s="30">
        <f t="shared" si="13"/>
        <v>0</v>
      </c>
      <c r="W58" s="30">
        <f t="shared" si="13"/>
        <v>0</v>
      </c>
      <c r="X58" s="30">
        <f t="shared" si="13"/>
        <v>0</v>
      </c>
      <c r="Y58" s="30">
        <f t="shared" si="13"/>
        <v>0</v>
      </c>
      <c r="Z58" s="30">
        <f t="shared" si="13"/>
        <v>0</v>
      </c>
      <c r="AA58" s="30">
        <f t="shared" si="13"/>
        <v>0</v>
      </c>
      <c r="AB58" s="30">
        <f t="shared" si="13"/>
        <v>0</v>
      </c>
      <c r="AC58" s="30">
        <f t="shared" si="13"/>
        <v>0</v>
      </c>
      <c r="AD58" s="30">
        <f t="shared" si="13"/>
        <v>0</v>
      </c>
      <c r="AE58" s="30">
        <f t="shared" si="13"/>
        <v>0</v>
      </c>
      <c r="AF58" s="30">
        <f t="shared" si="13"/>
        <v>0</v>
      </c>
      <c r="AG58" s="30">
        <f t="shared" si="13"/>
        <v>0</v>
      </c>
      <c r="AH58" s="30">
        <f t="shared" si="13"/>
        <v>0</v>
      </c>
      <c r="AI58" s="30">
        <f t="shared" si="13"/>
        <v>0</v>
      </c>
      <c r="AJ58" s="30">
        <f t="shared" si="13"/>
        <v>189</v>
      </c>
      <c r="AK58" s="30">
        <f t="shared" si="13"/>
        <v>0</v>
      </c>
      <c r="AL58" s="30">
        <f t="shared" si="13"/>
        <v>0</v>
      </c>
      <c r="AM58" s="30">
        <f t="shared" si="13"/>
        <v>0</v>
      </c>
      <c r="AN58" s="30">
        <f t="shared" si="13"/>
        <v>0</v>
      </c>
      <c r="AO58" s="30">
        <f t="shared" si="13"/>
        <v>0</v>
      </c>
      <c r="AP58" s="30">
        <f t="shared" si="13"/>
        <v>0</v>
      </c>
      <c r="AQ58" s="30">
        <f t="shared" si="13"/>
        <v>0</v>
      </c>
      <c r="AR58" s="30">
        <f t="shared" si="13"/>
        <v>0</v>
      </c>
      <c r="AS58" s="30">
        <f t="shared" si="13"/>
        <v>0</v>
      </c>
      <c r="AT58" s="30">
        <f t="shared" si="13"/>
        <v>0</v>
      </c>
      <c r="AU58" s="30">
        <f t="shared" si="13"/>
        <v>0</v>
      </c>
      <c r="AV58" s="30">
        <f t="shared" si="13"/>
        <v>0</v>
      </c>
      <c r="AW58" s="30">
        <f t="shared" si="13"/>
        <v>0</v>
      </c>
      <c r="AX58" s="30">
        <f t="shared" si="13"/>
        <v>0</v>
      </c>
      <c r="AY58" s="30">
        <f t="shared" si="13"/>
        <v>0</v>
      </c>
      <c r="AZ58" s="30">
        <f t="shared" si="13"/>
        <v>0</v>
      </c>
      <c r="BA58" s="30">
        <f t="shared" si="13"/>
        <v>0</v>
      </c>
      <c r="BB58" s="30">
        <f t="shared" si="13"/>
        <v>0</v>
      </c>
      <c r="BC58" s="30">
        <f t="shared" si="13"/>
        <v>0</v>
      </c>
      <c r="BD58" s="30">
        <f t="shared" si="13"/>
        <v>0</v>
      </c>
      <c r="BE58" s="30">
        <f t="shared" si="13"/>
        <v>0</v>
      </c>
      <c r="BF58" s="30">
        <f t="shared" si="13"/>
        <v>0</v>
      </c>
      <c r="BG58" s="30">
        <f t="shared" si="13"/>
        <v>0</v>
      </c>
      <c r="BH58" s="30">
        <f t="shared" si="13"/>
        <v>0</v>
      </c>
      <c r="BI58" s="30">
        <f t="shared" si="13"/>
        <v>0</v>
      </c>
      <c r="BJ58" s="30">
        <f t="shared" si="13"/>
        <v>0</v>
      </c>
      <c r="BK58" s="30">
        <f t="shared" si="13"/>
        <v>0</v>
      </c>
      <c r="BL58" s="30">
        <f t="shared" si="13"/>
        <v>0</v>
      </c>
      <c r="BM58" s="30">
        <f t="shared" si="13"/>
        <v>0</v>
      </c>
      <c r="BN58" s="30">
        <f t="shared" si="13"/>
        <v>0</v>
      </c>
      <c r="BO58" s="30">
        <f t="shared" si="13"/>
        <v>0</v>
      </c>
      <c r="BP58" s="30">
        <f t="shared" ref="BP58" si="14">SUM(BP53:BP56)</f>
        <v>0</v>
      </c>
    </row>
    <row r="59" spans="1:68" x14ac:dyDescent="0.35">
      <c r="A59" s="36"/>
      <c r="B59" s="31"/>
      <c r="C59" s="9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</row>
    <row r="60" spans="1:68" x14ac:dyDescent="0.35">
      <c r="A60" s="38" t="s">
        <v>87</v>
      </c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</row>
    <row r="61" spans="1:68" x14ac:dyDescent="0.35">
      <c r="A61" t="s">
        <v>97</v>
      </c>
      <c r="B61" s="31">
        <f t="shared" ref="B61:B63" si="15">SUM(C61:BP61)</f>
        <v>666</v>
      </c>
      <c r="C61" s="29">
        <v>666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</row>
    <row r="62" spans="1:68" x14ac:dyDescent="0.35">
      <c r="A62" t="s">
        <v>176</v>
      </c>
      <c r="B62" s="31">
        <f t="shared" si="15"/>
        <v>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</row>
    <row r="63" spans="1:68" x14ac:dyDescent="0.35">
      <c r="A63" t="s">
        <v>183</v>
      </c>
      <c r="B63" s="31">
        <f t="shared" si="15"/>
        <v>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</row>
    <row r="64" spans="1:68" x14ac:dyDescent="0.35">
      <c r="A64" s="39" t="s">
        <v>117</v>
      </c>
      <c r="B64" s="30">
        <f>SUM(B61:B63)</f>
        <v>666</v>
      </c>
      <c r="C64" s="30">
        <f>SUM(C61:C63)</f>
        <v>666</v>
      </c>
      <c r="D64" s="30">
        <f t="shared" ref="D64:Z64" si="16">SUM(D61:D62)</f>
        <v>0</v>
      </c>
      <c r="E64" s="30">
        <f t="shared" si="16"/>
        <v>0</v>
      </c>
      <c r="F64" s="30">
        <f t="shared" si="16"/>
        <v>0</v>
      </c>
      <c r="G64" s="30">
        <f t="shared" si="16"/>
        <v>0</v>
      </c>
      <c r="H64" s="30">
        <f t="shared" si="16"/>
        <v>0</v>
      </c>
      <c r="I64" s="30">
        <f t="shared" si="16"/>
        <v>0</v>
      </c>
      <c r="J64" s="30">
        <f t="shared" si="16"/>
        <v>0</v>
      </c>
      <c r="K64" s="30">
        <f t="shared" si="16"/>
        <v>0</v>
      </c>
      <c r="L64" s="30">
        <f t="shared" si="16"/>
        <v>0</v>
      </c>
      <c r="M64" s="30">
        <f t="shared" si="16"/>
        <v>0</v>
      </c>
      <c r="N64" s="30">
        <f t="shared" si="16"/>
        <v>0</v>
      </c>
      <c r="O64" s="30">
        <f t="shared" si="16"/>
        <v>0</v>
      </c>
      <c r="P64" s="30">
        <f t="shared" si="16"/>
        <v>0</v>
      </c>
      <c r="Q64" s="30">
        <f t="shared" si="16"/>
        <v>0</v>
      </c>
      <c r="R64" s="30">
        <f t="shared" si="16"/>
        <v>0</v>
      </c>
      <c r="S64" s="30">
        <f t="shared" si="16"/>
        <v>0</v>
      </c>
      <c r="T64" s="30">
        <f t="shared" si="16"/>
        <v>0</v>
      </c>
      <c r="U64" s="30">
        <f t="shared" si="16"/>
        <v>0</v>
      </c>
      <c r="V64" s="30">
        <f t="shared" si="16"/>
        <v>0</v>
      </c>
      <c r="W64" s="30">
        <f t="shared" si="16"/>
        <v>0</v>
      </c>
      <c r="X64" s="30">
        <f t="shared" si="16"/>
        <v>0</v>
      </c>
      <c r="Y64" s="30">
        <f t="shared" si="16"/>
        <v>0</v>
      </c>
      <c r="Z64" s="30">
        <f t="shared" si="16"/>
        <v>0</v>
      </c>
      <c r="AA64" s="30">
        <f>SUM(AA61:AA63)</f>
        <v>0</v>
      </c>
      <c r="AB64" s="30">
        <f>SUM(AB61:AB63)</f>
        <v>0</v>
      </c>
      <c r="AC64" s="30">
        <f>SUM(AC61:AC63)</f>
        <v>0</v>
      </c>
      <c r="AD64" s="30">
        <f>SUM(AD61:AD63)</f>
        <v>0</v>
      </c>
      <c r="AE64" s="30">
        <f t="shared" ref="AE64:BP64" si="17">SUM(AE61:AE62)</f>
        <v>0</v>
      </c>
      <c r="AF64" s="30">
        <f t="shared" si="17"/>
        <v>0</v>
      </c>
      <c r="AG64" s="30">
        <f t="shared" si="17"/>
        <v>0</v>
      </c>
      <c r="AH64" s="30">
        <f t="shared" si="17"/>
        <v>0</v>
      </c>
      <c r="AI64" s="30">
        <f t="shared" si="17"/>
        <v>0</v>
      </c>
      <c r="AJ64" s="30">
        <f t="shared" si="17"/>
        <v>0</v>
      </c>
      <c r="AK64" s="30">
        <f t="shared" si="17"/>
        <v>0</v>
      </c>
      <c r="AL64" s="30">
        <f t="shared" si="17"/>
        <v>0</v>
      </c>
      <c r="AM64" s="30">
        <f t="shared" si="17"/>
        <v>0</v>
      </c>
      <c r="AN64" s="30">
        <f t="shared" si="17"/>
        <v>0</v>
      </c>
      <c r="AO64" s="30">
        <f t="shared" si="17"/>
        <v>0</v>
      </c>
      <c r="AP64" s="30">
        <f t="shared" si="17"/>
        <v>0</v>
      </c>
      <c r="AQ64" s="30">
        <f t="shared" si="17"/>
        <v>0</v>
      </c>
      <c r="AR64" s="30">
        <f t="shared" si="17"/>
        <v>0</v>
      </c>
      <c r="AS64" s="30">
        <f t="shared" si="17"/>
        <v>0</v>
      </c>
      <c r="AT64" s="30">
        <f t="shared" si="17"/>
        <v>0</v>
      </c>
      <c r="AU64" s="30">
        <f t="shared" si="17"/>
        <v>0</v>
      </c>
      <c r="AV64" s="30">
        <f t="shared" si="17"/>
        <v>0</v>
      </c>
      <c r="AW64" s="30">
        <f t="shared" si="17"/>
        <v>0</v>
      </c>
      <c r="AX64" s="30">
        <f t="shared" si="17"/>
        <v>0</v>
      </c>
      <c r="AY64" s="30">
        <f t="shared" si="17"/>
        <v>0</v>
      </c>
      <c r="AZ64" s="30">
        <f t="shared" si="17"/>
        <v>0</v>
      </c>
      <c r="BA64" s="30">
        <f t="shared" si="17"/>
        <v>0</v>
      </c>
      <c r="BB64" s="30">
        <f t="shared" si="17"/>
        <v>0</v>
      </c>
      <c r="BC64" s="30">
        <f t="shared" si="17"/>
        <v>0</v>
      </c>
      <c r="BD64" s="30">
        <f t="shared" si="17"/>
        <v>0</v>
      </c>
      <c r="BE64" s="30">
        <f t="shared" si="17"/>
        <v>0</v>
      </c>
      <c r="BF64" s="30">
        <f t="shared" si="17"/>
        <v>0</v>
      </c>
      <c r="BG64" s="30">
        <f t="shared" si="17"/>
        <v>0</v>
      </c>
      <c r="BH64" s="30">
        <f t="shared" si="17"/>
        <v>0</v>
      </c>
      <c r="BI64" s="30">
        <f t="shared" si="17"/>
        <v>0</v>
      </c>
      <c r="BJ64" s="30">
        <f t="shared" si="17"/>
        <v>0</v>
      </c>
      <c r="BK64" s="30">
        <f t="shared" si="17"/>
        <v>0</v>
      </c>
      <c r="BL64" s="30">
        <f t="shared" si="17"/>
        <v>0</v>
      </c>
      <c r="BM64" s="30">
        <f t="shared" si="17"/>
        <v>0</v>
      </c>
      <c r="BN64" s="30">
        <f t="shared" si="17"/>
        <v>0</v>
      </c>
      <c r="BO64" s="30">
        <f t="shared" si="17"/>
        <v>0</v>
      </c>
      <c r="BP64" s="30">
        <f t="shared" si="17"/>
        <v>0</v>
      </c>
    </row>
    <row r="65" spans="1:68" x14ac:dyDescent="0.35">
      <c r="A65" s="36"/>
      <c r="B65" s="31"/>
      <c r="C65" s="97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</row>
    <row r="66" spans="1:68" x14ac:dyDescent="0.35">
      <c r="A66" s="38" t="s">
        <v>88</v>
      </c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</row>
    <row r="67" spans="1:68" x14ac:dyDescent="0.35">
      <c r="A67" t="s">
        <v>171</v>
      </c>
      <c r="B67" s="31">
        <f t="shared" ref="B67:B70" si="18">SUM(C67:BP67)</f>
        <v>164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>
        <v>144</v>
      </c>
      <c r="AC67" s="29"/>
      <c r="AD67" s="29">
        <v>20</v>
      </c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</row>
    <row r="68" spans="1:68" x14ac:dyDescent="0.35">
      <c r="A68" t="s">
        <v>96</v>
      </c>
      <c r="B68" s="31">
        <f t="shared" si="18"/>
        <v>303</v>
      </c>
      <c r="C68" s="29">
        <v>303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</row>
    <row r="69" spans="1:68" x14ac:dyDescent="0.35">
      <c r="A69" t="s">
        <v>172</v>
      </c>
      <c r="B69" s="31">
        <f t="shared" si="18"/>
        <v>34</v>
      </c>
      <c r="C69" s="29">
        <v>34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</row>
    <row r="70" spans="1:68" x14ac:dyDescent="0.35">
      <c r="A70" t="s">
        <v>177</v>
      </c>
      <c r="B70" s="31">
        <f t="shared" si="18"/>
        <v>1754</v>
      </c>
      <c r="C70" s="29">
        <v>1754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</row>
    <row r="71" spans="1:68" x14ac:dyDescent="0.35">
      <c r="A71" s="39" t="s">
        <v>118</v>
      </c>
      <c r="B71" s="30">
        <f t="shared" ref="B71:BM71" si="19">SUM(B67:B70)</f>
        <v>2255</v>
      </c>
      <c r="C71" s="30">
        <f t="shared" si="19"/>
        <v>2091</v>
      </c>
      <c r="D71" s="30">
        <f t="shared" si="19"/>
        <v>0</v>
      </c>
      <c r="E71" s="30">
        <f t="shared" si="19"/>
        <v>0</v>
      </c>
      <c r="F71" s="30">
        <f t="shared" si="19"/>
        <v>0</v>
      </c>
      <c r="G71" s="30">
        <f t="shared" si="19"/>
        <v>0</v>
      </c>
      <c r="H71" s="30">
        <f t="shared" si="19"/>
        <v>0</v>
      </c>
      <c r="I71" s="30">
        <f t="shared" si="19"/>
        <v>0</v>
      </c>
      <c r="J71" s="30">
        <f t="shared" si="19"/>
        <v>0</v>
      </c>
      <c r="K71" s="30">
        <f t="shared" si="19"/>
        <v>0</v>
      </c>
      <c r="L71" s="30">
        <f t="shared" si="19"/>
        <v>0</v>
      </c>
      <c r="M71" s="30">
        <f t="shared" si="19"/>
        <v>0</v>
      </c>
      <c r="N71" s="30">
        <f t="shared" si="19"/>
        <v>0</v>
      </c>
      <c r="O71" s="30">
        <f t="shared" si="19"/>
        <v>0</v>
      </c>
      <c r="P71" s="30">
        <f t="shared" si="19"/>
        <v>0</v>
      </c>
      <c r="Q71" s="30">
        <f t="shared" si="19"/>
        <v>0</v>
      </c>
      <c r="R71" s="30">
        <f t="shared" si="19"/>
        <v>0</v>
      </c>
      <c r="S71" s="30">
        <f t="shared" si="19"/>
        <v>0</v>
      </c>
      <c r="T71" s="30">
        <f t="shared" si="19"/>
        <v>0</v>
      </c>
      <c r="U71" s="30">
        <f t="shared" si="19"/>
        <v>0</v>
      </c>
      <c r="V71" s="30">
        <f t="shared" si="19"/>
        <v>0</v>
      </c>
      <c r="W71" s="30">
        <f t="shared" si="19"/>
        <v>0</v>
      </c>
      <c r="X71" s="30">
        <f t="shared" si="19"/>
        <v>0</v>
      </c>
      <c r="Y71" s="30">
        <f t="shared" si="19"/>
        <v>0</v>
      </c>
      <c r="Z71" s="30">
        <f t="shared" si="19"/>
        <v>0</v>
      </c>
      <c r="AA71" s="30">
        <f t="shared" si="19"/>
        <v>0</v>
      </c>
      <c r="AB71" s="30">
        <f t="shared" si="19"/>
        <v>144</v>
      </c>
      <c r="AC71" s="30">
        <f t="shared" si="19"/>
        <v>0</v>
      </c>
      <c r="AD71" s="30">
        <f t="shared" si="19"/>
        <v>20</v>
      </c>
      <c r="AE71" s="30">
        <f t="shared" si="19"/>
        <v>0</v>
      </c>
      <c r="AF71" s="30">
        <f t="shared" si="19"/>
        <v>0</v>
      </c>
      <c r="AG71" s="30">
        <f t="shared" si="19"/>
        <v>0</v>
      </c>
      <c r="AH71" s="30">
        <f t="shared" si="19"/>
        <v>0</v>
      </c>
      <c r="AI71" s="30">
        <f t="shared" si="19"/>
        <v>0</v>
      </c>
      <c r="AJ71" s="30">
        <f t="shared" si="19"/>
        <v>0</v>
      </c>
      <c r="AK71" s="30">
        <f t="shared" si="19"/>
        <v>0</v>
      </c>
      <c r="AL71" s="30">
        <f t="shared" si="19"/>
        <v>0</v>
      </c>
      <c r="AM71" s="30">
        <f t="shared" si="19"/>
        <v>0</v>
      </c>
      <c r="AN71" s="30">
        <f t="shared" si="19"/>
        <v>0</v>
      </c>
      <c r="AO71" s="30">
        <f t="shared" si="19"/>
        <v>0</v>
      </c>
      <c r="AP71" s="30">
        <f t="shared" si="19"/>
        <v>0</v>
      </c>
      <c r="AQ71" s="30">
        <f t="shared" si="19"/>
        <v>0</v>
      </c>
      <c r="AR71" s="30">
        <f t="shared" si="19"/>
        <v>0</v>
      </c>
      <c r="AS71" s="30">
        <f t="shared" si="19"/>
        <v>0</v>
      </c>
      <c r="AT71" s="30">
        <f t="shared" si="19"/>
        <v>0</v>
      </c>
      <c r="AU71" s="30">
        <f t="shared" si="19"/>
        <v>0</v>
      </c>
      <c r="AV71" s="30">
        <f t="shared" si="19"/>
        <v>0</v>
      </c>
      <c r="AW71" s="30">
        <f t="shared" si="19"/>
        <v>0</v>
      </c>
      <c r="AX71" s="30">
        <f t="shared" si="19"/>
        <v>0</v>
      </c>
      <c r="AY71" s="30">
        <f t="shared" si="19"/>
        <v>0</v>
      </c>
      <c r="AZ71" s="30">
        <f t="shared" si="19"/>
        <v>0</v>
      </c>
      <c r="BA71" s="30">
        <f t="shared" si="19"/>
        <v>0</v>
      </c>
      <c r="BB71" s="30">
        <f t="shared" si="19"/>
        <v>0</v>
      </c>
      <c r="BC71" s="30">
        <f t="shared" si="19"/>
        <v>0</v>
      </c>
      <c r="BD71" s="30">
        <f t="shared" si="19"/>
        <v>0</v>
      </c>
      <c r="BE71" s="30">
        <f t="shared" si="19"/>
        <v>0</v>
      </c>
      <c r="BF71" s="30">
        <f t="shared" si="19"/>
        <v>0</v>
      </c>
      <c r="BG71" s="30">
        <f t="shared" si="19"/>
        <v>0</v>
      </c>
      <c r="BH71" s="30">
        <f t="shared" si="19"/>
        <v>0</v>
      </c>
      <c r="BI71" s="30">
        <f t="shared" si="19"/>
        <v>0</v>
      </c>
      <c r="BJ71" s="30">
        <f t="shared" si="19"/>
        <v>0</v>
      </c>
      <c r="BK71" s="30">
        <f t="shared" si="19"/>
        <v>0</v>
      </c>
      <c r="BL71" s="30">
        <f t="shared" si="19"/>
        <v>0</v>
      </c>
      <c r="BM71" s="30">
        <f t="shared" si="19"/>
        <v>0</v>
      </c>
      <c r="BN71" s="30">
        <f t="shared" ref="BN71:BP71" si="20">SUM(BN67:BN70)</f>
        <v>0</v>
      </c>
      <c r="BO71" s="30">
        <f t="shared" si="20"/>
        <v>0</v>
      </c>
      <c r="BP71" s="30">
        <f t="shared" si="20"/>
        <v>0</v>
      </c>
    </row>
    <row r="72" spans="1:68" x14ac:dyDescent="0.35">
      <c r="A72" s="36"/>
      <c r="B72" s="31"/>
      <c r="C72" s="97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</row>
    <row r="73" spans="1:68" x14ac:dyDescent="0.35">
      <c r="A73" s="38" t="s">
        <v>89</v>
      </c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</row>
    <row r="74" spans="1:68" x14ac:dyDescent="0.35">
      <c r="A74" t="s">
        <v>99</v>
      </c>
      <c r="B74" s="31">
        <f t="shared" ref="B74:B82" si="21">SUM(C74:BP74)</f>
        <v>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</row>
    <row r="75" spans="1:68" x14ac:dyDescent="0.35">
      <c r="A75" t="s">
        <v>96</v>
      </c>
      <c r="B75" s="31">
        <f t="shared" si="21"/>
        <v>248</v>
      </c>
      <c r="C75" s="29">
        <v>123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>
        <v>72</v>
      </c>
      <c r="AJ75" s="29">
        <v>8</v>
      </c>
      <c r="AK75" s="29"/>
      <c r="AL75" s="29"/>
      <c r="AM75" s="29"/>
      <c r="AN75" s="29"/>
      <c r="AO75" s="29"/>
      <c r="AP75" s="29"/>
      <c r="AQ75" s="29"/>
      <c r="AR75" s="29"/>
      <c r="AS75" s="29">
        <v>45</v>
      </c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</row>
    <row r="76" spans="1:68" x14ac:dyDescent="0.35">
      <c r="A76" t="s">
        <v>172</v>
      </c>
      <c r="B76" s="31">
        <f t="shared" si="21"/>
        <v>145</v>
      </c>
      <c r="C76" s="29">
        <v>145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</row>
    <row r="77" spans="1:68" x14ac:dyDescent="0.35">
      <c r="A77" t="s">
        <v>97</v>
      </c>
      <c r="B77" s="31">
        <f t="shared" si="21"/>
        <v>878</v>
      </c>
      <c r="C77" s="29">
        <v>878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</row>
    <row r="78" spans="1:68" x14ac:dyDescent="0.35">
      <c r="A78" t="s">
        <v>176</v>
      </c>
      <c r="B78" s="31">
        <f t="shared" si="21"/>
        <v>6</v>
      </c>
      <c r="C78" s="29">
        <v>6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</row>
    <row r="79" spans="1:68" x14ac:dyDescent="0.35">
      <c r="A79" t="s">
        <v>98</v>
      </c>
      <c r="B79" s="31">
        <f t="shared" si="21"/>
        <v>339</v>
      </c>
      <c r="C79" s="29">
        <v>339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</row>
    <row r="80" spans="1:68" x14ac:dyDescent="0.35">
      <c r="A80" t="s">
        <v>179</v>
      </c>
      <c r="B80" s="31">
        <f t="shared" si="21"/>
        <v>95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>
        <v>95</v>
      </c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</row>
    <row r="81" spans="1:68" x14ac:dyDescent="0.35">
      <c r="A81" t="s">
        <v>100</v>
      </c>
      <c r="B81" s="31">
        <f t="shared" si="21"/>
        <v>735</v>
      </c>
      <c r="C81" s="29">
        <v>628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>
        <v>107</v>
      </c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</row>
    <row r="82" spans="1:68" x14ac:dyDescent="0.35">
      <c r="A82" t="s">
        <v>184</v>
      </c>
      <c r="B82" s="31">
        <f t="shared" si="21"/>
        <v>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</row>
    <row r="83" spans="1:68" x14ac:dyDescent="0.35">
      <c r="A83" s="39" t="s">
        <v>119</v>
      </c>
      <c r="B83" s="30">
        <f>SUM(B74:B82)</f>
        <v>2446</v>
      </c>
      <c r="C83" s="30">
        <f>SUM(C74:C82)</f>
        <v>2119</v>
      </c>
      <c r="D83" s="30">
        <f t="shared" ref="D83:BO83" si="22">SUM(D74:D81)</f>
        <v>0</v>
      </c>
      <c r="E83" s="30">
        <f t="shared" si="22"/>
        <v>0</v>
      </c>
      <c r="F83" s="30">
        <f t="shared" si="22"/>
        <v>0</v>
      </c>
      <c r="G83" s="30">
        <f t="shared" si="22"/>
        <v>0</v>
      </c>
      <c r="H83" s="30">
        <f t="shared" si="22"/>
        <v>0</v>
      </c>
      <c r="I83" s="30">
        <f t="shared" si="22"/>
        <v>0</v>
      </c>
      <c r="J83" s="30">
        <f t="shared" si="22"/>
        <v>0</v>
      </c>
      <c r="K83" s="30">
        <f t="shared" si="22"/>
        <v>0</v>
      </c>
      <c r="L83" s="30">
        <f t="shared" si="22"/>
        <v>0</v>
      </c>
      <c r="M83" s="30">
        <f t="shared" si="22"/>
        <v>0</v>
      </c>
      <c r="N83" s="30">
        <f t="shared" si="22"/>
        <v>0</v>
      </c>
      <c r="O83" s="30">
        <f t="shared" si="22"/>
        <v>0</v>
      </c>
      <c r="P83" s="30">
        <f t="shared" si="22"/>
        <v>0</v>
      </c>
      <c r="Q83" s="30">
        <f t="shared" si="22"/>
        <v>0</v>
      </c>
      <c r="R83" s="30">
        <f t="shared" si="22"/>
        <v>0</v>
      </c>
      <c r="S83" s="30">
        <f t="shared" si="22"/>
        <v>0</v>
      </c>
      <c r="T83" s="30">
        <f t="shared" si="22"/>
        <v>0</v>
      </c>
      <c r="U83" s="30">
        <f t="shared" si="22"/>
        <v>0</v>
      </c>
      <c r="V83" s="30">
        <f t="shared" si="22"/>
        <v>0</v>
      </c>
      <c r="W83" s="30">
        <f t="shared" si="22"/>
        <v>0</v>
      </c>
      <c r="X83" s="30">
        <f t="shared" si="22"/>
        <v>0</v>
      </c>
      <c r="Y83" s="30">
        <f t="shared" si="22"/>
        <v>0</v>
      </c>
      <c r="Z83" s="30">
        <f t="shared" si="22"/>
        <v>0</v>
      </c>
      <c r="AA83" s="30">
        <f t="shared" si="22"/>
        <v>0</v>
      </c>
      <c r="AB83" s="30">
        <f t="shared" si="22"/>
        <v>0</v>
      </c>
      <c r="AC83" s="30">
        <f t="shared" si="22"/>
        <v>0</v>
      </c>
      <c r="AD83" s="30">
        <f t="shared" si="22"/>
        <v>0</v>
      </c>
      <c r="AE83" s="30">
        <f t="shared" si="22"/>
        <v>0</v>
      </c>
      <c r="AF83" s="30">
        <f t="shared" si="22"/>
        <v>0</v>
      </c>
      <c r="AG83" s="30">
        <f t="shared" si="22"/>
        <v>0</v>
      </c>
      <c r="AH83" s="30">
        <f t="shared" si="22"/>
        <v>0</v>
      </c>
      <c r="AI83" s="30">
        <f t="shared" si="22"/>
        <v>72</v>
      </c>
      <c r="AJ83" s="30">
        <f t="shared" si="22"/>
        <v>8</v>
      </c>
      <c r="AK83" s="30">
        <f t="shared" si="22"/>
        <v>0</v>
      </c>
      <c r="AL83" s="30">
        <f t="shared" si="22"/>
        <v>0</v>
      </c>
      <c r="AM83" s="30">
        <f t="shared" si="22"/>
        <v>0</v>
      </c>
      <c r="AN83" s="30">
        <f t="shared" si="22"/>
        <v>0</v>
      </c>
      <c r="AO83" s="30">
        <f t="shared" si="22"/>
        <v>0</v>
      </c>
      <c r="AP83" s="30">
        <f t="shared" si="22"/>
        <v>0</v>
      </c>
      <c r="AQ83" s="30">
        <f t="shared" si="22"/>
        <v>95</v>
      </c>
      <c r="AR83" s="30">
        <f t="shared" si="22"/>
        <v>0</v>
      </c>
      <c r="AS83" s="30">
        <f t="shared" si="22"/>
        <v>45</v>
      </c>
      <c r="AT83" s="30">
        <f t="shared" si="22"/>
        <v>0</v>
      </c>
      <c r="AU83" s="30">
        <f t="shared" si="22"/>
        <v>0</v>
      </c>
      <c r="AV83" s="30">
        <f t="shared" si="22"/>
        <v>0</v>
      </c>
      <c r="AW83" s="30">
        <f t="shared" si="22"/>
        <v>0</v>
      </c>
      <c r="AX83" s="30">
        <f t="shared" si="22"/>
        <v>0</v>
      </c>
      <c r="AY83" s="30">
        <f t="shared" si="22"/>
        <v>0</v>
      </c>
      <c r="AZ83" s="30">
        <f t="shared" si="22"/>
        <v>0</v>
      </c>
      <c r="BA83" s="30">
        <f t="shared" si="22"/>
        <v>0</v>
      </c>
      <c r="BB83" s="30">
        <f t="shared" si="22"/>
        <v>0</v>
      </c>
      <c r="BC83" s="30">
        <f t="shared" si="22"/>
        <v>0</v>
      </c>
      <c r="BD83" s="30">
        <f t="shared" si="22"/>
        <v>0</v>
      </c>
      <c r="BE83" s="30">
        <f t="shared" si="22"/>
        <v>107</v>
      </c>
      <c r="BF83" s="30">
        <f t="shared" si="22"/>
        <v>0</v>
      </c>
      <c r="BG83" s="30">
        <f t="shared" si="22"/>
        <v>0</v>
      </c>
      <c r="BH83" s="30">
        <f t="shared" si="22"/>
        <v>0</v>
      </c>
      <c r="BI83" s="30">
        <f t="shared" si="22"/>
        <v>0</v>
      </c>
      <c r="BJ83" s="30">
        <f t="shared" si="22"/>
        <v>0</v>
      </c>
      <c r="BK83" s="30">
        <f t="shared" si="22"/>
        <v>0</v>
      </c>
      <c r="BL83" s="30">
        <f t="shared" si="22"/>
        <v>0</v>
      </c>
      <c r="BM83" s="30">
        <f t="shared" si="22"/>
        <v>0</v>
      </c>
      <c r="BN83" s="30">
        <f t="shared" si="22"/>
        <v>0</v>
      </c>
      <c r="BO83" s="30">
        <f t="shared" si="22"/>
        <v>0</v>
      </c>
      <c r="BP83" s="30">
        <f t="shared" ref="BP83" si="23">SUM(BP74:BP81)</f>
        <v>0</v>
      </c>
    </row>
    <row r="84" spans="1:68" x14ac:dyDescent="0.35">
      <c r="A84" s="36"/>
      <c r="B84" s="31"/>
      <c r="C84" s="97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</row>
    <row r="85" spans="1:68" x14ac:dyDescent="0.35">
      <c r="A85" s="38" t="s">
        <v>90</v>
      </c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</row>
    <row r="86" spans="1:68" x14ac:dyDescent="0.35">
      <c r="A86" t="s">
        <v>171</v>
      </c>
      <c r="B86" s="31">
        <f t="shared" ref="B86:B98" si="24">SUM(C86:BP86)</f>
        <v>2121</v>
      </c>
      <c r="C86" s="29">
        <v>1624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>
        <v>130</v>
      </c>
      <c r="V86" s="29"/>
      <c r="W86" s="29"/>
      <c r="X86" s="29"/>
      <c r="Y86" s="29"/>
      <c r="Z86" s="29"/>
      <c r="AA86" s="29"/>
      <c r="AB86" s="29"/>
      <c r="AC86" s="29"/>
      <c r="AD86" s="29">
        <v>367</v>
      </c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</row>
    <row r="87" spans="1:68" x14ac:dyDescent="0.35">
      <c r="A87" t="s">
        <v>96</v>
      </c>
      <c r="B87" s="31">
        <f t="shared" si="24"/>
        <v>20</v>
      </c>
      <c r="C87" s="29">
        <v>20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</row>
    <row r="88" spans="1:68" x14ac:dyDescent="0.35">
      <c r="A88" t="s">
        <v>173</v>
      </c>
      <c r="B88" s="31">
        <f t="shared" si="24"/>
        <v>1035</v>
      </c>
      <c r="C88" s="29">
        <v>905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>
        <v>130</v>
      </c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</row>
    <row r="89" spans="1:68" x14ac:dyDescent="0.35">
      <c r="A89" t="s">
        <v>174</v>
      </c>
      <c r="B89" s="31">
        <f t="shared" si="24"/>
        <v>715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>
        <v>715</v>
      </c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</row>
    <row r="90" spans="1:68" x14ac:dyDescent="0.35">
      <c r="A90" t="s">
        <v>185</v>
      </c>
      <c r="B90" s="31">
        <f t="shared" si="24"/>
        <v>386</v>
      </c>
      <c r="C90" s="29">
        <v>386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</row>
    <row r="91" spans="1:68" x14ac:dyDescent="0.35">
      <c r="A91" t="s">
        <v>97</v>
      </c>
      <c r="B91" s="31">
        <f t="shared" si="24"/>
        <v>1063</v>
      </c>
      <c r="C91" s="29">
        <v>1063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</row>
    <row r="92" spans="1:68" x14ac:dyDescent="0.35">
      <c r="A92" t="s">
        <v>176</v>
      </c>
      <c r="B92" s="31">
        <f t="shared" si="24"/>
        <v>74</v>
      </c>
      <c r="C92" s="29">
        <v>74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</row>
    <row r="93" spans="1:68" x14ac:dyDescent="0.35">
      <c r="A93" t="s">
        <v>177</v>
      </c>
      <c r="B93" s="31">
        <f t="shared" si="24"/>
        <v>36756</v>
      </c>
      <c r="C93" s="29">
        <v>22511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>
        <v>814</v>
      </c>
      <c r="V93" s="29"/>
      <c r="W93" s="29"/>
      <c r="X93" s="29"/>
      <c r="Y93" s="29"/>
      <c r="Z93" s="29"/>
      <c r="AA93" s="29"/>
      <c r="AB93" s="29"/>
      <c r="AC93" s="29"/>
      <c r="AD93" s="29">
        <v>13431</v>
      </c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</row>
    <row r="94" spans="1:68" x14ac:dyDescent="0.35">
      <c r="A94" t="s">
        <v>98</v>
      </c>
      <c r="B94" s="31">
        <f t="shared" si="24"/>
        <v>170</v>
      </c>
      <c r="C94" s="29">
        <v>170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</row>
    <row r="95" spans="1:68" x14ac:dyDescent="0.35">
      <c r="A95" t="s">
        <v>179</v>
      </c>
      <c r="B95" s="31">
        <f t="shared" si="24"/>
        <v>1130</v>
      </c>
      <c r="C95" s="29">
        <v>948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>
        <v>182</v>
      </c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</row>
    <row r="96" spans="1:68" x14ac:dyDescent="0.35">
      <c r="A96" t="s">
        <v>180</v>
      </c>
      <c r="B96" s="31">
        <f t="shared" si="24"/>
        <v>314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>
        <v>314</v>
      </c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</row>
    <row r="97" spans="1:68" x14ac:dyDescent="0.35">
      <c r="A97" t="s">
        <v>186</v>
      </c>
      <c r="B97" s="31">
        <f t="shared" si="24"/>
        <v>439</v>
      </c>
      <c r="C97" s="29">
        <v>439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</row>
    <row r="98" spans="1:68" x14ac:dyDescent="0.35">
      <c r="A98" t="s">
        <v>182</v>
      </c>
      <c r="B98" s="31">
        <f t="shared" si="24"/>
        <v>1966</v>
      </c>
      <c r="C98" s="29">
        <v>1966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</row>
    <row r="99" spans="1:68" x14ac:dyDescent="0.35">
      <c r="A99" s="39" t="s">
        <v>120</v>
      </c>
      <c r="B99" s="30">
        <f t="shared" ref="B99:BM99" si="25">SUM(B86:B98)</f>
        <v>46189</v>
      </c>
      <c r="C99" s="30">
        <f t="shared" si="25"/>
        <v>30106</v>
      </c>
      <c r="D99" s="30">
        <f t="shared" si="25"/>
        <v>0</v>
      </c>
      <c r="E99" s="30">
        <f t="shared" si="25"/>
        <v>0</v>
      </c>
      <c r="F99" s="30">
        <f t="shared" si="25"/>
        <v>0</v>
      </c>
      <c r="G99" s="30">
        <f t="shared" si="25"/>
        <v>0</v>
      </c>
      <c r="H99" s="30">
        <f t="shared" si="25"/>
        <v>0</v>
      </c>
      <c r="I99" s="30">
        <f t="shared" si="25"/>
        <v>0</v>
      </c>
      <c r="J99" s="30">
        <f t="shared" si="25"/>
        <v>0</v>
      </c>
      <c r="K99" s="30">
        <f t="shared" si="25"/>
        <v>0</v>
      </c>
      <c r="L99" s="30">
        <f t="shared" si="25"/>
        <v>0</v>
      </c>
      <c r="M99" s="30">
        <f t="shared" si="25"/>
        <v>0</v>
      </c>
      <c r="N99" s="30">
        <f t="shared" si="25"/>
        <v>0</v>
      </c>
      <c r="O99" s="30">
        <f t="shared" si="25"/>
        <v>0</v>
      </c>
      <c r="P99" s="30">
        <f t="shared" si="25"/>
        <v>0</v>
      </c>
      <c r="Q99" s="30">
        <f t="shared" si="25"/>
        <v>0</v>
      </c>
      <c r="R99" s="30">
        <f t="shared" si="25"/>
        <v>0</v>
      </c>
      <c r="S99" s="30">
        <f t="shared" si="25"/>
        <v>0</v>
      </c>
      <c r="T99" s="30">
        <f t="shared" si="25"/>
        <v>0</v>
      </c>
      <c r="U99" s="30">
        <f t="shared" si="25"/>
        <v>944</v>
      </c>
      <c r="V99" s="30">
        <f t="shared" si="25"/>
        <v>0</v>
      </c>
      <c r="W99" s="30">
        <f t="shared" si="25"/>
        <v>0</v>
      </c>
      <c r="X99" s="30">
        <f t="shared" si="25"/>
        <v>0</v>
      </c>
      <c r="Y99" s="30">
        <f t="shared" si="25"/>
        <v>0</v>
      </c>
      <c r="Z99" s="30">
        <f t="shared" si="25"/>
        <v>0</v>
      </c>
      <c r="AA99" s="30">
        <f t="shared" si="25"/>
        <v>0</v>
      </c>
      <c r="AB99" s="30">
        <f t="shared" si="25"/>
        <v>0</v>
      </c>
      <c r="AC99" s="30">
        <f t="shared" si="25"/>
        <v>0</v>
      </c>
      <c r="AD99" s="30">
        <f t="shared" si="25"/>
        <v>14957</v>
      </c>
      <c r="AE99" s="30">
        <f t="shared" si="25"/>
        <v>0</v>
      </c>
      <c r="AF99" s="30">
        <f t="shared" si="25"/>
        <v>0</v>
      </c>
      <c r="AG99" s="30">
        <f t="shared" si="25"/>
        <v>0</v>
      </c>
      <c r="AH99" s="30">
        <f t="shared" si="25"/>
        <v>0</v>
      </c>
      <c r="AI99" s="30">
        <f t="shared" si="25"/>
        <v>0</v>
      </c>
      <c r="AJ99" s="30">
        <f t="shared" si="25"/>
        <v>0</v>
      </c>
      <c r="AK99" s="30">
        <f t="shared" si="25"/>
        <v>182</v>
      </c>
      <c r="AL99" s="30">
        <f t="shared" si="25"/>
        <v>0</v>
      </c>
      <c r="AM99" s="30">
        <f t="shared" si="25"/>
        <v>0</v>
      </c>
      <c r="AN99" s="30">
        <f t="shared" si="25"/>
        <v>0</v>
      </c>
      <c r="AO99" s="30">
        <f t="shared" si="25"/>
        <v>0</v>
      </c>
      <c r="AP99" s="30">
        <f t="shared" si="25"/>
        <v>0</v>
      </c>
      <c r="AQ99" s="30">
        <f t="shared" si="25"/>
        <v>0</v>
      </c>
      <c r="AR99" s="30">
        <f t="shared" si="25"/>
        <v>0</v>
      </c>
      <c r="AS99" s="30">
        <f t="shared" si="25"/>
        <v>0</v>
      </c>
      <c r="AT99" s="30">
        <f t="shared" si="25"/>
        <v>0</v>
      </c>
      <c r="AU99" s="30">
        <f t="shared" si="25"/>
        <v>0</v>
      </c>
      <c r="AV99" s="30">
        <f t="shared" si="25"/>
        <v>0</v>
      </c>
      <c r="AW99" s="30">
        <f t="shared" si="25"/>
        <v>0</v>
      </c>
      <c r="AX99" s="30">
        <f t="shared" si="25"/>
        <v>0</v>
      </c>
      <c r="AY99" s="30">
        <f t="shared" si="25"/>
        <v>0</v>
      </c>
      <c r="AZ99" s="30">
        <f t="shared" si="25"/>
        <v>0</v>
      </c>
      <c r="BA99" s="30">
        <f t="shared" si="25"/>
        <v>0</v>
      </c>
      <c r="BB99" s="30">
        <f t="shared" si="25"/>
        <v>0</v>
      </c>
      <c r="BC99" s="30">
        <f t="shared" si="25"/>
        <v>0</v>
      </c>
      <c r="BD99" s="30">
        <f t="shared" si="25"/>
        <v>0</v>
      </c>
      <c r="BE99" s="30">
        <f t="shared" si="25"/>
        <v>0</v>
      </c>
      <c r="BF99" s="30">
        <f t="shared" si="25"/>
        <v>0</v>
      </c>
      <c r="BG99" s="30">
        <f t="shared" si="25"/>
        <v>0</v>
      </c>
      <c r="BH99" s="30">
        <f t="shared" si="25"/>
        <v>0</v>
      </c>
      <c r="BI99" s="30">
        <f t="shared" si="25"/>
        <v>0</v>
      </c>
      <c r="BJ99" s="30">
        <f t="shared" si="25"/>
        <v>0</v>
      </c>
      <c r="BK99" s="30">
        <f t="shared" si="25"/>
        <v>0</v>
      </c>
      <c r="BL99" s="30">
        <f t="shared" si="25"/>
        <v>0</v>
      </c>
      <c r="BM99" s="30">
        <f t="shared" si="25"/>
        <v>0</v>
      </c>
      <c r="BN99" s="30">
        <f t="shared" ref="BN99:BP99" si="26">SUM(BN86:BN98)</f>
        <v>0</v>
      </c>
      <c r="BO99" s="30">
        <f t="shared" si="26"/>
        <v>0</v>
      </c>
      <c r="BP99" s="30">
        <f t="shared" si="26"/>
        <v>0</v>
      </c>
    </row>
    <row r="100" spans="1:68" x14ac:dyDescent="0.35">
      <c r="A100" s="36"/>
      <c r="B100" s="31"/>
      <c r="C100" s="97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</row>
    <row r="101" spans="1:68" x14ac:dyDescent="0.35">
      <c r="A101" s="38" t="s">
        <v>91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</row>
    <row r="102" spans="1:68" x14ac:dyDescent="0.35">
      <c r="A102" t="s">
        <v>171</v>
      </c>
      <c r="B102" s="31">
        <f t="shared" ref="B102:B109" si="27">SUM(C102:BP102)</f>
        <v>0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</row>
    <row r="103" spans="1:68" x14ac:dyDescent="0.35">
      <c r="A103" t="s">
        <v>96</v>
      </c>
      <c r="B103" s="31">
        <f t="shared" si="27"/>
        <v>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</row>
    <row r="104" spans="1:68" x14ac:dyDescent="0.35">
      <c r="A104" t="s">
        <v>173</v>
      </c>
      <c r="B104" s="31">
        <f t="shared" si="27"/>
        <v>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</row>
    <row r="105" spans="1:68" x14ac:dyDescent="0.35">
      <c r="A105" t="s">
        <v>187</v>
      </c>
      <c r="B105" s="31">
        <f t="shared" si="27"/>
        <v>71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>
        <v>71</v>
      </c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</row>
    <row r="106" spans="1:68" x14ac:dyDescent="0.35">
      <c r="A106" t="s">
        <v>177</v>
      </c>
      <c r="B106" s="31">
        <f t="shared" si="27"/>
        <v>0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</row>
    <row r="107" spans="1:68" x14ac:dyDescent="0.35">
      <c r="A107" t="s">
        <v>188</v>
      </c>
      <c r="B107" s="31">
        <f t="shared" si="27"/>
        <v>0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</row>
    <row r="108" spans="1:68" x14ac:dyDescent="0.35">
      <c r="A108" t="s">
        <v>138</v>
      </c>
      <c r="B108" s="31">
        <f t="shared" si="27"/>
        <v>635</v>
      </c>
      <c r="C108" s="29">
        <v>635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</row>
    <row r="109" spans="1:68" x14ac:dyDescent="0.35">
      <c r="A109" t="s">
        <v>180</v>
      </c>
      <c r="B109" s="31">
        <f t="shared" si="27"/>
        <v>0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</row>
    <row r="110" spans="1:68" x14ac:dyDescent="0.35">
      <c r="A110" s="39" t="s">
        <v>121</v>
      </c>
      <c r="B110" s="30">
        <f t="shared" ref="B110:BM110" si="28">SUM(B102:B109)</f>
        <v>706</v>
      </c>
      <c r="C110" s="30">
        <f t="shared" si="28"/>
        <v>635</v>
      </c>
      <c r="D110" s="30">
        <f t="shared" si="28"/>
        <v>0</v>
      </c>
      <c r="E110" s="30">
        <f t="shared" si="28"/>
        <v>0</v>
      </c>
      <c r="F110" s="30">
        <f t="shared" si="28"/>
        <v>0</v>
      </c>
      <c r="G110" s="30">
        <f t="shared" si="28"/>
        <v>0</v>
      </c>
      <c r="H110" s="30">
        <f t="shared" si="28"/>
        <v>0</v>
      </c>
      <c r="I110" s="30">
        <f t="shared" si="28"/>
        <v>0</v>
      </c>
      <c r="J110" s="30">
        <f t="shared" si="28"/>
        <v>0</v>
      </c>
      <c r="K110" s="30">
        <f t="shared" si="28"/>
        <v>0</v>
      </c>
      <c r="L110" s="30">
        <f t="shared" si="28"/>
        <v>0</v>
      </c>
      <c r="M110" s="30">
        <f t="shared" si="28"/>
        <v>0</v>
      </c>
      <c r="N110" s="30">
        <f t="shared" si="28"/>
        <v>0</v>
      </c>
      <c r="O110" s="30">
        <f t="shared" si="28"/>
        <v>0</v>
      </c>
      <c r="P110" s="30">
        <f t="shared" si="28"/>
        <v>0</v>
      </c>
      <c r="Q110" s="30">
        <f t="shared" si="28"/>
        <v>0</v>
      </c>
      <c r="R110" s="30">
        <f t="shared" si="28"/>
        <v>0</v>
      </c>
      <c r="S110" s="30">
        <f t="shared" si="28"/>
        <v>0</v>
      </c>
      <c r="T110" s="30">
        <f t="shared" si="28"/>
        <v>0</v>
      </c>
      <c r="U110" s="30">
        <f t="shared" si="28"/>
        <v>0</v>
      </c>
      <c r="V110" s="30">
        <f t="shared" si="28"/>
        <v>0</v>
      </c>
      <c r="W110" s="30">
        <f t="shared" si="28"/>
        <v>0</v>
      </c>
      <c r="X110" s="30">
        <f t="shared" si="28"/>
        <v>0</v>
      </c>
      <c r="Y110" s="30">
        <f t="shared" si="28"/>
        <v>0</v>
      </c>
      <c r="Z110" s="30">
        <f t="shared" si="28"/>
        <v>0</v>
      </c>
      <c r="AA110" s="30">
        <f t="shared" si="28"/>
        <v>0</v>
      </c>
      <c r="AB110" s="30">
        <f t="shared" si="28"/>
        <v>0</v>
      </c>
      <c r="AC110" s="30">
        <f t="shared" si="28"/>
        <v>0</v>
      </c>
      <c r="AD110" s="30">
        <f t="shared" si="28"/>
        <v>0</v>
      </c>
      <c r="AE110" s="30">
        <f t="shared" si="28"/>
        <v>0</v>
      </c>
      <c r="AF110" s="30">
        <f t="shared" si="28"/>
        <v>0</v>
      </c>
      <c r="AG110" s="30">
        <f t="shared" si="28"/>
        <v>0</v>
      </c>
      <c r="AH110" s="30">
        <f t="shared" si="28"/>
        <v>0</v>
      </c>
      <c r="AI110" s="30">
        <f t="shared" si="28"/>
        <v>0</v>
      </c>
      <c r="AJ110" s="30">
        <f t="shared" si="28"/>
        <v>0</v>
      </c>
      <c r="AK110" s="30">
        <f t="shared" si="28"/>
        <v>0</v>
      </c>
      <c r="AL110" s="30">
        <f t="shared" si="28"/>
        <v>0</v>
      </c>
      <c r="AM110" s="30">
        <f t="shared" si="28"/>
        <v>0</v>
      </c>
      <c r="AN110" s="30">
        <f t="shared" si="28"/>
        <v>0</v>
      </c>
      <c r="AO110" s="30">
        <f t="shared" si="28"/>
        <v>0</v>
      </c>
      <c r="AP110" s="30">
        <f t="shared" si="28"/>
        <v>0</v>
      </c>
      <c r="AQ110" s="30">
        <f t="shared" si="28"/>
        <v>0</v>
      </c>
      <c r="AR110" s="30">
        <f t="shared" si="28"/>
        <v>0</v>
      </c>
      <c r="AS110" s="30">
        <f t="shared" si="28"/>
        <v>0</v>
      </c>
      <c r="AT110" s="30">
        <f t="shared" si="28"/>
        <v>0</v>
      </c>
      <c r="AU110" s="30">
        <f t="shared" si="28"/>
        <v>0</v>
      </c>
      <c r="AV110" s="30">
        <f t="shared" si="28"/>
        <v>0</v>
      </c>
      <c r="AW110" s="30">
        <f t="shared" si="28"/>
        <v>0</v>
      </c>
      <c r="AX110" s="30">
        <f t="shared" si="28"/>
        <v>0</v>
      </c>
      <c r="AY110" s="30">
        <f t="shared" si="28"/>
        <v>0</v>
      </c>
      <c r="AZ110" s="30">
        <f t="shared" si="28"/>
        <v>0</v>
      </c>
      <c r="BA110" s="30">
        <f t="shared" si="28"/>
        <v>71</v>
      </c>
      <c r="BB110" s="30">
        <f t="shared" si="28"/>
        <v>0</v>
      </c>
      <c r="BC110" s="30">
        <f t="shared" si="28"/>
        <v>0</v>
      </c>
      <c r="BD110" s="30">
        <f t="shared" si="28"/>
        <v>0</v>
      </c>
      <c r="BE110" s="30">
        <f t="shared" si="28"/>
        <v>0</v>
      </c>
      <c r="BF110" s="30">
        <f t="shared" si="28"/>
        <v>0</v>
      </c>
      <c r="BG110" s="30">
        <f t="shared" si="28"/>
        <v>0</v>
      </c>
      <c r="BH110" s="30">
        <f t="shared" si="28"/>
        <v>0</v>
      </c>
      <c r="BI110" s="30">
        <f t="shared" si="28"/>
        <v>0</v>
      </c>
      <c r="BJ110" s="30">
        <f t="shared" si="28"/>
        <v>0</v>
      </c>
      <c r="BK110" s="30">
        <f t="shared" si="28"/>
        <v>0</v>
      </c>
      <c r="BL110" s="30">
        <f t="shared" si="28"/>
        <v>0</v>
      </c>
      <c r="BM110" s="30">
        <f t="shared" si="28"/>
        <v>0</v>
      </c>
      <c r="BN110" s="30">
        <f t="shared" ref="BN110:BP110" si="29">SUM(BN102:BN109)</f>
        <v>0</v>
      </c>
      <c r="BO110" s="30">
        <f t="shared" si="29"/>
        <v>0</v>
      </c>
      <c r="BP110" s="30">
        <f t="shared" si="29"/>
        <v>0</v>
      </c>
    </row>
    <row r="111" spans="1:68" x14ac:dyDescent="0.35">
      <c r="A111" s="36"/>
      <c r="B111" s="31"/>
      <c r="C111" s="97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</row>
    <row r="112" spans="1:68" x14ac:dyDescent="0.35">
      <c r="A112" s="38" t="s">
        <v>139</v>
      </c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</row>
    <row r="113" spans="1:68" x14ac:dyDescent="0.35">
      <c r="A113" t="s">
        <v>96</v>
      </c>
      <c r="B113" s="31">
        <f t="shared" ref="B113:B114" si="30">SUM(C113:BP113)</f>
        <v>65</v>
      </c>
      <c r="C113" s="29">
        <v>65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</row>
    <row r="114" spans="1:68" x14ac:dyDescent="0.35">
      <c r="A114" t="s">
        <v>138</v>
      </c>
      <c r="B114" s="31">
        <f t="shared" si="30"/>
        <v>214</v>
      </c>
      <c r="C114" s="29">
        <v>214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</row>
    <row r="115" spans="1:68" x14ac:dyDescent="0.35">
      <c r="A115" s="39" t="s">
        <v>140</v>
      </c>
      <c r="B115" s="30">
        <f t="shared" ref="B115:BM115" si="31">SUM(B113:B114)</f>
        <v>279</v>
      </c>
      <c r="C115" s="30">
        <f t="shared" si="31"/>
        <v>279</v>
      </c>
      <c r="D115" s="30">
        <f t="shared" si="31"/>
        <v>0</v>
      </c>
      <c r="E115" s="30">
        <f t="shared" si="31"/>
        <v>0</v>
      </c>
      <c r="F115" s="30">
        <f t="shared" si="31"/>
        <v>0</v>
      </c>
      <c r="G115" s="30">
        <f t="shared" si="31"/>
        <v>0</v>
      </c>
      <c r="H115" s="30">
        <f t="shared" si="31"/>
        <v>0</v>
      </c>
      <c r="I115" s="30">
        <f t="shared" si="31"/>
        <v>0</v>
      </c>
      <c r="J115" s="30">
        <f t="shared" si="31"/>
        <v>0</v>
      </c>
      <c r="K115" s="30">
        <f t="shared" si="31"/>
        <v>0</v>
      </c>
      <c r="L115" s="30">
        <f t="shared" si="31"/>
        <v>0</v>
      </c>
      <c r="M115" s="30">
        <f t="shared" si="31"/>
        <v>0</v>
      </c>
      <c r="N115" s="30">
        <f t="shared" si="31"/>
        <v>0</v>
      </c>
      <c r="O115" s="30">
        <f t="shared" si="31"/>
        <v>0</v>
      </c>
      <c r="P115" s="30">
        <f t="shared" si="31"/>
        <v>0</v>
      </c>
      <c r="Q115" s="30">
        <f t="shared" si="31"/>
        <v>0</v>
      </c>
      <c r="R115" s="30">
        <f t="shared" si="31"/>
        <v>0</v>
      </c>
      <c r="S115" s="30">
        <f t="shared" si="31"/>
        <v>0</v>
      </c>
      <c r="T115" s="30">
        <f t="shared" si="31"/>
        <v>0</v>
      </c>
      <c r="U115" s="30">
        <f t="shared" si="31"/>
        <v>0</v>
      </c>
      <c r="V115" s="30">
        <f t="shared" si="31"/>
        <v>0</v>
      </c>
      <c r="W115" s="30">
        <f t="shared" si="31"/>
        <v>0</v>
      </c>
      <c r="X115" s="30">
        <f t="shared" si="31"/>
        <v>0</v>
      </c>
      <c r="Y115" s="30">
        <f t="shared" si="31"/>
        <v>0</v>
      </c>
      <c r="Z115" s="30">
        <f t="shared" si="31"/>
        <v>0</v>
      </c>
      <c r="AA115" s="30">
        <f t="shared" si="31"/>
        <v>0</v>
      </c>
      <c r="AB115" s="30">
        <f t="shared" si="31"/>
        <v>0</v>
      </c>
      <c r="AC115" s="30">
        <f t="shared" si="31"/>
        <v>0</v>
      </c>
      <c r="AD115" s="30">
        <f t="shared" si="31"/>
        <v>0</v>
      </c>
      <c r="AE115" s="30">
        <f t="shared" si="31"/>
        <v>0</v>
      </c>
      <c r="AF115" s="30">
        <f t="shared" si="31"/>
        <v>0</v>
      </c>
      <c r="AG115" s="30">
        <f t="shared" si="31"/>
        <v>0</v>
      </c>
      <c r="AH115" s="30">
        <f t="shared" si="31"/>
        <v>0</v>
      </c>
      <c r="AI115" s="30">
        <f t="shared" si="31"/>
        <v>0</v>
      </c>
      <c r="AJ115" s="30">
        <f t="shared" si="31"/>
        <v>0</v>
      </c>
      <c r="AK115" s="30">
        <f t="shared" si="31"/>
        <v>0</v>
      </c>
      <c r="AL115" s="30">
        <f t="shared" si="31"/>
        <v>0</v>
      </c>
      <c r="AM115" s="30">
        <f t="shared" si="31"/>
        <v>0</v>
      </c>
      <c r="AN115" s="30">
        <f t="shared" si="31"/>
        <v>0</v>
      </c>
      <c r="AO115" s="30">
        <f t="shared" si="31"/>
        <v>0</v>
      </c>
      <c r="AP115" s="30">
        <f t="shared" si="31"/>
        <v>0</v>
      </c>
      <c r="AQ115" s="30">
        <f t="shared" si="31"/>
        <v>0</v>
      </c>
      <c r="AR115" s="30">
        <f t="shared" si="31"/>
        <v>0</v>
      </c>
      <c r="AS115" s="30">
        <f t="shared" si="31"/>
        <v>0</v>
      </c>
      <c r="AT115" s="30">
        <f t="shared" si="31"/>
        <v>0</v>
      </c>
      <c r="AU115" s="30">
        <f t="shared" si="31"/>
        <v>0</v>
      </c>
      <c r="AV115" s="30">
        <f t="shared" si="31"/>
        <v>0</v>
      </c>
      <c r="AW115" s="30">
        <f t="shared" si="31"/>
        <v>0</v>
      </c>
      <c r="AX115" s="30">
        <f t="shared" si="31"/>
        <v>0</v>
      </c>
      <c r="AY115" s="30">
        <f t="shared" si="31"/>
        <v>0</v>
      </c>
      <c r="AZ115" s="30">
        <f t="shared" si="31"/>
        <v>0</v>
      </c>
      <c r="BA115" s="30">
        <f t="shared" si="31"/>
        <v>0</v>
      </c>
      <c r="BB115" s="30">
        <f t="shared" si="31"/>
        <v>0</v>
      </c>
      <c r="BC115" s="30">
        <f t="shared" si="31"/>
        <v>0</v>
      </c>
      <c r="BD115" s="30">
        <f t="shared" si="31"/>
        <v>0</v>
      </c>
      <c r="BE115" s="30">
        <f t="shared" si="31"/>
        <v>0</v>
      </c>
      <c r="BF115" s="30">
        <f t="shared" si="31"/>
        <v>0</v>
      </c>
      <c r="BG115" s="30">
        <f t="shared" si="31"/>
        <v>0</v>
      </c>
      <c r="BH115" s="30">
        <f t="shared" si="31"/>
        <v>0</v>
      </c>
      <c r="BI115" s="30">
        <f t="shared" si="31"/>
        <v>0</v>
      </c>
      <c r="BJ115" s="30">
        <f t="shared" si="31"/>
        <v>0</v>
      </c>
      <c r="BK115" s="30">
        <f t="shared" si="31"/>
        <v>0</v>
      </c>
      <c r="BL115" s="30">
        <f t="shared" si="31"/>
        <v>0</v>
      </c>
      <c r="BM115" s="30">
        <f t="shared" si="31"/>
        <v>0</v>
      </c>
      <c r="BN115" s="30">
        <f t="shared" ref="BN115:BP115" si="32">SUM(BN113:BN114)</f>
        <v>0</v>
      </c>
      <c r="BO115" s="30">
        <f t="shared" si="32"/>
        <v>0</v>
      </c>
      <c r="BP115" s="30">
        <f t="shared" si="32"/>
        <v>0</v>
      </c>
    </row>
    <row r="116" spans="1:68" x14ac:dyDescent="0.35">
      <c r="A116" s="36"/>
      <c r="B116" s="31"/>
      <c r="C116" s="97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</row>
    <row r="117" spans="1:68" x14ac:dyDescent="0.35">
      <c r="A117" s="38" t="s">
        <v>141</v>
      </c>
      <c r="B117" s="28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</row>
    <row r="118" spans="1:68" x14ac:dyDescent="0.35">
      <c r="A118" t="s">
        <v>99</v>
      </c>
      <c r="B118" s="31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</row>
    <row r="119" spans="1:68" x14ac:dyDescent="0.35">
      <c r="A119" t="s">
        <v>96</v>
      </c>
      <c r="B119" s="31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</row>
    <row r="120" spans="1:68" x14ac:dyDescent="0.35">
      <c r="A120" t="s">
        <v>97</v>
      </c>
      <c r="B120" s="31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</row>
    <row r="121" spans="1:68" x14ac:dyDescent="0.35">
      <c r="A121" t="s">
        <v>138</v>
      </c>
      <c r="B121" s="31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</row>
    <row r="122" spans="1:68" x14ac:dyDescent="0.35">
      <c r="A122" t="s">
        <v>98</v>
      </c>
      <c r="B122" s="31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</row>
    <row r="123" spans="1:68" x14ac:dyDescent="0.35">
      <c r="A123" t="s">
        <v>100</v>
      </c>
      <c r="B123" s="31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</row>
    <row r="124" spans="1:68" x14ac:dyDescent="0.35">
      <c r="A124" s="39" t="s">
        <v>142</v>
      </c>
      <c r="B124" s="30">
        <f t="shared" ref="B124:BM124" si="33">SUM(B118:B123)</f>
        <v>0</v>
      </c>
      <c r="C124" s="30">
        <f t="shared" si="33"/>
        <v>0</v>
      </c>
      <c r="D124" s="30">
        <f t="shared" si="33"/>
        <v>0</v>
      </c>
      <c r="E124" s="30">
        <f t="shared" si="33"/>
        <v>0</v>
      </c>
      <c r="F124" s="30">
        <f t="shared" si="33"/>
        <v>0</v>
      </c>
      <c r="G124" s="30">
        <f t="shared" si="33"/>
        <v>0</v>
      </c>
      <c r="H124" s="30">
        <f t="shared" si="33"/>
        <v>0</v>
      </c>
      <c r="I124" s="30">
        <f t="shared" si="33"/>
        <v>0</v>
      </c>
      <c r="J124" s="30">
        <f t="shared" si="33"/>
        <v>0</v>
      </c>
      <c r="K124" s="30">
        <f t="shared" si="33"/>
        <v>0</v>
      </c>
      <c r="L124" s="30">
        <f t="shared" si="33"/>
        <v>0</v>
      </c>
      <c r="M124" s="30">
        <f t="shared" si="33"/>
        <v>0</v>
      </c>
      <c r="N124" s="30">
        <f t="shared" si="33"/>
        <v>0</v>
      </c>
      <c r="O124" s="30">
        <f t="shared" si="33"/>
        <v>0</v>
      </c>
      <c r="P124" s="30">
        <f t="shared" si="33"/>
        <v>0</v>
      </c>
      <c r="Q124" s="30">
        <f t="shared" si="33"/>
        <v>0</v>
      </c>
      <c r="R124" s="30">
        <f t="shared" si="33"/>
        <v>0</v>
      </c>
      <c r="S124" s="30">
        <f t="shared" si="33"/>
        <v>0</v>
      </c>
      <c r="T124" s="30">
        <f t="shared" si="33"/>
        <v>0</v>
      </c>
      <c r="U124" s="30">
        <f t="shared" si="33"/>
        <v>0</v>
      </c>
      <c r="V124" s="30">
        <f t="shared" si="33"/>
        <v>0</v>
      </c>
      <c r="W124" s="30">
        <f t="shared" si="33"/>
        <v>0</v>
      </c>
      <c r="X124" s="30">
        <f t="shared" si="33"/>
        <v>0</v>
      </c>
      <c r="Y124" s="30">
        <f t="shared" si="33"/>
        <v>0</v>
      </c>
      <c r="Z124" s="30">
        <f t="shared" si="33"/>
        <v>0</v>
      </c>
      <c r="AA124" s="30">
        <f t="shared" si="33"/>
        <v>0</v>
      </c>
      <c r="AB124" s="30">
        <f t="shared" si="33"/>
        <v>0</v>
      </c>
      <c r="AC124" s="30">
        <f t="shared" si="33"/>
        <v>0</v>
      </c>
      <c r="AD124" s="30">
        <f t="shared" si="33"/>
        <v>0</v>
      </c>
      <c r="AE124" s="30">
        <f t="shared" si="33"/>
        <v>0</v>
      </c>
      <c r="AF124" s="30">
        <f t="shared" si="33"/>
        <v>0</v>
      </c>
      <c r="AG124" s="30">
        <f t="shared" si="33"/>
        <v>0</v>
      </c>
      <c r="AH124" s="30">
        <f t="shared" si="33"/>
        <v>0</v>
      </c>
      <c r="AI124" s="30">
        <f t="shared" si="33"/>
        <v>0</v>
      </c>
      <c r="AJ124" s="30">
        <f t="shared" si="33"/>
        <v>0</v>
      </c>
      <c r="AK124" s="30">
        <f t="shared" si="33"/>
        <v>0</v>
      </c>
      <c r="AL124" s="30">
        <f t="shared" si="33"/>
        <v>0</v>
      </c>
      <c r="AM124" s="30">
        <f t="shared" si="33"/>
        <v>0</v>
      </c>
      <c r="AN124" s="30">
        <f t="shared" si="33"/>
        <v>0</v>
      </c>
      <c r="AO124" s="30">
        <f t="shared" si="33"/>
        <v>0</v>
      </c>
      <c r="AP124" s="30">
        <f t="shared" si="33"/>
        <v>0</v>
      </c>
      <c r="AQ124" s="30">
        <f t="shared" si="33"/>
        <v>0</v>
      </c>
      <c r="AR124" s="30">
        <f t="shared" si="33"/>
        <v>0</v>
      </c>
      <c r="AS124" s="30">
        <f t="shared" si="33"/>
        <v>0</v>
      </c>
      <c r="AT124" s="30">
        <f t="shared" si="33"/>
        <v>0</v>
      </c>
      <c r="AU124" s="30">
        <f t="shared" si="33"/>
        <v>0</v>
      </c>
      <c r="AV124" s="30">
        <f t="shared" si="33"/>
        <v>0</v>
      </c>
      <c r="AW124" s="30">
        <f t="shared" si="33"/>
        <v>0</v>
      </c>
      <c r="AX124" s="30">
        <f t="shared" si="33"/>
        <v>0</v>
      </c>
      <c r="AY124" s="30">
        <f t="shared" si="33"/>
        <v>0</v>
      </c>
      <c r="AZ124" s="30">
        <f t="shared" si="33"/>
        <v>0</v>
      </c>
      <c r="BA124" s="30">
        <f t="shared" si="33"/>
        <v>0</v>
      </c>
      <c r="BB124" s="30">
        <f t="shared" si="33"/>
        <v>0</v>
      </c>
      <c r="BC124" s="30">
        <f t="shared" si="33"/>
        <v>0</v>
      </c>
      <c r="BD124" s="30">
        <f t="shared" si="33"/>
        <v>0</v>
      </c>
      <c r="BE124" s="30">
        <f t="shared" si="33"/>
        <v>0</v>
      </c>
      <c r="BF124" s="30">
        <f t="shared" si="33"/>
        <v>0</v>
      </c>
      <c r="BG124" s="30">
        <f t="shared" si="33"/>
        <v>0</v>
      </c>
      <c r="BH124" s="30">
        <f t="shared" si="33"/>
        <v>0</v>
      </c>
      <c r="BI124" s="30">
        <f t="shared" si="33"/>
        <v>0</v>
      </c>
      <c r="BJ124" s="30">
        <f t="shared" si="33"/>
        <v>0</v>
      </c>
      <c r="BK124" s="30">
        <f t="shared" si="33"/>
        <v>0</v>
      </c>
      <c r="BL124" s="30">
        <f t="shared" si="33"/>
        <v>0</v>
      </c>
      <c r="BM124" s="30">
        <f t="shared" si="33"/>
        <v>0</v>
      </c>
      <c r="BN124" s="30">
        <f t="shared" ref="BN124:BP124" si="34">SUM(BN118:BN123)</f>
        <v>0</v>
      </c>
      <c r="BO124" s="30">
        <f t="shared" si="34"/>
        <v>0</v>
      </c>
      <c r="BP124" s="30">
        <f t="shared" si="34"/>
        <v>0</v>
      </c>
    </row>
    <row r="125" spans="1:68" x14ac:dyDescent="0.35">
      <c r="A125" s="36"/>
      <c r="B125" s="31"/>
      <c r="C125" s="97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</row>
    <row r="126" spans="1:68" x14ac:dyDescent="0.35">
      <c r="A126" s="38" t="s">
        <v>143</v>
      </c>
      <c r="B126" s="28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</row>
    <row r="127" spans="1:68" x14ac:dyDescent="0.35">
      <c r="A127" t="s">
        <v>170</v>
      </c>
      <c r="B127" s="31">
        <f t="shared" ref="B127:B149" si="35">SUM(C127:BP127)</f>
        <v>0</v>
      </c>
      <c r="C127" s="29">
        <f t="shared" ref="C127:BN127" si="36">SUM(C6)</f>
        <v>0</v>
      </c>
      <c r="D127" s="29">
        <f t="shared" si="36"/>
        <v>0</v>
      </c>
      <c r="E127" s="29">
        <f t="shared" si="36"/>
        <v>0</v>
      </c>
      <c r="F127" s="29">
        <f t="shared" si="36"/>
        <v>0</v>
      </c>
      <c r="G127" s="29">
        <f t="shared" si="36"/>
        <v>0</v>
      </c>
      <c r="H127" s="29">
        <f t="shared" si="36"/>
        <v>0</v>
      </c>
      <c r="I127" s="29">
        <f t="shared" si="36"/>
        <v>0</v>
      </c>
      <c r="J127" s="29">
        <f t="shared" si="36"/>
        <v>0</v>
      </c>
      <c r="K127" s="29">
        <f t="shared" si="36"/>
        <v>0</v>
      </c>
      <c r="L127" s="29">
        <f t="shared" si="36"/>
        <v>0</v>
      </c>
      <c r="M127" s="29">
        <f t="shared" si="36"/>
        <v>0</v>
      </c>
      <c r="N127" s="29">
        <f t="shared" si="36"/>
        <v>0</v>
      </c>
      <c r="O127" s="29">
        <f t="shared" si="36"/>
        <v>0</v>
      </c>
      <c r="P127" s="29">
        <f t="shared" si="36"/>
        <v>0</v>
      </c>
      <c r="Q127" s="29">
        <f t="shared" si="36"/>
        <v>0</v>
      </c>
      <c r="R127" s="29">
        <f t="shared" si="36"/>
        <v>0</v>
      </c>
      <c r="S127" s="29">
        <f t="shared" si="36"/>
        <v>0</v>
      </c>
      <c r="T127" s="29">
        <f t="shared" si="36"/>
        <v>0</v>
      </c>
      <c r="U127" s="29">
        <f t="shared" si="36"/>
        <v>0</v>
      </c>
      <c r="V127" s="29">
        <f t="shared" si="36"/>
        <v>0</v>
      </c>
      <c r="W127" s="29">
        <f t="shared" si="36"/>
        <v>0</v>
      </c>
      <c r="X127" s="29">
        <f t="shared" si="36"/>
        <v>0</v>
      </c>
      <c r="Y127" s="29">
        <f t="shared" si="36"/>
        <v>0</v>
      </c>
      <c r="Z127" s="29">
        <f t="shared" si="36"/>
        <v>0</v>
      </c>
      <c r="AA127" s="29">
        <f t="shared" si="36"/>
        <v>0</v>
      </c>
      <c r="AB127" s="29">
        <f t="shared" si="36"/>
        <v>0</v>
      </c>
      <c r="AC127" s="29">
        <f t="shared" si="36"/>
        <v>0</v>
      </c>
      <c r="AD127" s="29">
        <f t="shared" si="36"/>
        <v>0</v>
      </c>
      <c r="AE127" s="29">
        <f t="shared" si="36"/>
        <v>0</v>
      </c>
      <c r="AF127" s="29">
        <f t="shared" si="36"/>
        <v>0</v>
      </c>
      <c r="AG127" s="29">
        <f t="shared" si="36"/>
        <v>0</v>
      </c>
      <c r="AH127" s="29">
        <f t="shared" si="36"/>
        <v>0</v>
      </c>
      <c r="AI127" s="29">
        <f t="shared" si="36"/>
        <v>0</v>
      </c>
      <c r="AJ127" s="29">
        <f t="shared" si="36"/>
        <v>0</v>
      </c>
      <c r="AK127" s="29">
        <f t="shared" si="36"/>
        <v>0</v>
      </c>
      <c r="AL127" s="29">
        <f t="shared" si="36"/>
        <v>0</v>
      </c>
      <c r="AM127" s="29">
        <f t="shared" si="36"/>
        <v>0</v>
      </c>
      <c r="AN127" s="29">
        <f t="shared" si="36"/>
        <v>0</v>
      </c>
      <c r="AO127" s="29">
        <f t="shared" si="36"/>
        <v>0</v>
      </c>
      <c r="AP127" s="29">
        <f t="shared" si="36"/>
        <v>0</v>
      </c>
      <c r="AQ127" s="29">
        <f t="shared" si="36"/>
        <v>0</v>
      </c>
      <c r="AR127" s="29">
        <f t="shared" si="36"/>
        <v>0</v>
      </c>
      <c r="AS127" s="29">
        <f t="shared" si="36"/>
        <v>0</v>
      </c>
      <c r="AT127" s="29">
        <f t="shared" si="36"/>
        <v>0</v>
      </c>
      <c r="AU127" s="29">
        <f t="shared" si="36"/>
        <v>0</v>
      </c>
      <c r="AV127" s="29">
        <f t="shared" si="36"/>
        <v>0</v>
      </c>
      <c r="AW127" s="29">
        <f t="shared" si="36"/>
        <v>0</v>
      </c>
      <c r="AX127" s="29">
        <f t="shared" si="36"/>
        <v>0</v>
      </c>
      <c r="AY127" s="29">
        <f t="shared" si="36"/>
        <v>0</v>
      </c>
      <c r="AZ127" s="29">
        <f t="shared" si="36"/>
        <v>0</v>
      </c>
      <c r="BA127" s="29">
        <f t="shared" si="36"/>
        <v>0</v>
      </c>
      <c r="BB127" s="29">
        <f t="shared" si="36"/>
        <v>0</v>
      </c>
      <c r="BC127" s="29">
        <f t="shared" si="36"/>
        <v>0</v>
      </c>
      <c r="BD127" s="29">
        <f t="shared" si="36"/>
        <v>0</v>
      </c>
      <c r="BE127" s="29">
        <f t="shared" si="36"/>
        <v>0</v>
      </c>
      <c r="BF127" s="29">
        <f t="shared" si="36"/>
        <v>0</v>
      </c>
      <c r="BG127" s="29">
        <f t="shared" si="36"/>
        <v>0</v>
      </c>
      <c r="BH127" s="29">
        <f t="shared" si="36"/>
        <v>0</v>
      </c>
      <c r="BI127" s="29">
        <f t="shared" si="36"/>
        <v>0</v>
      </c>
      <c r="BJ127" s="29">
        <f t="shared" si="36"/>
        <v>0</v>
      </c>
      <c r="BK127" s="29">
        <f t="shared" si="36"/>
        <v>0</v>
      </c>
      <c r="BL127" s="29">
        <f t="shared" si="36"/>
        <v>0</v>
      </c>
      <c r="BM127" s="29">
        <f t="shared" si="36"/>
        <v>0</v>
      </c>
      <c r="BN127" s="29">
        <f t="shared" si="36"/>
        <v>0</v>
      </c>
      <c r="BO127" s="29">
        <f t="shared" ref="BO127:BP127" si="37">SUM(BO6)</f>
        <v>0</v>
      </c>
      <c r="BP127" s="29">
        <f t="shared" si="37"/>
        <v>0</v>
      </c>
    </row>
    <row r="128" spans="1:68" x14ac:dyDescent="0.35">
      <c r="A128" t="s">
        <v>99</v>
      </c>
      <c r="B128" s="31">
        <f t="shared" si="35"/>
        <v>0</v>
      </c>
      <c r="C128" s="29">
        <f t="shared" ref="C128:BN128" si="38">SUM(C118,C74)</f>
        <v>0</v>
      </c>
      <c r="D128" s="29">
        <f t="shared" si="38"/>
        <v>0</v>
      </c>
      <c r="E128" s="29">
        <f t="shared" si="38"/>
        <v>0</v>
      </c>
      <c r="F128" s="29">
        <f t="shared" si="38"/>
        <v>0</v>
      </c>
      <c r="G128" s="29">
        <f t="shared" si="38"/>
        <v>0</v>
      </c>
      <c r="H128" s="29">
        <f t="shared" si="38"/>
        <v>0</v>
      </c>
      <c r="I128" s="29">
        <f t="shared" si="38"/>
        <v>0</v>
      </c>
      <c r="J128" s="29">
        <f t="shared" si="38"/>
        <v>0</v>
      </c>
      <c r="K128" s="29">
        <f t="shared" si="38"/>
        <v>0</v>
      </c>
      <c r="L128" s="29">
        <f t="shared" si="38"/>
        <v>0</v>
      </c>
      <c r="M128" s="29">
        <f t="shared" si="38"/>
        <v>0</v>
      </c>
      <c r="N128" s="29">
        <f t="shared" si="38"/>
        <v>0</v>
      </c>
      <c r="O128" s="29">
        <f t="shared" si="38"/>
        <v>0</v>
      </c>
      <c r="P128" s="29">
        <f t="shared" si="38"/>
        <v>0</v>
      </c>
      <c r="Q128" s="29">
        <f t="shared" si="38"/>
        <v>0</v>
      </c>
      <c r="R128" s="29">
        <f t="shared" si="38"/>
        <v>0</v>
      </c>
      <c r="S128" s="29">
        <f t="shared" si="38"/>
        <v>0</v>
      </c>
      <c r="T128" s="29">
        <f t="shared" si="38"/>
        <v>0</v>
      </c>
      <c r="U128" s="29">
        <f t="shared" si="38"/>
        <v>0</v>
      </c>
      <c r="V128" s="29">
        <f t="shared" si="38"/>
        <v>0</v>
      </c>
      <c r="W128" s="29">
        <f t="shared" si="38"/>
        <v>0</v>
      </c>
      <c r="X128" s="29">
        <f t="shared" si="38"/>
        <v>0</v>
      </c>
      <c r="Y128" s="29">
        <f t="shared" si="38"/>
        <v>0</v>
      </c>
      <c r="Z128" s="29">
        <f t="shared" si="38"/>
        <v>0</v>
      </c>
      <c r="AA128" s="29">
        <f t="shared" si="38"/>
        <v>0</v>
      </c>
      <c r="AB128" s="29">
        <f t="shared" si="38"/>
        <v>0</v>
      </c>
      <c r="AC128" s="29">
        <f t="shared" si="38"/>
        <v>0</v>
      </c>
      <c r="AD128" s="29">
        <f t="shared" si="38"/>
        <v>0</v>
      </c>
      <c r="AE128" s="29">
        <f t="shared" si="38"/>
        <v>0</v>
      </c>
      <c r="AF128" s="29">
        <f t="shared" si="38"/>
        <v>0</v>
      </c>
      <c r="AG128" s="29">
        <f t="shared" si="38"/>
        <v>0</v>
      </c>
      <c r="AH128" s="29">
        <f t="shared" si="38"/>
        <v>0</v>
      </c>
      <c r="AI128" s="29">
        <f t="shared" si="38"/>
        <v>0</v>
      </c>
      <c r="AJ128" s="29">
        <f t="shared" si="38"/>
        <v>0</v>
      </c>
      <c r="AK128" s="29">
        <f t="shared" si="38"/>
        <v>0</v>
      </c>
      <c r="AL128" s="29">
        <f t="shared" si="38"/>
        <v>0</v>
      </c>
      <c r="AM128" s="29">
        <f t="shared" si="38"/>
        <v>0</v>
      </c>
      <c r="AN128" s="29">
        <f t="shared" si="38"/>
        <v>0</v>
      </c>
      <c r="AO128" s="29">
        <f t="shared" si="38"/>
        <v>0</v>
      </c>
      <c r="AP128" s="29">
        <f t="shared" si="38"/>
        <v>0</v>
      </c>
      <c r="AQ128" s="29">
        <f t="shared" si="38"/>
        <v>0</v>
      </c>
      <c r="AR128" s="29">
        <f t="shared" si="38"/>
        <v>0</v>
      </c>
      <c r="AS128" s="29">
        <f t="shared" si="38"/>
        <v>0</v>
      </c>
      <c r="AT128" s="29">
        <f t="shared" si="38"/>
        <v>0</v>
      </c>
      <c r="AU128" s="29">
        <f t="shared" si="38"/>
        <v>0</v>
      </c>
      <c r="AV128" s="29">
        <f t="shared" si="38"/>
        <v>0</v>
      </c>
      <c r="AW128" s="29">
        <f t="shared" si="38"/>
        <v>0</v>
      </c>
      <c r="AX128" s="29">
        <f t="shared" si="38"/>
        <v>0</v>
      </c>
      <c r="AY128" s="29">
        <f t="shared" si="38"/>
        <v>0</v>
      </c>
      <c r="AZ128" s="29">
        <f t="shared" si="38"/>
        <v>0</v>
      </c>
      <c r="BA128" s="29">
        <f t="shared" si="38"/>
        <v>0</v>
      </c>
      <c r="BB128" s="29">
        <f t="shared" si="38"/>
        <v>0</v>
      </c>
      <c r="BC128" s="29">
        <f t="shared" si="38"/>
        <v>0</v>
      </c>
      <c r="BD128" s="29">
        <f t="shared" si="38"/>
        <v>0</v>
      </c>
      <c r="BE128" s="29">
        <f t="shared" si="38"/>
        <v>0</v>
      </c>
      <c r="BF128" s="29">
        <f t="shared" si="38"/>
        <v>0</v>
      </c>
      <c r="BG128" s="29">
        <f t="shared" si="38"/>
        <v>0</v>
      </c>
      <c r="BH128" s="29">
        <f t="shared" si="38"/>
        <v>0</v>
      </c>
      <c r="BI128" s="29">
        <f t="shared" si="38"/>
        <v>0</v>
      </c>
      <c r="BJ128" s="29">
        <f t="shared" si="38"/>
        <v>0</v>
      </c>
      <c r="BK128" s="29">
        <f t="shared" si="38"/>
        <v>0</v>
      </c>
      <c r="BL128" s="29">
        <f t="shared" si="38"/>
        <v>0</v>
      </c>
      <c r="BM128" s="29">
        <f t="shared" si="38"/>
        <v>0</v>
      </c>
      <c r="BN128" s="29">
        <f t="shared" si="38"/>
        <v>0</v>
      </c>
      <c r="BO128" s="29">
        <f t="shared" ref="BO128:BP128" si="39">SUM(BO118,BO74)</f>
        <v>0</v>
      </c>
      <c r="BP128" s="29">
        <f t="shared" si="39"/>
        <v>0</v>
      </c>
    </row>
    <row r="129" spans="1:68" x14ac:dyDescent="0.35">
      <c r="A129" t="s">
        <v>171</v>
      </c>
      <c r="B129" s="31">
        <f t="shared" si="35"/>
        <v>9152</v>
      </c>
      <c r="C129" s="29">
        <f t="shared" ref="C129:BN129" si="40">SUM(C102,C86,C67,C41,C32,C23,C7)</f>
        <v>2241</v>
      </c>
      <c r="D129" s="29">
        <f t="shared" si="40"/>
        <v>0</v>
      </c>
      <c r="E129" s="29">
        <f t="shared" si="40"/>
        <v>0</v>
      </c>
      <c r="F129" s="29">
        <f t="shared" si="40"/>
        <v>0</v>
      </c>
      <c r="G129" s="29">
        <f t="shared" si="40"/>
        <v>0</v>
      </c>
      <c r="H129" s="29">
        <f t="shared" si="40"/>
        <v>0</v>
      </c>
      <c r="I129" s="29">
        <f t="shared" si="40"/>
        <v>0</v>
      </c>
      <c r="J129" s="29">
        <f t="shared" si="40"/>
        <v>0</v>
      </c>
      <c r="K129" s="29">
        <f t="shared" si="40"/>
        <v>0</v>
      </c>
      <c r="L129" s="29">
        <f t="shared" si="40"/>
        <v>0</v>
      </c>
      <c r="M129" s="29">
        <f t="shared" si="40"/>
        <v>0</v>
      </c>
      <c r="N129" s="29">
        <f t="shared" si="40"/>
        <v>0</v>
      </c>
      <c r="O129" s="29">
        <f t="shared" si="40"/>
        <v>232</v>
      </c>
      <c r="P129" s="29">
        <f t="shared" si="40"/>
        <v>552</v>
      </c>
      <c r="Q129" s="29">
        <f t="shared" si="40"/>
        <v>1731</v>
      </c>
      <c r="R129" s="29">
        <f t="shared" si="40"/>
        <v>558</v>
      </c>
      <c r="S129" s="29">
        <f t="shared" si="40"/>
        <v>401</v>
      </c>
      <c r="T129" s="29">
        <f t="shared" si="40"/>
        <v>250</v>
      </c>
      <c r="U129" s="29">
        <f t="shared" si="40"/>
        <v>296</v>
      </c>
      <c r="V129" s="29">
        <f t="shared" si="40"/>
        <v>114</v>
      </c>
      <c r="W129" s="29">
        <f t="shared" si="40"/>
        <v>298</v>
      </c>
      <c r="X129" s="29">
        <f t="shared" si="40"/>
        <v>151</v>
      </c>
      <c r="Y129" s="29">
        <f t="shared" si="40"/>
        <v>29</v>
      </c>
      <c r="Z129" s="29">
        <f t="shared" si="40"/>
        <v>0</v>
      </c>
      <c r="AA129" s="29">
        <f t="shared" si="40"/>
        <v>22</v>
      </c>
      <c r="AB129" s="29">
        <f t="shared" si="40"/>
        <v>1255</v>
      </c>
      <c r="AC129" s="29">
        <f t="shared" si="40"/>
        <v>520</v>
      </c>
      <c r="AD129" s="29">
        <f t="shared" si="40"/>
        <v>502</v>
      </c>
      <c r="AE129" s="29">
        <f t="shared" si="40"/>
        <v>0</v>
      </c>
      <c r="AF129" s="29">
        <f t="shared" si="40"/>
        <v>0</v>
      </c>
      <c r="AG129" s="29">
        <f t="shared" si="40"/>
        <v>0</v>
      </c>
      <c r="AH129" s="29">
        <f t="shared" si="40"/>
        <v>0</v>
      </c>
      <c r="AI129" s="29">
        <f t="shared" si="40"/>
        <v>0</v>
      </c>
      <c r="AJ129" s="29">
        <f t="shared" si="40"/>
        <v>0</v>
      </c>
      <c r="AK129" s="29">
        <f t="shared" si="40"/>
        <v>0</v>
      </c>
      <c r="AL129" s="29">
        <f t="shared" si="40"/>
        <v>0</v>
      </c>
      <c r="AM129" s="29">
        <f t="shared" si="40"/>
        <v>0</v>
      </c>
      <c r="AN129" s="29">
        <f t="shared" si="40"/>
        <v>0</v>
      </c>
      <c r="AO129" s="29">
        <f t="shared" si="40"/>
        <v>0</v>
      </c>
      <c r="AP129" s="29">
        <f t="shared" si="40"/>
        <v>0</v>
      </c>
      <c r="AQ129" s="29">
        <f t="shared" si="40"/>
        <v>0</v>
      </c>
      <c r="AR129" s="29">
        <f t="shared" si="40"/>
        <v>0</v>
      </c>
      <c r="AS129" s="29">
        <f t="shared" si="40"/>
        <v>0</v>
      </c>
      <c r="AT129" s="29">
        <f t="shared" si="40"/>
        <v>0</v>
      </c>
      <c r="AU129" s="29">
        <f t="shared" si="40"/>
        <v>0</v>
      </c>
      <c r="AV129" s="29">
        <f t="shared" si="40"/>
        <v>0</v>
      </c>
      <c r="AW129" s="29">
        <f t="shared" si="40"/>
        <v>0</v>
      </c>
      <c r="AX129" s="29">
        <f t="shared" si="40"/>
        <v>0</v>
      </c>
      <c r="AY129" s="29">
        <f t="shared" si="40"/>
        <v>0</v>
      </c>
      <c r="AZ129" s="29">
        <f t="shared" si="40"/>
        <v>0</v>
      </c>
      <c r="BA129" s="29">
        <f t="shared" si="40"/>
        <v>0</v>
      </c>
      <c r="BB129" s="29">
        <f t="shared" si="40"/>
        <v>0</v>
      </c>
      <c r="BC129" s="29">
        <f t="shared" si="40"/>
        <v>0</v>
      </c>
      <c r="BD129" s="29">
        <f t="shared" si="40"/>
        <v>0</v>
      </c>
      <c r="BE129" s="29">
        <f t="shared" si="40"/>
        <v>0</v>
      </c>
      <c r="BF129" s="29">
        <f t="shared" si="40"/>
        <v>0</v>
      </c>
      <c r="BG129" s="29">
        <f t="shared" si="40"/>
        <v>0</v>
      </c>
      <c r="BH129" s="29">
        <f t="shared" si="40"/>
        <v>0</v>
      </c>
      <c r="BI129" s="29">
        <f t="shared" si="40"/>
        <v>0</v>
      </c>
      <c r="BJ129" s="29">
        <f t="shared" si="40"/>
        <v>0</v>
      </c>
      <c r="BK129" s="29">
        <f t="shared" si="40"/>
        <v>0</v>
      </c>
      <c r="BL129" s="29">
        <f t="shared" si="40"/>
        <v>0</v>
      </c>
      <c r="BM129" s="29">
        <f t="shared" si="40"/>
        <v>0</v>
      </c>
      <c r="BN129" s="29">
        <f t="shared" si="40"/>
        <v>0</v>
      </c>
      <c r="BO129" s="29">
        <f t="shared" ref="BO129:BP129" si="41">SUM(BO102,BO86,BO67,BO41,BO32,BO23,BO7)</f>
        <v>0</v>
      </c>
      <c r="BP129" s="29">
        <f t="shared" si="41"/>
        <v>0</v>
      </c>
    </row>
    <row r="130" spans="1:68" x14ac:dyDescent="0.35">
      <c r="A130" t="s">
        <v>96</v>
      </c>
      <c r="B130" s="31">
        <f t="shared" si="35"/>
        <v>918</v>
      </c>
      <c r="C130" s="29">
        <f t="shared" ref="C130:BN130" si="42">SUM(C119,C113,C103,C87,C75,C68,C53,C8)</f>
        <v>604</v>
      </c>
      <c r="D130" s="29">
        <f t="shared" si="42"/>
        <v>0</v>
      </c>
      <c r="E130" s="29">
        <f t="shared" si="42"/>
        <v>0</v>
      </c>
      <c r="F130" s="29">
        <f t="shared" si="42"/>
        <v>0</v>
      </c>
      <c r="G130" s="29">
        <f t="shared" si="42"/>
        <v>0</v>
      </c>
      <c r="H130" s="29">
        <f t="shared" si="42"/>
        <v>0</v>
      </c>
      <c r="I130" s="29">
        <f t="shared" si="42"/>
        <v>0</v>
      </c>
      <c r="J130" s="29">
        <f t="shared" si="42"/>
        <v>0</v>
      </c>
      <c r="K130" s="29">
        <f t="shared" si="42"/>
        <v>0</v>
      </c>
      <c r="L130" s="29">
        <f t="shared" si="42"/>
        <v>0</v>
      </c>
      <c r="M130" s="29">
        <f t="shared" si="42"/>
        <v>0</v>
      </c>
      <c r="N130" s="29">
        <f t="shared" si="42"/>
        <v>0</v>
      </c>
      <c r="O130" s="29">
        <f t="shared" si="42"/>
        <v>0</v>
      </c>
      <c r="P130" s="29">
        <f t="shared" si="42"/>
        <v>0</v>
      </c>
      <c r="Q130" s="29">
        <f t="shared" si="42"/>
        <v>0</v>
      </c>
      <c r="R130" s="29">
        <f t="shared" si="42"/>
        <v>0</v>
      </c>
      <c r="S130" s="29">
        <f t="shared" si="42"/>
        <v>0</v>
      </c>
      <c r="T130" s="29">
        <f t="shared" si="42"/>
        <v>0</v>
      </c>
      <c r="U130" s="29">
        <f t="shared" si="42"/>
        <v>0</v>
      </c>
      <c r="V130" s="29">
        <f t="shared" si="42"/>
        <v>0</v>
      </c>
      <c r="W130" s="29">
        <f t="shared" si="42"/>
        <v>0</v>
      </c>
      <c r="X130" s="29">
        <f t="shared" si="42"/>
        <v>0</v>
      </c>
      <c r="Y130" s="29">
        <f t="shared" si="42"/>
        <v>0</v>
      </c>
      <c r="Z130" s="29">
        <f t="shared" si="42"/>
        <v>0</v>
      </c>
      <c r="AA130" s="29">
        <f t="shared" si="42"/>
        <v>0</v>
      </c>
      <c r="AB130" s="29">
        <f t="shared" si="42"/>
        <v>0</v>
      </c>
      <c r="AC130" s="29">
        <f t="shared" si="42"/>
        <v>0</v>
      </c>
      <c r="AD130" s="29">
        <f t="shared" si="42"/>
        <v>0</v>
      </c>
      <c r="AE130" s="29">
        <f t="shared" si="42"/>
        <v>0</v>
      </c>
      <c r="AF130" s="29">
        <f t="shared" si="42"/>
        <v>0</v>
      </c>
      <c r="AG130" s="29">
        <f t="shared" si="42"/>
        <v>0</v>
      </c>
      <c r="AH130" s="29">
        <f t="shared" si="42"/>
        <v>0</v>
      </c>
      <c r="AI130" s="29">
        <f t="shared" si="42"/>
        <v>72</v>
      </c>
      <c r="AJ130" s="29">
        <f t="shared" si="42"/>
        <v>197</v>
      </c>
      <c r="AK130" s="29">
        <f t="shared" si="42"/>
        <v>0</v>
      </c>
      <c r="AL130" s="29">
        <f t="shared" si="42"/>
        <v>0</v>
      </c>
      <c r="AM130" s="29">
        <f t="shared" si="42"/>
        <v>0</v>
      </c>
      <c r="AN130" s="29">
        <f t="shared" si="42"/>
        <v>0</v>
      </c>
      <c r="AO130" s="29">
        <f t="shared" si="42"/>
        <v>0</v>
      </c>
      <c r="AP130" s="29">
        <f t="shared" si="42"/>
        <v>0</v>
      </c>
      <c r="AQ130" s="29">
        <f t="shared" si="42"/>
        <v>0</v>
      </c>
      <c r="AR130" s="29">
        <f t="shared" si="42"/>
        <v>0</v>
      </c>
      <c r="AS130" s="29">
        <f t="shared" si="42"/>
        <v>45</v>
      </c>
      <c r="AT130" s="29">
        <f t="shared" si="42"/>
        <v>0</v>
      </c>
      <c r="AU130" s="29">
        <f t="shared" si="42"/>
        <v>0</v>
      </c>
      <c r="AV130" s="29">
        <f t="shared" si="42"/>
        <v>0</v>
      </c>
      <c r="AW130" s="29">
        <f t="shared" si="42"/>
        <v>0</v>
      </c>
      <c r="AX130" s="29">
        <f t="shared" si="42"/>
        <v>0</v>
      </c>
      <c r="AY130" s="29">
        <f t="shared" si="42"/>
        <v>0</v>
      </c>
      <c r="AZ130" s="29">
        <f t="shared" si="42"/>
        <v>0</v>
      </c>
      <c r="BA130" s="29">
        <f t="shared" si="42"/>
        <v>0</v>
      </c>
      <c r="BB130" s="29">
        <f t="shared" si="42"/>
        <v>0</v>
      </c>
      <c r="BC130" s="29">
        <f t="shared" si="42"/>
        <v>0</v>
      </c>
      <c r="BD130" s="29">
        <f t="shared" si="42"/>
        <v>0</v>
      </c>
      <c r="BE130" s="29">
        <f t="shared" si="42"/>
        <v>0</v>
      </c>
      <c r="BF130" s="29">
        <f t="shared" si="42"/>
        <v>0</v>
      </c>
      <c r="BG130" s="29">
        <f t="shared" si="42"/>
        <v>0</v>
      </c>
      <c r="BH130" s="29">
        <f t="shared" si="42"/>
        <v>0</v>
      </c>
      <c r="BI130" s="29">
        <f t="shared" si="42"/>
        <v>0</v>
      </c>
      <c r="BJ130" s="29">
        <f t="shared" si="42"/>
        <v>0</v>
      </c>
      <c r="BK130" s="29">
        <f t="shared" si="42"/>
        <v>0</v>
      </c>
      <c r="BL130" s="29">
        <f t="shared" si="42"/>
        <v>0</v>
      </c>
      <c r="BM130" s="29">
        <f t="shared" si="42"/>
        <v>0</v>
      </c>
      <c r="BN130" s="29">
        <f t="shared" si="42"/>
        <v>0</v>
      </c>
      <c r="BO130" s="29">
        <f t="shared" ref="BO130:BP130" si="43">SUM(BO119,BO113,BO103,BO87,BO75,BO68,BO53,BO8)</f>
        <v>0</v>
      </c>
      <c r="BP130" s="29">
        <f t="shared" si="43"/>
        <v>0</v>
      </c>
    </row>
    <row r="131" spans="1:68" x14ac:dyDescent="0.35">
      <c r="A131" t="s">
        <v>172</v>
      </c>
      <c r="B131" s="31">
        <f t="shared" si="35"/>
        <v>621</v>
      </c>
      <c r="C131" s="29">
        <f t="shared" ref="C131:BN131" si="44">SUM(C76,C69,C54,C42,C24,C9)</f>
        <v>348</v>
      </c>
      <c r="D131" s="29">
        <f t="shared" si="44"/>
        <v>0</v>
      </c>
      <c r="E131" s="29">
        <f t="shared" si="44"/>
        <v>0</v>
      </c>
      <c r="F131" s="29">
        <f t="shared" si="44"/>
        <v>0</v>
      </c>
      <c r="G131" s="29">
        <f t="shared" si="44"/>
        <v>0</v>
      </c>
      <c r="H131" s="29">
        <f t="shared" si="44"/>
        <v>0</v>
      </c>
      <c r="I131" s="29">
        <f t="shared" si="44"/>
        <v>0</v>
      </c>
      <c r="J131" s="29">
        <f t="shared" si="44"/>
        <v>0</v>
      </c>
      <c r="K131" s="29">
        <f t="shared" si="44"/>
        <v>42</v>
      </c>
      <c r="L131" s="29">
        <f t="shared" si="44"/>
        <v>127</v>
      </c>
      <c r="M131" s="29">
        <f t="shared" si="44"/>
        <v>45</v>
      </c>
      <c r="N131" s="29">
        <f t="shared" si="44"/>
        <v>0</v>
      </c>
      <c r="O131" s="29">
        <f t="shared" si="44"/>
        <v>0</v>
      </c>
      <c r="P131" s="29">
        <f t="shared" si="44"/>
        <v>0</v>
      </c>
      <c r="Q131" s="29">
        <f t="shared" si="44"/>
        <v>5</v>
      </c>
      <c r="R131" s="29">
        <f t="shared" si="44"/>
        <v>0</v>
      </c>
      <c r="S131" s="29">
        <f t="shared" si="44"/>
        <v>0</v>
      </c>
      <c r="T131" s="29">
        <f t="shared" si="44"/>
        <v>54</v>
      </c>
      <c r="U131" s="29">
        <f t="shared" si="44"/>
        <v>0</v>
      </c>
      <c r="V131" s="29">
        <f t="shared" si="44"/>
        <v>0</v>
      </c>
      <c r="W131" s="29">
        <f t="shared" si="44"/>
        <v>0</v>
      </c>
      <c r="X131" s="29">
        <f t="shared" si="44"/>
        <v>0</v>
      </c>
      <c r="Y131" s="29">
        <f t="shared" si="44"/>
        <v>0</v>
      </c>
      <c r="Z131" s="29">
        <f t="shared" si="44"/>
        <v>0</v>
      </c>
      <c r="AA131" s="29">
        <f t="shared" si="44"/>
        <v>0</v>
      </c>
      <c r="AB131" s="29">
        <f t="shared" si="44"/>
        <v>0</v>
      </c>
      <c r="AC131" s="29">
        <f t="shared" si="44"/>
        <v>0</v>
      </c>
      <c r="AD131" s="29">
        <f t="shared" si="44"/>
        <v>0</v>
      </c>
      <c r="AE131" s="29">
        <f t="shared" si="44"/>
        <v>0</v>
      </c>
      <c r="AF131" s="29">
        <f t="shared" si="44"/>
        <v>0</v>
      </c>
      <c r="AG131" s="29">
        <f t="shared" si="44"/>
        <v>0</v>
      </c>
      <c r="AH131" s="29">
        <f t="shared" si="44"/>
        <v>0</v>
      </c>
      <c r="AI131" s="29">
        <f t="shared" si="44"/>
        <v>0</v>
      </c>
      <c r="AJ131" s="29">
        <f t="shared" si="44"/>
        <v>0</v>
      </c>
      <c r="AK131" s="29">
        <f t="shared" si="44"/>
        <v>0</v>
      </c>
      <c r="AL131" s="29">
        <f t="shared" si="44"/>
        <v>0</v>
      </c>
      <c r="AM131" s="29">
        <f t="shared" si="44"/>
        <v>0</v>
      </c>
      <c r="AN131" s="29">
        <f t="shared" si="44"/>
        <v>0</v>
      </c>
      <c r="AO131" s="29">
        <f t="shared" si="44"/>
        <v>0</v>
      </c>
      <c r="AP131" s="29">
        <f t="shared" si="44"/>
        <v>0</v>
      </c>
      <c r="AQ131" s="29">
        <f t="shared" si="44"/>
        <v>0</v>
      </c>
      <c r="AR131" s="29">
        <f t="shared" si="44"/>
        <v>0</v>
      </c>
      <c r="AS131" s="29">
        <f t="shared" si="44"/>
        <v>0</v>
      </c>
      <c r="AT131" s="29">
        <f t="shared" si="44"/>
        <v>0</v>
      </c>
      <c r="AU131" s="29">
        <f t="shared" si="44"/>
        <v>0</v>
      </c>
      <c r="AV131" s="29">
        <f t="shared" si="44"/>
        <v>0</v>
      </c>
      <c r="AW131" s="29">
        <f t="shared" si="44"/>
        <v>0</v>
      </c>
      <c r="AX131" s="29">
        <f t="shared" si="44"/>
        <v>0</v>
      </c>
      <c r="AY131" s="29">
        <f t="shared" si="44"/>
        <v>0</v>
      </c>
      <c r="AZ131" s="29">
        <f t="shared" si="44"/>
        <v>0</v>
      </c>
      <c r="BA131" s="29">
        <f t="shared" si="44"/>
        <v>0</v>
      </c>
      <c r="BB131" s="29">
        <f t="shared" si="44"/>
        <v>0</v>
      </c>
      <c r="BC131" s="29">
        <f t="shared" si="44"/>
        <v>0</v>
      </c>
      <c r="BD131" s="29">
        <f t="shared" si="44"/>
        <v>0</v>
      </c>
      <c r="BE131" s="29">
        <f t="shared" si="44"/>
        <v>0</v>
      </c>
      <c r="BF131" s="29">
        <f t="shared" si="44"/>
        <v>0</v>
      </c>
      <c r="BG131" s="29">
        <f t="shared" si="44"/>
        <v>0</v>
      </c>
      <c r="BH131" s="29">
        <f t="shared" si="44"/>
        <v>0</v>
      </c>
      <c r="BI131" s="29">
        <f t="shared" si="44"/>
        <v>0</v>
      </c>
      <c r="BJ131" s="29">
        <f t="shared" si="44"/>
        <v>0</v>
      </c>
      <c r="BK131" s="29">
        <f t="shared" si="44"/>
        <v>0</v>
      </c>
      <c r="BL131" s="29">
        <f t="shared" si="44"/>
        <v>0</v>
      </c>
      <c r="BM131" s="29">
        <f t="shared" si="44"/>
        <v>0</v>
      </c>
      <c r="BN131" s="29">
        <f t="shared" si="44"/>
        <v>0</v>
      </c>
      <c r="BO131" s="29">
        <f t="shared" ref="BO131:BP131" si="45">SUM(BO76,BO69,BO54,BO42,BO24,BO9)</f>
        <v>0</v>
      </c>
      <c r="BP131" s="29">
        <f t="shared" si="45"/>
        <v>0</v>
      </c>
    </row>
    <row r="132" spans="1:68" x14ac:dyDescent="0.35">
      <c r="A132" t="s">
        <v>173</v>
      </c>
      <c r="B132" s="31">
        <f t="shared" si="35"/>
        <v>11906</v>
      </c>
      <c r="C132" s="29">
        <f t="shared" ref="C132:BN132" si="46">SUM(C104,C88,C43,C33,C25,C10)</f>
        <v>1612</v>
      </c>
      <c r="D132" s="29">
        <f t="shared" si="46"/>
        <v>0</v>
      </c>
      <c r="E132" s="29">
        <f t="shared" si="46"/>
        <v>0</v>
      </c>
      <c r="F132" s="29">
        <f t="shared" si="46"/>
        <v>0</v>
      </c>
      <c r="G132" s="29">
        <f t="shared" si="46"/>
        <v>0</v>
      </c>
      <c r="H132" s="29">
        <f t="shared" si="46"/>
        <v>0</v>
      </c>
      <c r="I132" s="29">
        <f t="shared" si="46"/>
        <v>0</v>
      </c>
      <c r="J132" s="29">
        <f t="shared" si="46"/>
        <v>0</v>
      </c>
      <c r="K132" s="29">
        <f t="shared" si="46"/>
        <v>0</v>
      </c>
      <c r="L132" s="29">
        <f t="shared" si="46"/>
        <v>0</v>
      </c>
      <c r="M132" s="29">
        <f t="shared" si="46"/>
        <v>90</v>
      </c>
      <c r="N132" s="29">
        <f t="shared" si="46"/>
        <v>0</v>
      </c>
      <c r="O132" s="29">
        <f t="shared" si="46"/>
        <v>40</v>
      </c>
      <c r="P132" s="29">
        <f t="shared" si="46"/>
        <v>0</v>
      </c>
      <c r="Q132" s="29">
        <f t="shared" si="46"/>
        <v>32</v>
      </c>
      <c r="R132" s="29">
        <f t="shared" si="46"/>
        <v>1241</v>
      </c>
      <c r="S132" s="29">
        <f t="shared" si="46"/>
        <v>667</v>
      </c>
      <c r="T132" s="29">
        <f t="shared" si="46"/>
        <v>1057</v>
      </c>
      <c r="U132" s="29">
        <f t="shared" si="46"/>
        <v>539</v>
      </c>
      <c r="V132" s="29">
        <f t="shared" si="46"/>
        <v>558</v>
      </c>
      <c r="W132" s="29">
        <f t="shared" si="46"/>
        <v>2231</v>
      </c>
      <c r="X132" s="29">
        <f t="shared" si="46"/>
        <v>297</v>
      </c>
      <c r="Y132" s="29">
        <f t="shared" si="46"/>
        <v>387</v>
      </c>
      <c r="Z132" s="29">
        <f t="shared" si="46"/>
        <v>247</v>
      </c>
      <c r="AA132" s="29">
        <f t="shared" si="46"/>
        <v>1124</v>
      </c>
      <c r="AB132" s="29">
        <f t="shared" si="46"/>
        <v>1029</v>
      </c>
      <c r="AC132" s="29">
        <f t="shared" si="46"/>
        <v>324</v>
      </c>
      <c r="AD132" s="29">
        <f t="shared" si="46"/>
        <v>431</v>
      </c>
      <c r="AE132" s="29">
        <f t="shared" si="46"/>
        <v>0</v>
      </c>
      <c r="AF132" s="29">
        <f t="shared" si="46"/>
        <v>0</v>
      </c>
      <c r="AG132" s="29">
        <f t="shared" si="46"/>
        <v>0</v>
      </c>
      <c r="AH132" s="29">
        <f t="shared" si="46"/>
        <v>0</v>
      </c>
      <c r="AI132" s="29">
        <f t="shared" si="46"/>
        <v>0</v>
      </c>
      <c r="AJ132" s="29">
        <f t="shared" si="46"/>
        <v>0</v>
      </c>
      <c r="AK132" s="29">
        <f t="shared" si="46"/>
        <v>0</v>
      </c>
      <c r="AL132" s="29">
        <f t="shared" si="46"/>
        <v>0</v>
      </c>
      <c r="AM132" s="29">
        <f t="shared" si="46"/>
        <v>0</v>
      </c>
      <c r="AN132" s="29">
        <f t="shared" si="46"/>
        <v>0</v>
      </c>
      <c r="AO132" s="29">
        <f t="shared" si="46"/>
        <v>0</v>
      </c>
      <c r="AP132" s="29">
        <f t="shared" si="46"/>
        <v>0</v>
      </c>
      <c r="AQ132" s="29">
        <f t="shared" si="46"/>
        <v>0</v>
      </c>
      <c r="AR132" s="29">
        <f t="shared" si="46"/>
        <v>0</v>
      </c>
      <c r="AS132" s="29">
        <f t="shared" si="46"/>
        <v>0</v>
      </c>
      <c r="AT132" s="29">
        <f t="shared" si="46"/>
        <v>0</v>
      </c>
      <c r="AU132" s="29">
        <f t="shared" si="46"/>
        <v>0</v>
      </c>
      <c r="AV132" s="29">
        <f t="shared" si="46"/>
        <v>0</v>
      </c>
      <c r="AW132" s="29">
        <f t="shared" si="46"/>
        <v>0</v>
      </c>
      <c r="AX132" s="29">
        <f t="shared" si="46"/>
        <v>0</v>
      </c>
      <c r="AY132" s="29">
        <f t="shared" si="46"/>
        <v>0</v>
      </c>
      <c r="AZ132" s="29">
        <f t="shared" si="46"/>
        <v>0</v>
      </c>
      <c r="BA132" s="29">
        <f t="shared" si="46"/>
        <v>0</v>
      </c>
      <c r="BB132" s="29">
        <f t="shared" si="46"/>
        <v>0</v>
      </c>
      <c r="BC132" s="29">
        <f t="shared" si="46"/>
        <v>0</v>
      </c>
      <c r="BD132" s="29">
        <f t="shared" si="46"/>
        <v>0</v>
      </c>
      <c r="BE132" s="29">
        <f t="shared" si="46"/>
        <v>0</v>
      </c>
      <c r="BF132" s="29">
        <f t="shared" si="46"/>
        <v>0</v>
      </c>
      <c r="BG132" s="29">
        <f t="shared" si="46"/>
        <v>0</v>
      </c>
      <c r="BH132" s="29">
        <f t="shared" si="46"/>
        <v>0</v>
      </c>
      <c r="BI132" s="29">
        <f t="shared" si="46"/>
        <v>0</v>
      </c>
      <c r="BJ132" s="29">
        <f t="shared" si="46"/>
        <v>0</v>
      </c>
      <c r="BK132" s="29">
        <f t="shared" si="46"/>
        <v>0</v>
      </c>
      <c r="BL132" s="29">
        <f t="shared" si="46"/>
        <v>0</v>
      </c>
      <c r="BM132" s="29">
        <f t="shared" si="46"/>
        <v>0</v>
      </c>
      <c r="BN132" s="29">
        <f t="shared" si="46"/>
        <v>0</v>
      </c>
      <c r="BO132" s="29">
        <f t="shared" ref="BO132:BP132" si="47">SUM(BO104,BO88,BO43,BO33,BO25,BO10)</f>
        <v>0</v>
      </c>
      <c r="BP132" s="29">
        <f t="shared" si="47"/>
        <v>0</v>
      </c>
    </row>
    <row r="133" spans="1:68" x14ac:dyDescent="0.35">
      <c r="A133" t="s">
        <v>187</v>
      </c>
      <c r="B133" s="31">
        <f t="shared" si="35"/>
        <v>71</v>
      </c>
      <c r="C133" s="29">
        <f>SUM(C105)</f>
        <v>0</v>
      </c>
      <c r="D133" s="29">
        <f t="shared" ref="D133:BO133" si="48">SUM(D105)</f>
        <v>0</v>
      </c>
      <c r="E133" s="29">
        <f t="shared" si="48"/>
        <v>0</v>
      </c>
      <c r="F133" s="29">
        <f t="shared" si="48"/>
        <v>0</v>
      </c>
      <c r="G133" s="29">
        <f t="shared" si="48"/>
        <v>0</v>
      </c>
      <c r="H133" s="29">
        <f t="shared" si="48"/>
        <v>0</v>
      </c>
      <c r="I133" s="29">
        <f t="shared" si="48"/>
        <v>0</v>
      </c>
      <c r="J133" s="29">
        <f t="shared" si="48"/>
        <v>0</v>
      </c>
      <c r="K133" s="29">
        <f t="shared" si="48"/>
        <v>0</v>
      </c>
      <c r="L133" s="29">
        <f t="shared" si="48"/>
        <v>0</v>
      </c>
      <c r="M133" s="29">
        <f t="shared" si="48"/>
        <v>0</v>
      </c>
      <c r="N133" s="29">
        <f t="shared" si="48"/>
        <v>0</v>
      </c>
      <c r="O133" s="29">
        <f t="shared" si="48"/>
        <v>0</v>
      </c>
      <c r="P133" s="29">
        <f t="shared" si="48"/>
        <v>0</v>
      </c>
      <c r="Q133" s="29">
        <f t="shared" si="48"/>
        <v>0</v>
      </c>
      <c r="R133" s="29">
        <f t="shared" si="48"/>
        <v>0</v>
      </c>
      <c r="S133" s="29">
        <f t="shared" si="48"/>
        <v>0</v>
      </c>
      <c r="T133" s="29">
        <f t="shared" si="48"/>
        <v>0</v>
      </c>
      <c r="U133" s="29">
        <f t="shared" si="48"/>
        <v>0</v>
      </c>
      <c r="V133" s="29">
        <f t="shared" si="48"/>
        <v>0</v>
      </c>
      <c r="W133" s="29">
        <f t="shared" si="48"/>
        <v>0</v>
      </c>
      <c r="X133" s="29">
        <f t="shared" si="48"/>
        <v>0</v>
      </c>
      <c r="Y133" s="29">
        <f t="shared" si="48"/>
        <v>0</v>
      </c>
      <c r="Z133" s="29">
        <f t="shared" si="48"/>
        <v>0</v>
      </c>
      <c r="AA133" s="29">
        <f t="shared" si="48"/>
        <v>0</v>
      </c>
      <c r="AB133" s="29">
        <f t="shared" si="48"/>
        <v>0</v>
      </c>
      <c r="AC133" s="29">
        <f t="shared" si="48"/>
        <v>0</v>
      </c>
      <c r="AD133" s="29">
        <f t="shared" si="48"/>
        <v>0</v>
      </c>
      <c r="AE133" s="29">
        <f t="shared" si="48"/>
        <v>0</v>
      </c>
      <c r="AF133" s="29">
        <f t="shared" si="48"/>
        <v>0</v>
      </c>
      <c r="AG133" s="29">
        <f t="shared" si="48"/>
        <v>0</v>
      </c>
      <c r="AH133" s="29">
        <f t="shared" si="48"/>
        <v>0</v>
      </c>
      <c r="AI133" s="29">
        <f t="shared" si="48"/>
        <v>0</v>
      </c>
      <c r="AJ133" s="29">
        <f t="shared" si="48"/>
        <v>0</v>
      </c>
      <c r="AK133" s="29">
        <f t="shared" si="48"/>
        <v>0</v>
      </c>
      <c r="AL133" s="29">
        <f t="shared" si="48"/>
        <v>0</v>
      </c>
      <c r="AM133" s="29">
        <f t="shared" si="48"/>
        <v>0</v>
      </c>
      <c r="AN133" s="29">
        <f t="shared" si="48"/>
        <v>0</v>
      </c>
      <c r="AO133" s="29">
        <f t="shared" si="48"/>
        <v>0</v>
      </c>
      <c r="AP133" s="29">
        <f t="shared" si="48"/>
        <v>0</v>
      </c>
      <c r="AQ133" s="29">
        <f t="shared" si="48"/>
        <v>0</v>
      </c>
      <c r="AR133" s="29">
        <f t="shared" si="48"/>
        <v>0</v>
      </c>
      <c r="AS133" s="29">
        <f t="shared" si="48"/>
        <v>0</v>
      </c>
      <c r="AT133" s="29">
        <f t="shared" si="48"/>
        <v>0</v>
      </c>
      <c r="AU133" s="29">
        <f t="shared" si="48"/>
        <v>0</v>
      </c>
      <c r="AV133" s="29">
        <f t="shared" si="48"/>
        <v>0</v>
      </c>
      <c r="AW133" s="29">
        <f t="shared" si="48"/>
        <v>0</v>
      </c>
      <c r="AX133" s="29">
        <f t="shared" si="48"/>
        <v>0</v>
      </c>
      <c r="AY133" s="29">
        <f t="shared" si="48"/>
        <v>0</v>
      </c>
      <c r="AZ133" s="29">
        <f t="shared" si="48"/>
        <v>0</v>
      </c>
      <c r="BA133" s="29">
        <f t="shared" si="48"/>
        <v>71</v>
      </c>
      <c r="BB133" s="29">
        <f t="shared" si="48"/>
        <v>0</v>
      </c>
      <c r="BC133" s="29">
        <f t="shared" si="48"/>
        <v>0</v>
      </c>
      <c r="BD133" s="29">
        <f t="shared" si="48"/>
        <v>0</v>
      </c>
      <c r="BE133" s="29">
        <f t="shared" si="48"/>
        <v>0</v>
      </c>
      <c r="BF133" s="29">
        <f t="shared" si="48"/>
        <v>0</v>
      </c>
      <c r="BG133" s="29">
        <f t="shared" si="48"/>
        <v>0</v>
      </c>
      <c r="BH133" s="29">
        <f t="shared" si="48"/>
        <v>0</v>
      </c>
      <c r="BI133" s="29">
        <f t="shared" si="48"/>
        <v>0</v>
      </c>
      <c r="BJ133" s="29">
        <f t="shared" si="48"/>
        <v>0</v>
      </c>
      <c r="BK133" s="29">
        <f t="shared" si="48"/>
        <v>0</v>
      </c>
      <c r="BL133" s="29">
        <f t="shared" si="48"/>
        <v>0</v>
      </c>
      <c r="BM133" s="29">
        <f t="shared" si="48"/>
        <v>0</v>
      </c>
      <c r="BN133" s="29">
        <f t="shared" si="48"/>
        <v>0</v>
      </c>
      <c r="BO133" s="29">
        <f t="shared" si="48"/>
        <v>0</v>
      </c>
      <c r="BP133" s="29">
        <f t="shared" ref="BP133" si="49">SUM(BP105)</f>
        <v>0</v>
      </c>
    </row>
    <row r="134" spans="1:68" x14ac:dyDescent="0.35">
      <c r="A134" t="s">
        <v>185</v>
      </c>
      <c r="B134" s="31">
        <f t="shared" si="35"/>
        <v>386</v>
      </c>
      <c r="C134" s="29">
        <f>SUM(C90)</f>
        <v>386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</row>
    <row r="135" spans="1:68" x14ac:dyDescent="0.35">
      <c r="A135" t="s">
        <v>174</v>
      </c>
      <c r="B135" s="31">
        <f t="shared" si="35"/>
        <v>2367</v>
      </c>
      <c r="C135" s="29">
        <f t="shared" ref="C135:BN135" si="50">SUM(C89,C44,C34,C26,C11)</f>
        <v>135</v>
      </c>
      <c r="D135" s="29">
        <f t="shared" si="50"/>
        <v>0</v>
      </c>
      <c r="E135" s="29">
        <f t="shared" si="50"/>
        <v>0</v>
      </c>
      <c r="F135" s="29">
        <f t="shared" si="50"/>
        <v>0</v>
      </c>
      <c r="G135" s="29">
        <f t="shared" si="50"/>
        <v>0</v>
      </c>
      <c r="H135" s="29">
        <f t="shared" si="50"/>
        <v>0</v>
      </c>
      <c r="I135" s="29">
        <f t="shared" si="50"/>
        <v>0</v>
      </c>
      <c r="J135" s="29">
        <f t="shared" si="50"/>
        <v>0</v>
      </c>
      <c r="K135" s="29">
        <f t="shared" si="50"/>
        <v>0</v>
      </c>
      <c r="L135" s="29">
        <f t="shared" si="50"/>
        <v>0</v>
      </c>
      <c r="M135" s="29">
        <f t="shared" si="50"/>
        <v>0</v>
      </c>
      <c r="N135" s="29">
        <f t="shared" si="50"/>
        <v>0</v>
      </c>
      <c r="O135" s="29">
        <f t="shared" si="50"/>
        <v>0</v>
      </c>
      <c r="P135" s="29">
        <f t="shared" si="50"/>
        <v>0</v>
      </c>
      <c r="Q135" s="29">
        <f t="shared" si="50"/>
        <v>0</v>
      </c>
      <c r="R135" s="29">
        <f t="shared" si="50"/>
        <v>0</v>
      </c>
      <c r="S135" s="29">
        <f t="shared" si="50"/>
        <v>122</v>
      </c>
      <c r="T135" s="29">
        <f t="shared" si="50"/>
        <v>89</v>
      </c>
      <c r="U135" s="29">
        <f t="shared" si="50"/>
        <v>30</v>
      </c>
      <c r="V135" s="29">
        <f t="shared" si="50"/>
        <v>98</v>
      </c>
      <c r="W135" s="29">
        <f t="shared" si="50"/>
        <v>453</v>
      </c>
      <c r="X135" s="29">
        <f t="shared" si="50"/>
        <v>207</v>
      </c>
      <c r="Y135" s="29">
        <f t="shared" si="50"/>
        <v>252</v>
      </c>
      <c r="Z135" s="29">
        <f t="shared" si="50"/>
        <v>75</v>
      </c>
      <c r="AA135" s="29">
        <f t="shared" si="50"/>
        <v>166</v>
      </c>
      <c r="AB135" s="29">
        <f t="shared" si="50"/>
        <v>0</v>
      </c>
      <c r="AC135" s="29">
        <f t="shared" si="50"/>
        <v>0</v>
      </c>
      <c r="AD135" s="29">
        <f t="shared" si="50"/>
        <v>740</v>
      </c>
      <c r="AE135" s="29">
        <f t="shared" si="50"/>
        <v>0</v>
      </c>
      <c r="AF135" s="29">
        <f t="shared" si="50"/>
        <v>0</v>
      </c>
      <c r="AG135" s="29">
        <f t="shared" si="50"/>
        <v>0</v>
      </c>
      <c r="AH135" s="29">
        <f t="shared" si="50"/>
        <v>0</v>
      </c>
      <c r="AI135" s="29">
        <f t="shared" si="50"/>
        <v>0</v>
      </c>
      <c r="AJ135" s="29">
        <f t="shared" si="50"/>
        <v>0</v>
      </c>
      <c r="AK135" s="29">
        <f t="shared" si="50"/>
        <v>0</v>
      </c>
      <c r="AL135" s="29">
        <f t="shared" si="50"/>
        <v>0</v>
      </c>
      <c r="AM135" s="29">
        <f t="shared" si="50"/>
        <v>0</v>
      </c>
      <c r="AN135" s="29">
        <f t="shared" si="50"/>
        <v>0</v>
      </c>
      <c r="AO135" s="29">
        <f t="shared" si="50"/>
        <v>0</v>
      </c>
      <c r="AP135" s="29">
        <f t="shared" si="50"/>
        <v>0</v>
      </c>
      <c r="AQ135" s="29">
        <f t="shared" si="50"/>
        <v>0</v>
      </c>
      <c r="AR135" s="29">
        <f t="shared" si="50"/>
        <v>0</v>
      </c>
      <c r="AS135" s="29">
        <f t="shared" si="50"/>
        <v>0</v>
      </c>
      <c r="AT135" s="29">
        <f t="shared" si="50"/>
        <v>0</v>
      </c>
      <c r="AU135" s="29">
        <f t="shared" si="50"/>
        <v>0</v>
      </c>
      <c r="AV135" s="29">
        <f t="shared" si="50"/>
        <v>0</v>
      </c>
      <c r="AW135" s="29">
        <f t="shared" si="50"/>
        <v>0</v>
      </c>
      <c r="AX135" s="29">
        <f t="shared" si="50"/>
        <v>0</v>
      </c>
      <c r="AY135" s="29">
        <f t="shared" si="50"/>
        <v>0</v>
      </c>
      <c r="AZ135" s="29">
        <f t="shared" si="50"/>
        <v>0</v>
      </c>
      <c r="BA135" s="29">
        <f t="shared" si="50"/>
        <v>0</v>
      </c>
      <c r="BB135" s="29">
        <f t="shared" si="50"/>
        <v>0</v>
      </c>
      <c r="BC135" s="29">
        <f t="shared" si="50"/>
        <v>0</v>
      </c>
      <c r="BD135" s="29">
        <f t="shared" si="50"/>
        <v>0</v>
      </c>
      <c r="BE135" s="29">
        <f t="shared" si="50"/>
        <v>0</v>
      </c>
      <c r="BF135" s="29">
        <f t="shared" si="50"/>
        <v>0</v>
      </c>
      <c r="BG135" s="29">
        <f t="shared" si="50"/>
        <v>0</v>
      </c>
      <c r="BH135" s="29">
        <f t="shared" si="50"/>
        <v>0</v>
      </c>
      <c r="BI135" s="29">
        <f t="shared" si="50"/>
        <v>0</v>
      </c>
      <c r="BJ135" s="29">
        <f t="shared" si="50"/>
        <v>0</v>
      </c>
      <c r="BK135" s="29">
        <f t="shared" si="50"/>
        <v>0</v>
      </c>
      <c r="BL135" s="29">
        <f t="shared" si="50"/>
        <v>0</v>
      </c>
      <c r="BM135" s="29">
        <f t="shared" si="50"/>
        <v>0</v>
      </c>
      <c r="BN135" s="29">
        <f t="shared" si="50"/>
        <v>0</v>
      </c>
      <c r="BO135" s="29">
        <f t="shared" ref="BO135:BP135" si="51">SUM(BO89,BO44,BO34,BO26,BO11)</f>
        <v>0</v>
      </c>
      <c r="BP135" s="29">
        <f t="shared" si="51"/>
        <v>0</v>
      </c>
    </row>
    <row r="136" spans="1:68" x14ac:dyDescent="0.35">
      <c r="A136" t="s">
        <v>175</v>
      </c>
      <c r="B136" s="31">
        <f t="shared" si="35"/>
        <v>3211</v>
      </c>
      <c r="C136" s="29">
        <f t="shared" ref="C136:BN136" si="52">SUM(C12)</f>
        <v>3211</v>
      </c>
      <c r="D136" s="29">
        <f t="shared" si="52"/>
        <v>0</v>
      </c>
      <c r="E136" s="29">
        <f t="shared" si="52"/>
        <v>0</v>
      </c>
      <c r="F136" s="29">
        <f t="shared" si="52"/>
        <v>0</v>
      </c>
      <c r="G136" s="29">
        <f t="shared" si="52"/>
        <v>0</v>
      </c>
      <c r="H136" s="29">
        <f t="shared" si="52"/>
        <v>0</v>
      </c>
      <c r="I136" s="29">
        <f t="shared" si="52"/>
        <v>0</v>
      </c>
      <c r="J136" s="29">
        <f t="shared" si="52"/>
        <v>0</v>
      </c>
      <c r="K136" s="29">
        <f t="shared" si="52"/>
        <v>0</v>
      </c>
      <c r="L136" s="29">
        <f t="shared" si="52"/>
        <v>0</v>
      </c>
      <c r="M136" s="29">
        <f t="shared" si="52"/>
        <v>0</v>
      </c>
      <c r="N136" s="29">
        <f t="shared" si="52"/>
        <v>0</v>
      </c>
      <c r="O136" s="29">
        <f t="shared" si="52"/>
        <v>0</v>
      </c>
      <c r="P136" s="29">
        <f t="shared" si="52"/>
        <v>0</v>
      </c>
      <c r="Q136" s="29">
        <f t="shared" si="52"/>
        <v>0</v>
      </c>
      <c r="R136" s="29">
        <f t="shared" si="52"/>
        <v>0</v>
      </c>
      <c r="S136" s="29">
        <f t="shared" si="52"/>
        <v>0</v>
      </c>
      <c r="T136" s="29">
        <f t="shared" si="52"/>
        <v>0</v>
      </c>
      <c r="U136" s="29">
        <f t="shared" si="52"/>
        <v>0</v>
      </c>
      <c r="V136" s="29">
        <f t="shared" si="52"/>
        <v>0</v>
      </c>
      <c r="W136" s="29">
        <f t="shared" si="52"/>
        <v>0</v>
      </c>
      <c r="X136" s="29">
        <f t="shared" si="52"/>
        <v>0</v>
      </c>
      <c r="Y136" s="29">
        <f t="shared" si="52"/>
        <v>0</v>
      </c>
      <c r="Z136" s="29">
        <f t="shared" si="52"/>
        <v>0</v>
      </c>
      <c r="AA136" s="29">
        <f t="shared" si="52"/>
        <v>0</v>
      </c>
      <c r="AB136" s="29">
        <f t="shared" si="52"/>
        <v>0</v>
      </c>
      <c r="AC136" s="29">
        <f t="shared" si="52"/>
        <v>0</v>
      </c>
      <c r="AD136" s="29">
        <f t="shared" si="52"/>
        <v>0</v>
      </c>
      <c r="AE136" s="29">
        <f t="shared" si="52"/>
        <v>0</v>
      </c>
      <c r="AF136" s="29">
        <f t="shared" si="52"/>
        <v>0</v>
      </c>
      <c r="AG136" s="29">
        <f t="shared" si="52"/>
        <v>0</v>
      </c>
      <c r="AH136" s="29">
        <f t="shared" si="52"/>
        <v>0</v>
      </c>
      <c r="AI136" s="29">
        <f t="shared" si="52"/>
        <v>0</v>
      </c>
      <c r="AJ136" s="29">
        <f t="shared" si="52"/>
        <v>0</v>
      </c>
      <c r="AK136" s="29">
        <f t="shared" si="52"/>
        <v>0</v>
      </c>
      <c r="AL136" s="29">
        <f t="shared" si="52"/>
        <v>0</v>
      </c>
      <c r="AM136" s="29">
        <f t="shared" si="52"/>
        <v>0</v>
      </c>
      <c r="AN136" s="29">
        <f t="shared" si="52"/>
        <v>0</v>
      </c>
      <c r="AO136" s="29">
        <f t="shared" si="52"/>
        <v>0</v>
      </c>
      <c r="AP136" s="29">
        <f t="shared" si="52"/>
        <v>0</v>
      </c>
      <c r="AQ136" s="29">
        <f t="shared" si="52"/>
        <v>0</v>
      </c>
      <c r="AR136" s="29">
        <f t="shared" si="52"/>
        <v>0</v>
      </c>
      <c r="AS136" s="29">
        <f t="shared" si="52"/>
        <v>0</v>
      </c>
      <c r="AT136" s="29">
        <f t="shared" si="52"/>
        <v>0</v>
      </c>
      <c r="AU136" s="29">
        <f t="shared" si="52"/>
        <v>0</v>
      </c>
      <c r="AV136" s="29">
        <f t="shared" si="52"/>
        <v>0</v>
      </c>
      <c r="AW136" s="29">
        <f t="shared" si="52"/>
        <v>0</v>
      </c>
      <c r="AX136" s="29">
        <f t="shared" si="52"/>
        <v>0</v>
      </c>
      <c r="AY136" s="29">
        <f t="shared" si="52"/>
        <v>0</v>
      </c>
      <c r="AZ136" s="29">
        <f t="shared" si="52"/>
        <v>0</v>
      </c>
      <c r="BA136" s="29">
        <f t="shared" si="52"/>
        <v>0</v>
      </c>
      <c r="BB136" s="29">
        <f t="shared" si="52"/>
        <v>0</v>
      </c>
      <c r="BC136" s="29">
        <f t="shared" si="52"/>
        <v>0</v>
      </c>
      <c r="BD136" s="29">
        <f t="shared" si="52"/>
        <v>0</v>
      </c>
      <c r="BE136" s="29">
        <f t="shared" si="52"/>
        <v>0</v>
      </c>
      <c r="BF136" s="29">
        <f t="shared" si="52"/>
        <v>0</v>
      </c>
      <c r="BG136" s="29">
        <f t="shared" si="52"/>
        <v>0</v>
      </c>
      <c r="BH136" s="29">
        <f t="shared" si="52"/>
        <v>0</v>
      </c>
      <c r="BI136" s="29">
        <f t="shared" si="52"/>
        <v>0</v>
      </c>
      <c r="BJ136" s="29">
        <f t="shared" si="52"/>
        <v>0</v>
      </c>
      <c r="BK136" s="29">
        <f t="shared" si="52"/>
        <v>0</v>
      </c>
      <c r="BL136" s="29">
        <f t="shared" si="52"/>
        <v>0</v>
      </c>
      <c r="BM136" s="29">
        <f t="shared" si="52"/>
        <v>0</v>
      </c>
      <c r="BN136" s="29">
        <f t="shared" si="52"/>
        <v>0</v>
      </c>
      <c r="BO136" s="29">
        <f t="shared" ref="BO136:BP136" si="53">SUM(BO12)</f>
        <v>0</v>
      </c>
      <c r="BP136" s="29">
        <f t="shared" si="53"/>
        <v>0</v>
      </c>
    </row>
    <row r="137" spans="1:68" x14ac:dyDescent="0.35">
      <c r="A137" t="s">
        <v>97</v>
      </c>
      <c r="B137" s="31">
        <f t="shared" si="35"/>
        <v>2850</v>
      </c>
      <c r="C137" s="29">
        <f t="shared" ref="C137:BN137" si="54">SUM(C120,C91,C77,C61,C45,C35,C13)</f>
        <v>2765</v>
      </c>
      <c r="D137" s="29">
        <f t="shared" si="54"/>
        <v>0</v>
      </c>
      <c r="E137" s="29">
        <f t="shared" si="54"/>
        <v>0</v>
      </c>
      <c r="F137" s="29">
        <f t="shared" si="54"/>
        <v>0</v>
      </c>
      <c r="G137" s="29">
        <f t="shared" si="54"/>
        <v>0</v>
      </c>
      <c r="H137" s="29">
        <f t="shared" si="54"/>
        <v>0</v>
      </c>
      <c r="I137" s="29">
        <f t="shared" si="54"/>
        <v>0</v>
      </c>
      <c r="J137" s="29">
        <f t="shared" si="54"/>
        <v>0</v>
      </c>
      <c r="K137" s="29">
        <f t="shared" si="54"/>
        <v>0</v>
      </c>
      <c r="L137" s="29">
        <f t="shared" si="54"/>
        <v>0</v>
      </c>
      <c r="M137" s="29">
        <f t="shared" si="54"/>
        <v>73</v>
      </c>
      <c r="N137" s="29">
        <f t="shared" si="54"/>
        <v>0</v>
      </c>
      <c r="O137" s="29">
        <f t="shared" si="54"/>
        <v>12</v>
      </c>
      <c r="P137" s="29">
        <f t="shared" si="54"/>
        <v>0</v>
      </c>
      <c r="Q137" s="29">
        <f t="shared" si="54"/>
        <v>0</v>
      </c>
      <c r="R137" s="29">
        <f t="shared" si="54"/>
        <v>0</v>
      </c>
      <c r="S137" s="29">
        <f t="shared" si="54"/>
        <v>0</v>
      </c>
      <c r="T137" s="29">
        <f t="shared" si="54"/>
        <v>0</v>
      </c>
      <c r="U137" s="29">
        <f t="shared" si="54"/>
        <v>0</v>
      </c>
      <c r="V137" s="29">
        <f t="shared" si="54"/>
        <v>0</v>
      </c>
      <c r="W137" s="29">
        <f t="shared" si="54"/>
        <v>0</v>
      </c>
      <c r="X137" s="29">
        <f t="shared" si="54"/>
        <v>0</v>
      </c>
      <c r="Y137" s="29">
        <f t="shared" si="54"/>
        <v>0</v>
      </c>
      <c r="Z137" s="29">
        <f t="shared" si="54"/>
        <v>0</v>
      </c>
      <c r="AA137" s="29">
        <f t="shared" si="54"/>
        <v>0</v>
      </c>
      <c r="AB137" s="29">
        <f t="shared" si="54"/>
        <v>0</v>
      </c>
      <c r="AC137" s="29">
        <f t="shared" si="54"/>
        <v>0</v>
      </c>
      <c r="AD137" s="29">
        <f t="shared" si="54"/>
        <v>0</v>
      </c>
      <c r="AE137" s="29">
        <f t="shared" si="54"/>
        <v>0</v>
      </c>
      <c r="AF137" s="29">
        <f t="shared" si="54"/>
        <v>0</v>
      </c>
      <c r="AG137" s="29">
        <f t="shared" si="54"/>
        <v>0</v>
      </c>
      <c r="AH137" s="29">
        <f t="shared" si="54"/>
        <v>0</v>
      </c>
      <c r="AI137" s="29">
        <f t="shared" si="54"/>
        <v>0</v>
      </c>
      <c r="AJ137" s="29">
        <f t="shared" si="54"/>
        <v>0</v>
      </c>
      <c r="AK137" s="29">
        <f t="shared" si="54"/>
        <v>0</v>
      </c>
      <c r="AL137" s="29">
        <f t="shared" si="54"/>
        <v>0</v>
      </c>
      <c r="AM137" s="29">
        <f t="shared" si="54"/>
        <v>0</v>
      </c>
      <c r="AN137" s="29">
        <f t="shared" si="54"/>
        <v>0</v>
      </c>
      <c r="AO137" s="29">
        <f t="shared" si="54"/>
        <v>0</v>
      </c>
      <c r="AP137" s="29">
        <f t="shared" si="54"/>
        <v>0</v>
      </c>
      <c r="AQ137" s="29">
        <f t="shared" si="54"/>
        <v>0</v>
      </c>
      <c r="AR137" s="29">
        <f t="shared" si="54"/>
        <v>0</v>
      </c>
      <c r="AS137" s="29">
        <f t="shared" si="54"/>
        <v>0</v>
      </c>
      <c r="AT137" s="29">
        <f t="shared" si="54"/>
        <v>0</v>
      </c>
      <c r="AU137" s="29">
        <f t="shared" si="54"/>
        <v>0</v>
      </c>
      <c r="AV137" s="29">
        <f t="shared" si="54"/>
        <v>0</v>
      </c>
      <c r="AW137" s="29">
        <f t="shared" si="54"/>
        <v>0</v>
      </c>
      <c r="AX137" s="29">
        <f t="shared" si="54"/>
        <v>0</v>
      </c>
      <c r="AY137" s="29">
        <f t="shared" si="54"/>
        <v>0</v>
      </c>
      <c r="AZ137" s="29">
        <f t="shared" si="54"/>
        <v>0</v>
      </c>
      <c r="BA137" s="29">
        <f t="shared" si="54"/>
        <v>0</v>
      </c>
      <c r="BB137" s="29">
        <f t="shared" si="54"/>
        <v>0</v>
      </c>
      <c r="BC137" s="29">
        <f t="shared" si="54"/>
        <v>0</v>
      </c>
      <c r="BD137" s="29">
        <f t="shared" si="54"/>
        <v>0</v>
      </c>
      <c r="BE137" s="29">
        <f t="shared" si="54"/>
        <v>0</v>
      </c>
      <c r="BF137" s="29">
        <f t="shared" si="54"/>
        <v>0</v>
      </c>
      <c r="BG137" s="29">
        <f t="shared" si="54"/>
        <v>0</v>
      </c>
      <c r="BH137" s="29">
        <f t="shared" si="54"/>
        <v>0</v>
      </c>
      <c r="BI137" s="29">
        <f t="shared" si="54"/>
        <v>0</v>
      </c>
      <c r="BJ137" s="29">
        <f t="shared" si="54"/>
        <v>0</v>
      </c>
      <c r="BK137" s="29">
        <f t="shared" si="54"/>
        <v>0</v>
      </c>
      <c r="BL137" s="29">
        <f t="shared" si="54"/>
        <v>0</v>
      </c>
      <c r="BM137" s="29">
        <f t="shared" si="54"/>
        <v>0</v>
      </c>
      <c r="BN137" s="29">
        <f t="shared" si="54"/>
        <v>0</v>
      </c>
      <c r="BO137" s="29">
        <f t="shared" ref="BO137:BP137" si="55">SUM(BO120,BO91,BO77,BO61,BO45,BO35,BO13)</f>
        <v>0</v>
      </c>
      <c r="BP137" s="29">
        <f t="shared" si="55"/>
        <v>0</v>
      </c>
    </row>
    <row r="138" spans="1:68" x14ac:dyDescent="0.35">
      <c r="A138" t="s">
        <v>176</v>
      </c>
      <c r="B138" s="31">
        <f t="shared" si="35"/>
        <v>2003</v>
      </c>
      <c r="C138" s="29">
        <f t="shared" ref="C138:BN138" si="56">SUM(C92,C78,C62,C46,C14)</f>
        <v>80</v>
      </c>
      <c r="D138" s="29">
        <f t="shared" si="56"/>
        <v>0</v>
      </c>
      <c r="E138" s="29">
        <f t="shared" si="56"/>
        <v>0</v>
      </c>
      <c r="F138" s="29">
        <f t="shared" si="56"/>
        <v>0</v>
      </c>
      <c r="G138" s="29">
        <f t="shared" si="56"/>
        <v>0</v>
      </c>
      <c r="H138" s="29">
        <f t="shared" si="56"/>
        <v>0</v>
      </c>
      <c r="I138" s="29">
        <f t="shared" si="56"/>
        <v>0</v>
      </c>
      <c r="J138" s="29">
        <f t="shared" si="56"/>
        <v>0</v>
      </c>
      <c r="K138" s="29">
        <f t="shared" si="56"/>
        <v>794</v>
      </c>
      <c r="L138" s="29">
        <f t="shared" si="56"/>
        <v>487</v>
      </c>
      <c r="M138" s="29">
        <f t="shared" si="56"/>
        <v>144</v>
      </c>
      <c r="N138" s="29">
        <f t="shared" si="56"/>
        <v>145</v>
      </c>
      <c r="O138" s="29">
        <f t="shared" si="56"/>
        <v>0</v>
      </c>
      <c r="P138" s="29">
        <f t="shared" si="56"/>
        <v>0</v>
      </c>
      <c r="Q138" s="29">
        <f t="shared" si="56"/>
        <v>46</v>
      </c>
      <c r="R138" s="29">
        <f t="shared" si="56"/>
        <v>50</v>
      </c>
      <c r="S138" s="29">
        <f t="shared" si="56"/>
        <v>205</v>
      </c>
      <c r="T138" s="29">
        <f t="shared" si="56"/>
        <v>0</v>
      </c>
      <c r="U138" s="29">
        <f t="shared" si="56"/>
        <v>0</v>
      </c>
      <c r="V138" s="29">
        <f t="shared" si="56"/>
        <v>0</v>
      </c>
      <c r="W138" s="29">
        <f t="shared" si="56"/>
        <v>0</v>
      </c>
      <c r="X138" s="29">
        <f t="shared" si="56"/>
        <v>0</v>
      </c>
      <c r="Y138" s="29">
        <f t="shared" si="56"/>
        <v>0</v>
      </c>
      <c r="Z138" s="29">
        <f t="shared" si="56"/>
        <v>52</v>
      </c>
      <c r="AA138" s="29">
        <f t="shared" si="56"/>
        <v>0</v>
      </c>
      <c r="AB138" s="29">
        <f t="shared" si="56"/>
        <v>0</v>
      </c>
      <c r="AC138" s="29">
        <f t="shared" si="56"/>
        <v>0</v>
      </c>
      <c r="AD138" s="29">
        <f t="shared" si="56"/>
        <v>0</v>
      </c>
      <c r="AE138" s="29">
        <f t="shared" si="56"/>
        <v>0</v>
      </c>
      <c r="AF138" s="29">
        <f t="shared" si="56"/>
        <v>0</v>
      </c>
      <c r="AG138" s="29">
        <f t="shared" si="56"/>
        <v>0</v>
      </c>
      <c r="AH138" s="29">
        <f t="shared" si="56"/>
        <v>0</v>
      </c>
      <c r="AI138" s="29">
        <f t="shared" si="56"/>
        <v>0</v>
      </c>
      <c r="AJ138" s="29">
        <f t="shared" si="56"/>
        <v>0</v>
      </c>
      <c r="AK138" s="29">
        <f t="shared" si="56"/>
        <v>0</v>
      </c>
      <c r="AL138" s="29">
        <f t="shared" si="56"/>
        <v>0</v>
      </c>
      <c r="AM138" s="29">
        <f t="shared" si="56"/>
        <v>0</v>
      </c>
      <c r="AN138" s="29">
        <f t="shared" si="56"/>
        <v>0</v>
      </c>
      <c r="AO138" s="29">
        <f t="shared" si="56"/>
        <v>0</v>
      </c>
      <c r="AP138" s="29">
        <f t="shared" si="56"/>
        <v>0</v>
      </c>
      <c r="AQ138" s="29">
        <f t="shared" si="56"/>
        <v>0</v>
      </c>
      <c r="AR138" s="29">
        <f t="shared" si="56"/>
        <v>0</v>
      </c>
      <c r="AS138" s="29">
        <f t="shared" si="56"/>
        <v>0</v>
      </c>
      <c r="AT138" s="29">
        <f t="shared" si="56"/>
        <v>0</v>
      </c>
      <c r="AU138" s="29">
        <f t="shared" si="56"/>
        <v>0</v>
      </c>
      <c r="AV138" s="29">
        <f t="shared" si="56"/>
        <v>0</v>
      </c>
      <c r="AW138" s="29">
        <f t="shared" si="56"/>
        <v>0</v>
      </c>
      <c r="AX138" s="29">
        <f t="shared" si="56"/>
        <v>0</v>
      </c>
      <c r="AY138" s="29">
        <f t="shared" si="56"/>
        <v>0</v>
      </c>
      <c r="AZ138" s="29">
        <f t="shared" si="56"/>
        <v>0</v>
      </c>
      <c r="BA138" s="29">
        <f t="shared" si="56"/>
        <v>0</v>
      </c>
      <c r="BB138" s="29">
        <f t="shared" si="56"/>
        <v>0</v>
      </c>
      <c r="BC138" s="29">
        <f t="shared" si="56"/>
        <v>0</v>
      </c>
      <c r="BD138" s="29">
        <f t="shared" si="56"/>
        <v>0</v>
      </c>
      <c r="BE138" s="29">
        <f t="shared" si="56"/>
        <v>0</v>
      </c>
      <c r="BF138" s="29">
        <f t="shared" si="56"/>
        <v>0</v>
      </c>
      <c r="BG138" s="29">
        <f t="shared" si="56"/>
        <v>0</v>
      </c>
      <c r="BH138" s="29">
        <f t="shared" si="56"/>
        <v>0</v>
      </c>
      <c r="BI138" s="29">
        <f t="shared" si="56"/>
        <v>0</v>
      </c>
      <c r="BJ138" s="29">
        <f t="shared" si="56"/>
        <v>0</v>
      </c>
      <c r="BK138" s="29">
        <f t="shared" si="56"/>
        <v>0</v>
      </c>
      <c r="BL138" s="29">
        <f t="shared" si="56"/>
        <v>0</v>
      </c>
      <c r="BM138" s="29">
        <f t="shared" si="56"/>
        <v>0</v>
      </c>
      <c r="BN138" s="29">
        <f t="shared" si="56"/>
        <v>0</v>
      </c>
      <c r="BO138" s="29">
        <f t="shared" ref="BO138:BP138" si="57">SUM(BO92,BO78,BO62,BO46,BO14)</f>
        <v>0</v>
      </c>
      <c r="BP138" s="29">
        <f t="shared" si="57"/>
        <v>0</v>
      </c>
    </row>
    <row r="139" spans="1:68" x14ac:dyDescent="0.35">
      <c r="A139" t="s">
        <v>177</v>
      </c>
      <c r="B139" s="31">
        <f t="shared" si="35"/>
        <v>359364</v>
      </c>
      <c r="C139" s="29">
        <f t="shared" ref="C139:BN139" si="58">SUM(C106,C93,C70,C36,C27,C15,C47)</f>
        <v>35360</v>
      </c>
      <c r="D139" s="29">
        <f t="shared" si="58"/>
        <v>0</v>
      </c>
      <c r="E139" s="29">
        <f t="shared" si="58"/>
        <v>0</v>
      </c>
      <c r="F139" s="29">
        <f t="shared" si="58"/>
        <v>0</v>
      </c>
      <c r="G139" s="29">
        <f t="shared" si="58"/>
        <v>0</v>
      </c>
      <c r="H139" s="29">
        <f t="shared" si="58"/>
        <v>0</v>
      </c>
      <c r="I139" s="29">
        <f t="shared" si="58"/>
        <v>0</v>
      </c>
      <c r="J139" s="29">
        <f t="shared" si="58"/>
        <v>143</v>
      </c>
      <c r="K139" s="29">
        <f t="shared" si="58"/>
        <v>0</v>
      </c>
      <c r="L139" s="29">
        <f t="shared" si="58"/>
        <v>0</v>
      </c>
      <c r="M139" s="29">
        <f t="shared" si="58"/>
        <v>829</v>
      </c>
      <c r="N139" s="29">
        <f t="shared" si="58"/>
        <v>651</v>
      </c>
      <c r="O139" s="29">
        <f t="shared" si="58"/>
        <v>26654</v>
      </c>
      <c r="P139" s="29">
        <f t="shared" si="58"/>
        <v>18346</v>
      </c>
      <c r="Q139" s="29">
        <f t="shared" si="58"/>
        <v>77859</v>
      </c>
      <c r="R139" s="29">
        <f t="shared" si="58"/>
        <v>25704</v>
      </c>
      <c r="S139" s="29">
        <f t="shared" si="58"/>
        <v>12359</v>
      </c>
      <c r="T139" s="29">
        <f t="shared" si="58"/>
        <v>25192</v>
      </c>
      <c r="U139" s="29">
        <f t="shared" si="58"/>
        <v>16185</v>
      </c>
      <c r="V139" s="29">
        <f t="shared" si="58"/>
        <v>12653</v>
      </c>
      <c r="W139" s="29">
        <f t="shared" si="58"/>
        <v>11577</v>
      </c>
      <c r="X139" s="29">
        <f t="shared" si="58"/>
        <v>4419</v>
      </c>
      <c r="Y139" s="29">
        <f t="shared" si="58"/>
        <v>4995</v>
      </c>
      <c r="Z139" s="29">
        <f t="shared" si="58"/>
        <v>8241</v>
      </c>
      <c r="AA139" s="29">
        <f t="shared" si="58"/>
        <v>20090</v>
      </c>
      <c r="AB139" s="29">
        <f t="shared" si="58"/>
        <v>16211</v>
      </c>
      <c r="AC139" s="29">
        <f t="shared" si="58"/>
        <v>16040</v>
      </c>
      <c r="AD139" s="29">
        <f t="shared" si="58"/>
        <v>25856</v>
      </c>
      <c r="AE139" s="29">
        <f t="shared" si="58"/>
        <v>0</v>
      </c>
      <c r="AF139" s="29">
        <f t="shared" si="58"/>
        <v>0</v>
      </c>
      <c r="AG139" s="29">
        <f t="shared" si="58"/>
        <v>0</v>
      </c>
      <c r="AH139" s="29">
        <f t="shared" si="58"/>
        <v>0</v>
      </c>
      <c r="AI139" s="29">
        <f t="shared" si="58"/>
        <v>0</v>
      </c>
      <c r="AJ139" s="29">
        <f t="shared" si="58"/>
        <v>0</v>
      </c>
      <c r="AK139" s="29">
        <f t="shared" si="58"/>
        <v>0</v>
      </c>
      <c r="AL139" s="29">
        <f t="shared" si="58"/>
        <v>0</v>
      </c>
      <c r="AM139" s="29">
        <f t="shared" si="58"/>
        <v>0</v>
      </c>
      <c r="AN139" s="29">
        <f t="shared" si="58"/>
        <v>0</v>
      </c>
      <c r="AO139" s="29">
        <f t="shared" si="58"/>
        <v>0</v>
      </c>
      <c r="AP139" s="29">
        <f t="shared" si="58"/>
        <v>0</v>
      </c>
      <c r="AQ139" s="29">
        <f t="shared" si="58"/>
        <v>0</v>
      </c>
      <c r="AR139" s="29">
        <f t="shared" si="58"/>
        <v>0</v>
      </c>
      <c r="AS139" s="29">
        <f t="shared" si="58"/>
        <v>0</v>
      </c>
      <c r="AT139" s="29">
        <f t="shared" si="58"/>
        <v>0</v>
      </c>
      <c r="AU139" s="29">
        <f t="shared" si="58"/>
        <v>0</v>
      </c>
      <c r="AV139" s="29">
        <f t="shared" si="58"/>
        <v>0</v>
      </c>
      <c r="AW139" s="29">
        <f t="shared" si="58"/>
        <v>0</v>
      </c>
      <c r="AX139" s="29">
        <f t="shared" si="58"/>
        <v>0</v>
      </c>
      <c r="AY139" s="29">
        <f t="shared" si="58"/>
        <v>0</v>
      </c>
      <c r="AZ139" s="29">
        <f t="shared" si="58"/>
        <v>0</v>
      </c>
      <c r="BA139" s="29">
        <f t="shared" si="58"/>
        <v>0</v>
      </c>
      <c r="BB139" s="29">
        <f t="shared" si="58"/>
        <v>0</v>
      </c>
      <c r="BC139" s="29">
        <f t="shared" si="58"/>
        <v>0</v>
      </c>
      <c r="BD139" s="29">
        <f t="shared" si="58"/>
        <v>0</v>
      </c>
      <c r="BE139" s="29">
        <f t="shared" si="58"/>
        <v>0</v>
      </c>
      <c r="BF139" s="29">
        <f t="shared" si="58"/>
        <v>0</v>
      </c>
      <c r="BG139" s="29">
        <f t="shared" si="58"/>
        <v>0</v>
      </c>
      <c r="BH139" s="29">
        <f t="shared" si="58"/>
        <v>0</v>
      </c>
      <c r="BI139" s="29">
        <f t="shared" si="58"/>
        <v>0</v>
      </c>
      <c r="BJ139" s="29">
        <f t="shared" si="58"/>
        <v>0</v>
      </c>
      <c r="BK139" s="29">
        <f t="shared" si="58"/>
        <v>0</v>
      </c>
      <c r="BL139" s="29">
        <f t="shared" si="58"/>
        <v>0</v>
      </c>
      <c r="BM139" s="29">
        <f t="shared" si="58"/>
        <v>0</v>
      </c>
      <c r="BN139" s="29">
        <f t="shared" si="58"/>
        <v>0</v>
      </c>
      <c r="BO139" s="29">
        <f t="shared" ref="BO139:BP139" si="59">SUM(BO106,BO93,BO70,BO36,BO27,BO15,BO47)</f>
        <v>0</v>
      </c>
      <c r="BP139" s="29">
        <f t="shared" si="59"/>
        <v>0</v>
      </c>
    </row>
    <row r="140" spans="1:68" x14ac:dyDescent="0.35">
      <c r="A140" t="s">
        <v>138</v>
      </c>
      <c r="B140" s="31">
        <f t="shared" si="35"/>
        <v>849</v>
      </c>
      <c r="C140" s="29">
        <f t="shared" ref="C140:BN140" si="60">SUM(C121,C108,C114)</f>
        <v>849</v>
      </c>
      <c r="D140" s="29">
        <f t="shared" si="60"/>
        <v>0</v>
      </c>
      <c r="E140" s="29">
        <f t="shared" si="60"/>
        <v>0</v>
      </c>
      <c r="F140" s="29">
        <f t="shared" si="60"/>
        <v>0</v>
      </c>
      <c r="G140" s="29">
        <f t="shared" si="60"/>
        <v>0</v>
      </c>
      <c r="H140" s="29">
        <f t="shared" si="60"/>
        <v>0</v>
      </c>
      <c r="I140" s="29">
        <f t="shared" si="60"/>
        <v>0</v>
      </c>
      <c r="J140" s="29">
        <f t="shared" si="60"/>
        <v>0</v>
      </c>
      <c r="K140" s="29">
        <f t="shared" si="60"/>
        <v>0</v>
      </c>
      <c r="L140" s="29">
        <f t="shared" si="60"/>
        <v>0</v>
      </c>
      <c r="M140" s="29">
        <f t="shared" si="60"/>
        <v>0</v>
      </c>
      <c r="N140" s="29">
        <f t="shared" si="60"/>
        <v>0</v>
      </c>
      <c r="O140" s="29">
        <f t="shared" si="60"/>
        <v>0</v>
      </c>
      <c r="P140" s="29">
        <f t="shared" si="60"/>
        <v>0</v>
      </c>
      <c r="Q140" s="29">
        <f t="shared" si="60"/>
        <v>0</v>
      </c>
      <c r="R140" s="29">
        <f t="shared" si="60"/>
        <v>0</v>
      </c>
      <c r="S140" s="29">
        <f t="shared" si="60"/>
        <v>0</v>
      </c>
      <c r="T140" s="29">
        <f t="shared" si="60"/>
        <v>0</v>
      </c>
      <c r="U140" s="29">
        <f t="shared" si="60"/>
        <v>0</v>
      </c>
      <c r="V140" s="29">
        <f t="shared" si="60"/>
        <v>0</v>
      </c>
      <c r="W140" s="29">
        <f t="shared" si="60"/>
        <v>0</v>
      </c>
      <c r="X140" s="29">
        <f t="shared" si="60"/>
        <v>0</v>
      </c>
      <c r="Y140" s="29">
        <f t="shared" si="60"/>
        <v>0</v>
      </c>
      <c r="Z140" s="29">
        <f t="shared" si="60"/>
        <v>0</v>
      </c>
      <c r="AA140" s="29">
        <f t="shared" si="60"/>
        <v>0</v>
      </c>
      <c r="AB140" s="29">
        <f t="shared" si="60"/>
        <v>0</v>
      </c>
      <c r="AC140" s="29">
        <f t="shared" si="60"/>
        <v>0</v>
      </c>
      <c r="AD140" s="29">
        <f t="shared" si="60"/>
        <v>0</v>
      </c>
      <c r="AE140" s="29">
        <f t="shared" si="60"/>
        <v>0</v>
      </c>
      <c r="AF140" s="29">
        <f t="shared" si="60"/>
        <v>0</v>
      </c>
      <c r="AG140" s="29">
        <f t="shared" si="60"/>
        <v>0</v>
      </c>
      <c r="AH140" s="29">
        <f t="shared" si="60"/>
        <v>0</v>
      </c>
      <c r="AI140" s="29">
        <f t="shared" si="60"/>
        <v>0</v>
      </c>
      <c r="AJ140" s="29">
        <f t="shared" si="60"/>
        <v>0</v>
      </c>
      <c r="AK140" s="29">
        <f t="shared" si="60"/>
        <v>0</v>
      </c>
      <c r="AL140" s="29">
        <f t="shared" si="60"/>
        <v>0</v>
      </c>
      <c r="AM140" s="29">
        <f t="shared" si="60"/>
        <v>0</v>
      </c>
      <c r="AN140" s="29">
        <f t="shared" si="60"/>
        <v>0</v>
      </c>
      <c r="AO140" s="29">
        <f t="shared" si="60"/>
        <v>0</v>
      </c>
      <c r="AP140" s="29">
        <f t="shared" si="60"/>
        <v>0</v>
      </c>
      <c r="AQ140" s="29">
        <f t="shared" si="60"/>
        <v>0</v>
      </c>
      <c r="AR140" s="29">
        <f t="shared" si="60"/>
        <v>0</v>
      </c>
      <c r="AS140" s="29">
        <f t="shared" si="60"/>
        <v>0</v>
      </c>
      <c r="AT140" s="29">
        <f t="shared" si="60"/>
        <v>0</v>
      </c>
      <c r="AU140" s="29">
        <f t="shared" si="60"/>
        <v>0</v>
      </c>
      <c r="AV140" s="29">
        <f t="shared" si="60"/>
        <v>0</v>
      </c>
      <c r="AW140" s="29">
        <f t="shared" si="60"/>
        <v>0</v>
      </c>
      <c r="AX140" s="29">
        <f t="shared" si="60"/>
        <v>0</v>
      </c>
      <c r="AY140" s="29">
        <f t="shared" si="60"/>
        <v>0</v>
      </c>
      <c r="AZ140" s="29">
        <f t="shared" si="60"/>
        <v>0</v>
      </c>
      <c r="BA140" s="29">
        <f t="shared" si="60"/>
        <v>0</v>
      </c>
      <c r="BB140" s="29">
        <f t="shared" si="60"/>
        <v>0</v>
      </c>
      <c r="BC140" s="29">
        <f t="shared" si="60"/>
        <v>0</v>
      </c>
      <c r="BD140" s="29">
        <f t="shared" si="60"/>
        <v>0</v>
      </c>
      <c r="BE140" s="29">
        <f t="shared" si="60"/>
        <v>0</v>
      </c>
      <c r="BF140" s="29">
        <f t="shared" si="60"/>
        <v>0</v>
      </c>
      <c r="BG140" s="29">
        <f t="shared" si="60"/>
        <v>0</v>
      </c>
      <c r="BH140" s="29">
        <f t="shared" si="60"/>
        <v>0</v>
      </c>
      <c r="BI140" s="29">
        <f t="shared" si="60"/>
        <v>0</v>
      </c>
      <c r="BJ140" s="29">
        <f t="shared" si="60"/>
        <v>0</v>
      </c>
      <c r="BK140" s="29">
        <f t="shared" si="60"/>
        <v>0</v>
      </c>
      <c r="BL140" s="29">
        <f t="shared" si="60"/>
        <v>0</v>
      </c>
      <c r="BM140" s="29">
        <f t="shared" si="60"/>
        <v>0</v>
      </c>
      <c r="BN140" s="29">
        <f t="shared" si="60"/>
        <v>0</v>
      </c>
      <c r="BO140" s="29">
        <f t="shared" ref="BO140:BP140" si="61">SUM(BO121,BO108,BO114)</f>
        <v>0</v>
      </c>
      <c r="BP140" s="29">
        <f t="shared" si="61"/>
        <v>0</v>
      </c>
    </row>
    <row r="141" spans="1:68" x14ac:dyDescent="0.35">
      <c r="A141" t="s">
        <v>181</v>
      </c>
      <c r="B141" s="31">
        <f t="shared" si="35"/>
        <v>300</v>
      </c>
      <c r="C141" s="29">
        <f t="shared" ref="C141:BN141" si="62">SUM(C55,C48)</f>
        <v>300</v>
      </c>
      <c r="D141" s="29">
        <f t="shared" si="62"/>
        <v>0</v>
      </c>
      <c r="E141" s="29">
        <f t="shared" si="62"/>
        <v>0</v>
      </c>
      <c r="F141" s="29">
        <f t="shared" si="62"/>
        <v>0</v>
      </c>
      <c r="G141" s="29">
        <f t="shared" si="62"/>
        <v>0</v>
      </c>
      <c r="H141" s="29">
        <f t="shared" si="62"/>
        <v>0</v>
      </c>
      <c r="I141" s="29">
        <f t="shared" si="62"/>
        <v>0</v>
      </c>
      <c r="J141" s="29">
        <f t="shared" si="62"/>
        <v>0</v>
      </c>
      <c r="K141" s="29">
        <f t="shared" si="62"/>
        <v>0</v>
      </c>
      <c r="L141" s="29">
        <f t="shared" si="62"/>
        <v>0</v>
      </c>
      <c r="M141" s="29">
        <f t="shared" si="62"/>
        <v>0</v>
      </c>
      <c r="N141" s="29">
        <f t="shared" si="62"/>
        <v>0</v>
      </c>
      <c r="O141" s="29">
        <f t="shared" si="62"/>
        <v>0</v>
      </c>
      <c r="P141" s="29">
        <f t="shared" si="62"/>
        <v>0</v>
      </c>
      <c r="Q141" s="29">
        <f t="shared" si="62"/>
        <v>0</v>
      </c>
      <c r="R141" s="29">
        <f t="shared" si="62"/>
        <v>0</v>
      </c>
      <c r="S141" s="29">
        <f t="shared" si="62"/>
        <v>0</v>
      </c>
      <c r="T141" s="29">
        <f t="shared" si="62"/>
        <v>0</v>
      </c>
      <c r="U141" s="29">
        <f t="shared" si="62"/>
        <v>0</v>
      </c>
      <c r="V141" s="29">
        <f t="shared" si="62"/>
        <v>0</v>
      </c>
      <c r="W141" s="29">
        <f t="shared" si="62"/>
        <v>0</v>
      </c>
      <c r="X141" s="29">
        <f t="shared" si="62"/>
        <v>0</v>
      </c>
      <c r="Y141" s="29">
        <f t="shared" si="62"/>
        <v>0</v>
      </c>
      <c r="Z141" s="29">
        <f t="shared" si="62"/>
        <v>0</v>
      </c>
      <c r="AA141" s="29">
        <f t="shared" si="62"/>
        <v>0</v>
      </c>
      <c r="AB141" s="29">
        <f t="shared" si="62"/>
        <v>0</v>
      </c>
      <c r="AC141" s="29">
        <f t="shared" si="62"/>
        <v>0</v>
      </c>
      <c r="AD141" s="29">
        <f t="shared" si="62"/>
        <v>0</v>
      </c>
      <c r="AE141" s="29">
        <f t="shared" si="62"/>
        <v>0</v>
      </c>
      <c r="AF141" s="29">
        <f t="shared" si="62"/>
        <v>0</v>
      </c>
      <c r="AG141" s="29">
        <f t="shared" si="62"/>
        <v>0</v>
      </c>
      <c r="AH141" s="29">
        <f t="shared" si="62"/>
        <v>0</v>
      </c>
      <c r="AI141" s="29">
        <f t="shared" si="62"/>
        <v>0</v>
      </c>
      <c r="AJ141" s="29">
        <f t="shared" si="62"/>
        <v>0</v>
      </c>
      <c r="AK141" s="29">
        <f t="shared" si="62"/>
        <v>0</v>
      </c>
      <c r="AL141" s="29">
        <f t="shared" si="62"/>
        <v>0</v>
      </c>
      <c r="AM141" s="29">
        <f t="shared" si="62"/>
        <v>0</v>
      </c>
      <c r="AN141" s="29">
        <f t="shared" si="62"/>
        <v>0</v>
      </c>
      <c r="AO141" s="29">
        <f t="shared" si="62"/>
        <v>0</v>
      </c>
      <c r="AP141" s="29">
        <f t="shared" si="62"/>
        <v>0</v>
      </c>
      <c r="AQ141" s="29">
        <f t="shared" si="62"/>
        <v>0</v>
      </c>
      <c r="AR141" s="29">
        <f t="shared" si="62"/>
        <v>0</v>
      </c>
      <c r="AS141" s="29">
        <f t="shared" si="62"/>
        <v>0</v>
      </c>
      <c r="AT141" s="29">
        <f t="shared" si="62"/>
        <v>0</v>
      </c>
      <c r="AU141" s="29">
        <f t="shared" si="62"/>
        <v>0</v>
      </c>
      <c r="AV141" s="29">
        <f t="shared" si="62"/>
        <v>0</v>
      </c>
      <c r="AW141" s="29">
        <f t="shared" si="62"/>
        <v>0</v>
      </c>
      <c r="AX141" s="29">
        <f t="shared" si="62"/>
        <v>0</v>
      </c>
      <c r="AY141" s="29">
        <f t="shared" si="62"/>
        <v>0</v>
      </c>
      <c r="AZ141" s="29">
        <f t="shared" si="62"/>
        <v>0</v>
      </c>
      <c r="BA141" s="29">
        <f t="shared" si="62"/>
        <v>0</v>
      </c>
      <c r="BB141" s="29">
        <f t="shared" si="62"/>
        <v>0</v>
      </c>
      <c r="BC141" s="29">
        <f t="shared" si="62"/>
        <v>0</v>
      </c>
      <c r="BD141" s="29">
        <f t="shared" si="62"/>
        <v>0</v>
      </c>
      <c r="BE141" s="29">
        <f t="shared" si="62"/>
        <v>0</v>
      </c>
      <c r="BF141" s="29">
        <f t="shared" si="62"/>
        <v>0</v>
      </c>
      <c r="BG141" s="29">
        <f t="shared" si="62"/>
        <v>0</v>
      </c>
      <c r="BH141" s="29">
        <f t="shared" si="62"/>
        <v>0</v>
      </c>
      <c r="BI141" s="29">
        <f t="shared" si="62"/>
        <v>0</v>
      </c>
      <c r="BJ141" s="29">
        <f t="shared" si="62"/>
        <v>0</v>
      </c>
      <c r="BK141" s="29">
        <f t="shared" si="62"/>
        <v>0</v>
      </c>
      <c r="BL141" s="29">
        <f t="shared" si="62"/>
        <v>0</v>
      </c>
      <c r="BM141" s="29">
        <f t="shared" si="62"/>
        <v>0</v>
      </c>
      <c r="BN141" s="29">
        <f t="shared" si="62"/>
        <v>0</v>
      </c>
      <c r="BO141" s="29">
        <f t="shared" ref="BO141:BP141" si="63">SUM(BO55,BO48)</f>
        <v>0</v>
      </c>
      <c r="BP141" s="29">
        <f t="shared" si="63"/>
        <v>0</v>
      </c>
    </row>
    <row r="142" spans="1:68" x14ac:dyDescent="0.35">
      <c r="A142" t="s">
        <v>178</v>
      </c>
      <c r="B142" s="31">
        <f t="shared" si="35"/>
        <v>8843</v>
      </c>
      <c r="C142" s="29">
        <f t="shared" ref="C142:BN142" si="64">SUM(C49,C16)</f>
        <v>0</v>
      </c>
      <c r="D142" s="29">
        <f t="shared" si="64"/>
        <v>0</v>
      </c>
      <c r="E142" s="29">
        <f t="shared" si="64"/>
        <v>0</v>
      </c>
      <c r="F142" s="29">
        <f t="shared" si="64"/>
        <v>0</v>
      </c>
      <c r="G142" s="29">
        <f t="shared" si="64"/>
        <v>0</v>
      </c>
      <c r="H142" s="29">
        <f t="shared" si="64"/>
        <v>0</v>
      </c>
      <c r="I142" s="29">
        <f t="shared" si="64"/>
        <v>0</v>
      </c>
      <c r="J142" s="29">
        <f t="shared" si="64"/>
        <v>0</v>
      </c>
      <c r="K142" s="29">
        <f t="shared" si="64"/>
        <v>0</v>
      </c>
      <c r="L142" s="29">
        <f t="shared" si="64"/>
        <v>0</v>
      </c>
      <c r="M142" s="29">
        <f t="shared" si="64"/>
        <v>0</v>
      </c>
      <c r="N142" s="29">
        <f t="shared" si="64"/>
        <v>0</v>
      </c>
      <c r="O142" s="29">
        <f t="shared" si="64"/>
        <v>0</v>
      </c>
      <c r="P142" s="29">
        <f t="shared" si="64"/>
        <v>0</v>
      </c>
      <c r="Q142" s="29">
        <f t="shared" si="64"/>
        <v>0</v>
      </c>
      <c r="R142" s="29">
        <f t="shared" si="64"/>
        <v>3937</v>
      </c>
      <c r="S142" s="29">
        <f t="shared" si="64"/>
        <v>0</v>
      </c>
      <c r="T142" s="29">
        <f t="shared" si="64"/>
        <v>0</v>
      </c>
      <c r="U142" s="29">
        <f t="shared" si="64"/>
        <v>0</v>
      </c>
      <c r="V142" s="29">
        <f t="shared" si="64"/>
        <v>0</v>
      </c>
      <c r="W142" s="29">
        <f t="shared" si="64"/>
        <v>0</v>
      </c>
      <c r="X142" s="29">
        <f t="shared" si="64"/>
        <v>0</v>
      </c>
      <c r="Y142" s="29">
        <f t="shared" si="64"/>
        <v>2166</v>
      </c>
      <c r="Z142" s="29">
        <f t="shared" si="64"/>
        <v>0</v>
      </c>
      <c r="AA142" s="29">
        <f t="shared" si="64"/>
        <v>0</v>
      </c>
      <c r="AB142" s="29">
        <f t="shared" si="64"/>
        <v>2740</v>
      </c>
      <c r="AC142" s="29">
        <f t="shared" si="64"/>
        <v>0</v>
      </c>
      <c r="AD142" s="29">
        <f t="shared" si="64"/>
        <v>0</v>
      </c>
      <c r="AE142" s="29">
        <f t="shared" si="64"/>
        <v>0</v>
      </c>
      <c r="AF142" s="29">
        <f t="shared" si="64"/>
        <v>0</v>
      </c>
      <c r="AG142" s="29">
        <f t="shared" si="64"/>
        <v>0</v>
      </c>
      <c r="AH142" s="29">
        <f t="shared" si="64"/>
        <v>0</v>
      </c>
      <c r="AI142" s="29">
        <f t="shared" si="64"/>
        <v>0</v>
      </c>
      <c r="AJ142" s="29">
        <f t="shared" si="64"/>
        <v>0</v>
      </c>
      <c r="AK142" s="29">
        <f t="shared" si="64"/>
        <v>0</v>
      </c>
      <c r="AL142" s="29">
        <f t="shared" si="64"/>
        <v>0</v>
      </c>
      <c r="AM142" s="29">
        <f t="shared" si="64"/>
        <v>0</v>
      </c>
      <c r="AN142" s="29">
        <f t="shared" si="64"/>
        <v>0</v>
      </c>
      <c r="AO142" s="29">
        <f t="shared" si="64"/>
        <v>0</v>
      </c>
      <c r="AP142" s="29">
        <f t="shared" si="64"/>
        <v>0</v>
      </c>
      <c r="AQ142" s="29">
        <f t="shared" si="64"/>
        <v>0</v>
      </c>
      <c r="AR142" s="29">
        <f t="shared" si="64"/>
        <v>0</v>
      </c>
      <c r="AS142" s="29">
        <f t="shared" si="64"/>
        <v>0</v>
      </c>
      <c r="AT142" s="29">
        <f t="shared" si="64"/>
        <v>0</v>
      </c>
      <c r="AU142" s="29">
        <f t="shared" si="64"/>
        <v>0</v>
      </c>
      <c r="AV142" s="29">
        <f t="shared" si="64"/>
        <v>0</v>
      </c>
      <c r="AW142" s="29">
        <f t="shared" si="64"/>
        <v>0</v>
      </c>
      <c r="AX142" s="29">
        <f t="shared" si="64"/>
        <v>0</v>
      </c>
      <c r="AY142" s="29">
        <f t="shared" si="64"/>
        <v>0</v>
      </c>
      <c r="AZ142" s="29">
        <f t="shared" si="64"/>
        <v>0</v>
      </c>
      <c r="BA142" s="29">
        <f t="shared" si="64"/>
        <v>0</v>
      </c>
      <c r="BB142" s="29">
        <f t="shared" si="64"/>
        <v>0</v>
      </c>
      <c r="BC142" s="29">
        <f t="shared" si="64"/>
        <v>0</v>
      </c>
      <c r="BD142" s="29">
        <f t="shared" si="64"/>
        <v>0</v>
      </c>
      <c r="BE142" s="29">
        <f t="shared" si="64"/>
        <v>0</v>
      </c>
      <c r="BF142" s="29">
        <f t="shared" si="64"/>
        <v>0</v>
      </c>
      <c r="BG142" s="29">
        <f t="shared" si="64"/>
        <v>0</v>
      </c>
      <c r="BH142" s="29">
        <f t="shared" si="64"/>
        <v>0</v>
      </c>
      <c r="BI142" s="29">
        <f t="shared" si="64"/>
        <v>0</v>
      </c>
      <c r="BJ142" s="29">
        <f t="shared" si="64"/>
        <v>0</v>
      </c>
      <c r="BK142" s="29">
        <f t="shared" si="64"/>
        <v>0</v>
      </c>
      <c r="BL142" s="29">
        <f t="shared" si="64"/>
        <v>0</v>
      </c>
      <c r="BM142" s="29">
        <f t="shared" si="64"/>
        <v>0</v>
      </c>
      <c r="BN142" s="29">
        <f t="shared" si="64"/>
        <v>0</v>
      </c>
      <c r="BO142" s="29">
        <f t="shared" ref="BO142:BP142" si="65">SUM(BO49,BO16)</f>
        <v>0</v>
      </c>
      <c r="BP142" s="29">
        <f t="shared" si="65"/>
        <v>0</v>
      </c>
    </row>
    <row r="143" spans="1:68" x14ac:dyDescent="0.35">
      <c r="A143" t="s">
        <v>98</v>
      </c>
      <c r="B143" s="31">
        <f t="shared" si="35"/>
        <v>719</v>
      </c>
      <c r="C143" s="29">
        <f t="shared" ref="C143:BN143" si="66">SUM(C122,C94,C79,C17)</f>
        <v>509</v>
      </c>
      <c r="D143" s="29">
        <f t="shared" si="66"/>
        <v>0</v>
      </c>
      <c r="E143" s="29">
        <f t="shared" si="66"/>
        <v>0</v>
      </c>
      <c r="F143" s="29">
        <f t="shared" si="66"/>
        <v>0</v>
      </c>
      <c r="G143" s="29">
        <f t="shared" si="66"/>
        <v>0</v>
      </c>
      <c r="H143" s="29">
        <f t="shared" si="66"/>
        <v>0</v>
      </c>
      <c r="I143" s="29">
        <f t="shared" si="66"/>
        <v>0</v>
      </c>
      <c r="J143" s="29">
        <f t="shared" si="66"/>
        <v>0</v>
      </c>
      <c r="K143" s="29">
        <f t="shared" si="66"/>
        <v>0</v>
      </c>
      <c r="L143" s="29">
        <f t="shared" si="66"/>
        <v>0</v>
      </c>
      <c r="M143" s="29">
        <f t="shared" si="66"/>
        <v>0</v>
      </c>
      <c r="N143" s="29">
        <f t="shared" si="66"/>
        <v>0</v>
      </c>
      <c r="O143" s="29">
        <f t="shared" si="66"/>
        <v>0</v>
      </c>
      <c r="P143" s="29">
        <f t="shared" si="66"/>
        <v>0</v>
      </c>
      <c r="Q143" s="29">
        <f t="shared" si="66"/>
        <v>0</v>
      </c>
      <c r="R143" s="29">
        <f t="shared" si="66"/>
        <v>0</v>
      </c>
      <c r="S143" s="29">
        <f t="shared" si="66"/>
        <v>0</v>
      </c>
      <c r="T143" s="29">
        <f t="shared" si="66"/>
        <v>0</v>
      </c>
      <c r="U143" s="29">
        <f t="shared" si="66"/>
        <v>0</v>
      </c>
      <c r="V143" s="29">
        <f t="shared" si="66"/>
        <v>0</v>
      </c>
      <c r="W143" s="29">
        <f t="shared" si="66"/>
        <v>0</v>
      </c>
      <c r="X143" s="29">
        <f t="shared" si="66"/>
        <v>0</v>
      </c>
      <c r="Y143" s="29">
        <f t="shared" si="66"/>
        <v>0</v>
      </c>
      <c r="Z143" s="29">
        <f t="shared" si="66"/>
        <v>0</v>
      </c>
      <c r="AA143" s="29">
        <f t="shared" si="66"/>
        <v>0</v>
      </c>
      <c r="AB143" s="29">
        <f t="shared" si="66"/>
        <v>0</v>
      </c>
      <c r="AC143" s="29">
        <f t="shared" si="66"/>
        <v>0</v>
      </c>
      <c r="AD143" s="29">
        <f t="shared" si="66"/>
        <v>0</v>
      </c>
      <c r="AE143" s="29">
        <f t="shared" si="66"/>
        <v>210</v>
      </c>
      <c r="AF143" s="29">
        <f t="shared" si="66"/>
        <v>0</v>
      </c>
      <c r="AG143" s="29">
        <f t="shared" si="66"/>
        <v>0</v>
      </c>
      <c r="AH143" s="29">
        <f t="shared" si="66"/>
        <v>0</v>
      </c>
      <c r="AI143" s="29">
        <f t="shared" si="66"/>
        <v>0</v>
      </c>
      <c r="AJ143" s="29">
        <f t="shared" si="66"/>
        <v>0</v>
      </c>
      <c r="AK143" s="29">
        <f t="shared" si="66"/>
        <v>0</v>
      </c>
      <c r="AL143" s="29">
        <f t="shared" si="66"/>
        <v>0</v>
      </c>
      <c r="AM143" s="29">
        <f t="shared" si="66"/>
        <v>0</v>
      </c>
      <c r="AN143" s="29">
        <f t="shared" si="66"/>
        <v>0</v>
      </c>
      <c r="AO143" s="29">
        <f t="shared" si="66"/>
        <v>0</v>
      </c>
      <c r="AP143" s="29">
        <f t="shared" si="66"/>
        <v>0</v>
      </c>
      <c r="AQ143" s="29">
        <f t="shared" si="66"/>
        <v>0</v>
      </c>
      <c r="AR143" s="29">
        <f t="shared" si="66"/>
        <v>0</v>
      </c>
      <c r="AS143" s="29">
        <f t="shared" si="66"/>
        <v>0</v>
      </c>
      <c r="AT143" s="29">
        <f t="shared" si="66"/>
        <v>0</v>
      </c>
      <c r="AU143" s="29">
        <f t="shared" si="66"/>
        <v>0</v>
      </c>
      <c r="AV143" s="29">
        <f t="shared" si="66"/>
        <v>0</v>
      </c>
      <c r="AW143" s="29">
        <f t="shared" si="66"/>
        <v>0</v>
      </c>
      <c r="AX143" s="29">
        <f t="shared" si="66"/>
        <v>0</v>
      </c>
      <c r="AY143" s="29">
        <f t="shared" si="66"/>
        <v>0</v>
      </c>
      <c r="AZ143" s="29">
        <f t="shared" si="66"/>
        <v>0</v>
      </c>
      <c r="BA143" s="29">
        <f t="shared" si="66"/>
        <v>0</v>
      </c>
      <c r="BB143" s="29">
        <f t="shared" si="66"/>
        <v>0</v>
      </c>
      <c r="BC143" s="29">
        <f t="shared" si="66"/>
        <v>0</v>
      </c>
      <c r="BD143" s="29">
        <f t="shared" si="66"/>
        <v>0</v>
      </c>
      <c r="BE143" s="29">
        <f t="shared" si="66"/>
        <v>0</v>
      </c>
      <c r="BF143" s="29">
        <f t="shared" si="66"/>
        <v>0</v>
      </c>
      <c r="BG143" s="29">
        <f t="shared" si="66"/>
        <v>0</v>
      </c>
      <c r="BH143" s="29">
        <f t="shared" si="66"/>
        <v>0</v>
      </c>
      <c r="BI143" s="29">
        <f t="shared" si="66"/>
        <v>0</v>
      </c>
      <c r="BJ143" s="29">
        <f t="shared" si="66"/>
        <v>0</v>
      </c>
      <c r="BK143" s="29">
        <f t="shared" si="66"/>
        <v>0</v>
      </c>
      <c r="BL143" s="29">
        <f t="shared" si="66"/>
        <v>0</v>
      </c>
      <c r="BM143" s="29">
        <f t="shared" si="66"/>
        <v>0</v>
      </c>
      <c r="BN143" s="29">
        <f t="shared" si="66"/>
        <v>0</v>
      </c>
      <c r="BO143" s="29">
        <f t="shared" ref="BO143:BP143" si="67">SUM(BO122,BO94,BO79,BO17)</f>
        <v>0</v>
      </c>
      <c r="BP143" s="29">
        <f t="shared" si="67"/>
        <v>0</v>
      </c>
    </row>
    <row r="144" spans="1:68" x14ac:dyDescent="0.35">
      <c r="A144" t="s">
        <v>179</v>
      </c>
      <c r="B144" s="31">
        <f t="shared" si="35"/>
        <v>1225</v>
      </c>
      <c r="C144" s="29">
        <f t="shared" ref="C144:BN144" si="68">SUM(C95,C80,C56,C18)</f>
        <v>948</v>
      </c>
      <c r="D144" s="29">
        <f t="shared" si="68"/>
        <v>0</v>
      </c>
      <c r="E144" s="29">
        <f t="shared" si="68"/>
        <v>0</v>
      </c>
      <c r="F144" s="29">
        <f t="shared" si="68"/>
        <v>0</v>
      </c>
      <c r="G144" s="29">
        <f t="shared" si="68"/>
        <v>0</v>
      </c>
      <c r="H144" s="29">
        <f t="shared" si="68"/>
        <v>0</v>
      </c>
      <c r="I144" s="29">
        <f t="shared" si="68"/>
        <v>0</v>
      </c>
      <c r="J144" s="29">
        <f t="shared" si="68"/>
        <v>0</v>
      </c>
      <c r="K144" s="29">
        <f t="shared" si="68"/>
        <v>0</v>
      </c>
      <c r="L144" s="29">
        <f t="shared" si="68"/>
        <v>0</v>
      </c>
      <c r="M144" s="29">
        <f t="shared" si="68"/>
        <v>0</v>
      </c>
      <c r="N144" s="29">
        <f t="shared" si="68"/>
        <v>0</v>
      </c>
      <c r="O144" s="29">
        <f t="shared" si="68"/>
        <v>0</v>
      </c>
      <c r="P144" s="29">
        <f t="shared" si="68"/>
        <v>0</v>
      </c>
      <c r="Q144" s="29">
        <f t="shared" si="68"/>
        <v>0</v>
      </c>
      <c r="R144" s="29">
        <f t="shared" si="68"/>
        <v>0</v>
      </c>
      <c r="S144" s="29">
        <f t="shared" si="68"/>
        <v>0</v>
      </c>
      <c r="T144" s="29">
        <f t="shared" si="68"/>
        <v>0</v>
      </c>
      <c r="U144" s="29">
        <f t="shared" si="68"/>
        <v>0</v>
      </c>
      <c r="V144" s="29">
        <f t="shared" si="68"/>
        <v>0</v>
      </c>
      <c r="W144" s="29">
        <f t="shared" si="68"/>
        <v>0</v>
      </c>
      <c r="X144" s="29">
        <f t="shared" si="68"/>
        <v>0</v>
      </c>
      <c r="Y144" s="29">
        <f t="shared" si="68"/>
        <v>0</v>
      </c>
      <c r="Z144" s="29">
        <f t="shared" si="68"/>
        <v>0</v>
      </c>
      <c r="AA144" s="29">
        <f t="shared" si="68"/>
        <v>0</v>
      </c>
      <c r="AB144" s="29">
        <f t="shared" si="68"/>
        <v>0</v>
      </c>
      <c r="AC144" s="29">
        <f t="shared" si="68"/>
        <v>0</v>
      </c>
      <c r="AD144" s="29">
        <f t="shared" si="68"/>
        <v>0</v>
      </c>
      <c r="AE144" s="29">
        <f t="shared" si="68"/>
        <v>0</v>
      </c>
      <c r="AF144" s="29">
        <f t="shared" si="68"/>
        <v>0</v>
      </c>
      <c r="AG144" s="29">
        <f t="shared" si="68"/>
        <v>0</v>
      </c>
      <c r="AH144" s="29">
        <f t="shared" si="68"/>
        <v>0</v>
      </c>
      <c r="AI144" s="29">
        <f t="shared" si="68"/>
        <v>0</v>
      </c>
      <c r="AJ144" s="29">
        <f t="shared" si="68"/>
        <v>0</v>
      </c>
      <c r="AK144" s="29">
        <f t="shared" si="68"/>
        <v>182</v>
      </c>
      <c r="AL144" s="29">
        <f t="shared" si="68"/>
        <v>0</v>
      </c>
      <c r="AM144" s="29">
        <f t="shared" si="68"/>
        <v>0</v>
      </c>
      <c r="AN144" s="29">
        <f t="shared" si="68"/>
        <v>0</v>
      </c>
      <c r="AO144" s="29">
        <f t="shared" si="68"/>
        <v>0</v>
      </c>
      <c r="AP144" s="29">
        <f t="shared" si="68"/>
        <v>0</v>
      </c>
      <c r="AQ144" s="29">
        <f t="shared" si="68"/>
        <v>95</v>
      </c>
      <c r="AR144" s="29">
        <f t="shared" si="68"/>
        <v>0</v>
      </c>
      <c r="AS144" s="29">
        <f t="shared" si="68"/>
        <v>0</v>
      </c>
      <c r="AT144" s="29">
        <f t="shared" si="68"/>
        <v>0</v>
      </c>
      <c r="AU144" s="29">
        <f t="shared" si="68"/>
        <v>0</v>
      </c>
      <c r="AV144" s="29">
        <f t="shared" si="68"/>
        <v>0</v>
      </c>
      <c r="AW144" s="29">
        <f t="shared" si="68"/>
        <v>0</v>
      </c>
      <c r="AX144" s="29">
        <f t="shared" si="68"/>
        <v>0</v>
      </c>
      <c r="AY144" s="29">
        <f t="shared" si="68"/>
        <v>0</v>
      </c>
      <c r="AZ144" s="29">
        <f t="shared" si="68"/>
        <v>0</v>
      </c>
      <c r="BA144" s="29">
        <f t="shared" si="68"/>
        <v>0</v>
      </c>
      <c r="BB144" s="29">
        <f t="shared" si="68"/>
        <v>0</v>
      </c>
      <c r="BC144" s="29">
        <f t="shared" si="68"/>
        <v>0</v>
      </c>
      <c r="BD144" s="29">
        <f t="shared" si="68"/>
        <v>0</v>
      </c>
      <c r="BE144" s="29">
        <f t="shared" si="68"/>
        <v>0</v>
      </c>
      <c r="BF144" s="29">
        <f t="shared" si="68"/>
        <v>0</v>
      </c>
      <c r="BG144" s="29">
        <f t="shared" si="68"/>
        <v>0</v>
      </c>
      <c r="BH144" s="29">
        <f t="shared" si="68"/>
        <v>0</v>
      </c>
      <c r="BI144" s="29">
        <f t="shared" si="68"/>
        <v>0</v>
      </c>
      <c r="BJ144" s="29">
        <f t="shared" si="68"/>
        <v>0</v>
      </c>
      <c r="BK144" s="29">
        <f t="shared" si="68"/>
        <v>0</v>
      </c>
      <c r="BL144" s="29">
        <f t="shared" si="68"/>
        <v>0</v>
      </c>
      <c r="BM144" s="29">
        <f t="shared" si="68"/>
        <v>0</v>
      </c>
      <c r="BN144" s="29">
        <f t="shared" si="68"/>
        <v>0</v>
      </c>
      <c r="BO144" s="29">
        <f t="shared" ref="BO144:BP144" si="69">SUM(BO95,BO80,BO56,BO18)</f>
        <v>0</v>
      </c>
      <c r="BP144" s="29">
        <f t="shared" si="69"/>
        <v>0</v>
      </c>
    </row>
    <row r="145" spans="1:68" x14ac:dyDescent="0.35">
      <c r="A145" t="s">
        <v>180</v>
      </c>
      <c r="B145" s="31">
        <f t="shared" si="35"/>
        <v>11922</v>
      </c>
      <c r="C145" s="29">
        <f t="shared" ref="C145:BN145" si="70">SUM(C109,C96,C28)</f>
        <v>0</v>
      </c>
      <c r="D145" s="29">
        <f t="shared" si="70"/>
        <v>0</v>
      </c>
      <c r="E145" s="29">
        <f t="shared" si="70"/>
        <v>0</v>
      </c>
      <c r="F145" s="29">
        <f t="shared" si="70"/>
        <v>0</v>
      </c>
      <c r="G145" s="29">
        <f t="shared" si="70"/>
        <v>0</v>
      </c>
      <c r="H145" s="29">
        <f t="shared" si="70"/>
        <v>0</v>
      </c>
      <c r="I145" s="29">
        <f t="shared" si="70"/>
        <v>0</v>
      </c>
      <c r="J145" s="29">
        <f t="shared" si="70"/>
        <v>0</v>
      </c>
      <c r="K145" s="29">
        <f t="shared" si="70"/>
        <v>0</v>
      </c>
      <c r="L145" s="29">
        <f t="shared" si="70"/>
        <v>0</v>
      </c>
      <c r="M145" s="29">
        <f t="shared" si="70"/>
        <v>0</v>
      </c>
      <c r="N145" s="29">
        <f t="shared" si="70"/>
        <v>0</v>
      </c>
      <c r="O145" s="29">
        <f t="shared" si="70"/>
        <v>0</v>
      </c>
      <c r="P145" s="29">
        <f t="shared" si="70"/>
        <v>0</v>
      </c>
      <c r="Q145" s="29">
        <f t="shared" si="70"/>
        <v>0</v>
      </c>
      <c r="R145" s="29">
        <f t="shared" si="70"/>
        <v>0</v>
      </c>
      <c r="S145" s="29">
        <f t="shared" si="70"/>
        <v>0</v>
      </c>
      <c r="T145" s="29">
        <f t="shared" si="70"/>
        <v>0</v>
      </c>
      <c r="U145" s="29">
        <f t="shared" si="70"/>
        <v>0</v>
      </c>
      <c r="V145" s="29">
        <f t="shared" si="70"/>
        <v>0</v>
      </c>
      <c r="W145" s="29">
        <f t="shared" si="70"/>
        <v>0</v>
      </c>
      <c r="X145" s="29">
        <f t="shared" si="70"/>
        <v>0</v>
      </c>
      <c r="Y145" s="29">
        <f t="shared" si="70"/>
        <v>0</v>
      </c>
      <c r="Z145" s="29">
        <f t="shared" si="70"/>
        <v>0</v>
      </c>
      <c r="AA145" s="29">
        <f t="shared" si="70"/>
        <v>0</v>
      </c>
      <c r="AB145" s="29">
        <f t="shared" si="70"/>
        <v>0</v>
      </c>
      <c r="AC145" s="29">
        <f t="shared" si="70"/>
        <v>9283</v>
      </c>
      <c r="AD145" s="29">
        <f t="shared" si="70"/>
        <v>2639</v>
      </c>
      <c r="AE145" s="29">
        <f t="shared" si="70"/>
        <v>0</v>
      </c>
      <c r="AF145" s="29">
        <f t="shared" si="70"/>
        <v>0</v>
      </c>
      <c r="AG145" s="29">
        <f t="shared" si="70"/>
        <v>0</v>
      </c>
      <c r="AH145" s="29">
        <f t="shared" si="70"/>
        <v>0</v>
      </c>
      <c r="AI145" s="29">
        <f t="shared" si="70"/>
        <v>0</v>
      </c>
      <c r="AJ145" s="29">
        <f t="shared" si="70"/>
        <v>0</v>
      </c>
      <c r="AK145" s="29">
        <f t="shared" si="70"/>
        <v>0</v>
      </c>
      <c r="AL145" s="29">
        <f t="shared" si="70"/>
        <v>0</v>
      </c>
      <c r="AM145" s="29">
        <f t="shared" si="70"/>
        <v>0</v>
      </c>
      <c r="AN145" s="29">
        <f t="shared" si="70"/>
        <v>0</v>
      </c>
      <c r="AO145" s="29">
        <f t="shared" si="70"/>
        <v>0</v>
      </c>
      <c r="AP145" s="29">
        <f t="shared" si="70"/>
        <v>0</v>
      </c>
      <c r="AQ145" s="29">
        <f t="shared" si="70"/>
        <v>0</v>
      </c>
      <c r="AR145" s="29">
        <f t="shared" si="70"/>
        <v>0</v>
      </c>
      <c r="AS145" s="29">
        <f t="shared" si="70"/>
        <v>0</v>
      </c>
      <c r="AT145" s="29">
        <f t="shared" si="70"/>
        <v>0</v>
      </c>
      <c r="AU145" s="29">
        <f t="shared" si="70"/>
        <v>0</v>
      </c>
      <c r="AV145" s="29">
        <f t="shared" si="70"/>
        <v>0</v>
      </c>
      <c r="AW145" s="29">
        <f t="shared" si="70"/>
        <v>0</v>
      </c>
      <c r="AX145" s="29">
        <f t="shared" si="70"/>
        <v>0</v>
      </c>
      <c r="AY145" s="29">
        <f t="shared" si="70"/>
        <v>0</v>
      </c>
      <c r="AZ145" s="29">
        <f t="shared" si="70"/>
        <v>0</v>
      </c>
      <c r="BA145" s="29">
        <f t="shared" si="70"/>
        <v>0</v>
      </c>
      <c r="BB145" s="29">
        <f t="shared" si="70"/>
        <v>0</v>
      </c>
      <c r="BC145" s="29">
        <f t="shared" si="70"/>
        <v>0</v>
      </c>
      <c r="BD145" s="29">
        <f t="shared" si="70"/>
        <v>0</v>
      </c>
      <c r="BE145" s="29">
        <f t="shared" si="70"/>
        <v>0</v>
      </c>
      <c r="BF145" s="29">
        <f t="shared" si="70"/>
        <v>0</v>
      </c>
      <c r="BG145" s="29">
        <f t="shared" si="70"/>
        <v>0</v>
      </c>
      <c r="BH145" s="29">
        <f t="shared" si="70"/>
        <v>0</v>
      </c>
      <c r="BI145" s="29">
        <f t="shared" si="70"/>
        <v>0</v>
      </c>
      <c r="BJ145" s="29">
        <f t="shared" si="70"/>
        <v>0</v>
      </c>
      <c r="BK145" s="29">
        <f t="shared" si="70"/>
        <v>0</v>
      </c>
      <c r="BL145" s="29">
        <f t="shared" si="70"/>
        <v>0</v>
      </c>
      <c r="BM145" s="29">
        <f t="shared" si="70"/>
        <v>0</v>
      </c>
      <c r="BN145" s="29">
        <f t="shared" si="70"/>
        <v>0</v>
      </c>
      <c r="BO145" s="29">
        <f t="shared" ref="BO145:BP145" si="71">SUM(BO109,BO96,BO28)</f>
        <v>0</v>
      </c>
      <c r="BP145" s="29">
        <f t="shared" si="71"/>
        <v>0</v>
      </c>
    </row>
    <row r="146" spans="1:68" x14ac:dyDescent="0.35">
      <c r="A146" t="s">
        <v>100</v>
      </c>
      <c r="B146" s="31">
        <f t="shared" si="35"/>
        <v>735</v>
      </c>
      <c r="C146" s="29">
        <f t="shared" ref="C146:BN146" si="72">SUM(C123,C81,C37)</f>
        <v>628</v>
      </c>
      <c r="D146" s="29">
        <f t="shared" si="72"/>
        <v>0</v>
      </c>
      <c r="E146" s="29">
        <f t="shared" si="72"/>
        <v>0</v>
      </c>
      <c r="F146" s="29">
        <f t="shared" si="72"/>
        <v>0</v>
      </c>
      <c r="G146" s="29">
        <f t="shared" si="72"/>
        <v>0</v>
      </c>
      <c r="H146" s="29">
        <f t="shared" si="72"/>
        <v>0</v>
      </c>
      <c r="I146" s="29">
        <f t="shared" si="72"/>
        <v>0</v>
      </c>
      <c r="J146" s="29">
        <f t="shared" si="72"/>
        <v>0</v>
      </c>
      <c r="K146" s="29">
        <f t="shared" si="72"/>
        <v>0</v>
      </c>
      <c r="L146" s="29">
        <f t="shared" si="72"/>
        <v>0</v>
      </c>
      <c r="M146" s="29">
        <f t="shared" si="72"/>
        <v>0</v>
      </c>
      <c r="N146" s="29">
        <f t="shared" si="72"/>
        <v>0</v>
      </c>
      <c r="O146" s="29">
        <f t="shared" si="72"/>
        <v>0</v>
      </c>
      <c r="P146" s="29">
        <f t="shared" si="72"/>
        <v>0</v>
      </c>
      <c r="Q146" s="29">
        <f t="shared" si="72"/>
        <v>0</v>
      </c>
      <c r="R146" s="29">
        <f t="shared" si="72"/>
        <v>0</v>
      </c>
      <c r="S146" s="29">
        <f t="shared" si="72"/>
        <v>0</v>
      </c>
      <c r="T146" s="29">
        <f t="shared" si="72"/>
        <v>0</v>
      </c>
      <c r="U146" s="29">
        <f t="shared" si="72"/>
        <v>0</v>
      </c>
      <c r="V146" s="29">
        <f t="shared" si="72"/>
        <v>0</v>
      </c>
      <c r="W146" s="29">
        <f t="shared" si="72"/>
        <v>0</v>
      </c>
      <c r="X146" s="29">
        <f t="shared" si="72"/>
        <v>0</v>
      </c>
      <c r="Y146" s="29">
        <f t="shared" si="72"/>
        <v>0</v>
      </c>
      <c r="Z146" s="29">
        <f t="shared" si="72"/>
        <v>0</v>
      </c>
      <c r="AA146" s="29">
        <f t="shared" si="72"/>
        <v>0</v>
      </c>
      <c r="AB146" s="29">
        <f t="shared" si="72"/>
        <v>0</v>
      </c>
      <c r="AC146" s="29">
        <f t="shared" si="72"/>
        <v>0</v>
      </c>
      <c r="AD146" s="29">
        <f t="shared" si="72"/>
        <v>0</v>
      </c>
      <c r="AE146" s="29">
        <f t="shared" si="72"/>
        <v>0</v>
      </c>
      <c r="AF146" s="29">
        <f t="shared" si="72"/>
        <v>0</v>
      </c>
      <c r="AG146" s="29">
        <f t="shared" si="72"/>
        <v>0</v>
      </c>
      <c r="AH146" s="29">
        <f t="shared" si="72"/>
        <v>0</v>
      </c>
      <c r="AI146" s="29">
        <f t="shared" si="72"/>
        <v>0</v>
      </c>
      <c r="AJ146" s="29">
        <f t="shared" si="72"/>
        <v>0</v>
      </c>
      <c r="AK146" s="29">
        <f t="shared" si="72"/>
        <v>0</v>
      </c>
      <c r="AL146" s="29">
        <f t="shared" si="72"/>
        <v>0</v>
      </c>
      <c r="AM146" s="29">
        <f t="shared" si="72"/>
        <v>0</v>
      </c>
      <c r="AN146" s="29">
        <f t="shared" si="72"/>
        <v>0</v>
      </c>
      <c r="AO146" s="29">
        <f t="shared" si="72"/>
        <v>0</v>
      </c>
      <c r="AP146" s="29">
        <f t="shared" si="72"/>
        <v>0</v>
      </c>
      <c r="AQ146" s="29">
        <f t="shared" si="72"/>
        <v>0</v>
      </c>
      <c r="AR146" s="29">
        <f t="shared" si="72"/>
        <v>0</v>
      </c>
      <c r="AS146" s="29">
        <f t="shared" si="72"/>
        <v>0</v>
      </c>
      <c r="AT146" s="29">
        <f t="shared" si="72"/>
        <v>0</v>
      </c>
      <c r="AU146" s="29">
        <f t="shared" si="72"/>
        <v>0</v>
      </c>
      <c r="AV146" s="29">
        <f t="shared" si="72"/>
        <v>0</v>
      </c>
      <c r="AW146" s="29">
        <f t="shared" si="72"/>
        <v>0</v>
      </c>
      <c r="AX146" s="29">
        <f t="shared" si="72"/>
        <v>0</v>
      </c>
      <c r="AY146" s="29">
        <f t="shared" si="72"/>
        <v>0</v>
      </c>
      <c r="AZ146" s="29">
        <f t="shared" si="72"/>
        <v>0</v>
      </c>
      <c r="BA146" s="29">
        <f t="shared" si="72"/>
        <v>0</v>
      </c>
      <c r="BB146" s="29">
        <f t="shared" si="72"/>
        <v>0</v>
      </c>
      <c r="BC146" s="29">
        <f t="shared" si="72"/>
        <v>0</v>
      </c>
      <c r="BD146" s="29">
        <f t="shared" si="72"/>
        <v>0</v>
      </c>
      <c r="BE146" s="29">
        <f t="shared" si="72"/>
        <v>107</v>
      </c>
      <c r="BF146" s="29">
        <f t="shared" si="72"/>
        <v>0</v>
      </c>
      <c r="BG146" s="29">
        <f t="shared" si="72"/>
        <v>0</v>
      </c>
      <c r="BH146" s="29">
        <f t="shared" si="72"/>
        <v>0</v>
      </c>
      <c r="BI146" s="29">
        <f t="shared" si="72"/>
        <v>0</v>
      </c>
      <c r="BJ146" s="29">
        <f t="shared" si="72"/>
        <v>0</v>
      </c>
      <c r="BK146" s="29">
        <f t="shared" si="72"/>
        <v>0</v>
      </c>
      <c r="BL146" s="29">
        <f t="shared" si="72"/>
        <v>0</v>
      </c>
      <c r="BM146" s="29">
        <f t="shared" si="72"/>
        <v>0</v>
      </c>
      <c r="BN146" s="29">
        <f t="shared" si="72"/>
        <v>0</v>
      </c>
      <c r="BO146" s="29">
        <f t="shared" ref="BO146:BP146" si="73">SUM(BO123,BO81,BO37)</f>
        <v>0</v>
      </c>
      <c r="BP146" s="29">
        <f t="shared" si="73"/>
        <v>0</v>
      </c>
    </row>
    <row r="147" spans="1:68" x14ac:dyDescent="0.35">
      <c r="A147" t="s">
        <v>183</v>
      </c>
      <c r="B147" s="31">
        <f t="shared" si="35"/>
        <v>0</v>
      </c>
      <c r="C147" s="29">
        <f t="shared" ref="C147:BN147" si="74">SUM(C82,C63)</f>
        <v>0</v>
      </c>
      <c r="D147" s="29">
        <f t="shared" si="74"/>
        <v>0</v>
      </c>
      <c r="E147" s="29">
        <f t="shared" si="74"/>
        <v>0</v>
      </c>
      <c r="F147" s="29">
        <f t="shared" si="74"/>
        <v>0</v>
      </c>
      <c r="G147" s="29">
        <f t="shared" si="74"/>
        <v>0</v>
      </c>
      <c r="H147" s="29">
        <f t="shared" si="74"/>
        <v>0</v>
      </c>
      <c r="I147" s="29">
        <f t="shared" si="74"/>
        <v>0</v>
      </c>
      <c r="J147" s="29">
        <f t="shared" si="74"/>
        <v>0</v>
      </c>
      <c r="K147" s="29">
        <f t="shared" si="74"/>
        <v>0</v>
      </c>
      <c r="L147" s="29">
        <f t="shared" si="74"/>
        <v>0</v>
      </c>
      <c r="M147" s="29">
        <f t="shared" si="74"/>
        <v>0</v>
      </c>
      <c r="N147" s="29">
        <f t="shared" si="74"/>
        <v>0</v>
      </c>
      <c r="O147" s="29">
        <f t="shared" si="74"/>
        <v>0</v>
      </c>
      <c r="P147" s="29">
        <f t="shared" si="74"/>
        <v>0</v>
      </c>
      <c r="Q147" s="29">
        <f t="shared" si="74"/>
        <v>0</v>
      </c>
      <c r="R147" s="29">
        <f t="shared" si="74"/>
        <v>0</v>
      </c>
      <c r="S147" s="29">
        <f t="shared" si="74"/>
        <v>0</v>
      </c>
      <c r="T147" s="29">
        <f t="shared" si="74"/>
        <v>0</v>
      </c>
      <c r="U147" s="29">
        <f t="shared" si="74"/>
        <v>0</v>
      </c>
      <c r="V147" s="29">
        <f t="shared" si="74"/>
        <v>0</v>
      </c>
      <c r="W147" s="29">
        <f t="shared" si="74"/>
        <v>0</v>
      </c>
      <c r="X147" s="29">
        <f t="shared" si="74"/>
        <v>0</v>
      </c>
      <c r="Y147" s="29">
        <f t="shared" si="74"/>
        <v>0</v>
      </c>
      <c r="Z147" s="29">
        <f t="shared" si="74"/>
        <v>0</v>
      </c>
      <c r="AA147" s="29">
        <f t="shared" si="74"/>
        <v>0</v>
      </c>
      <c r="AB147" s="29">
        <f t="shared" si="74"/>
        <v>0</v>
      </c>
      <c r="AC147" s="29">
        <f t="shared" si="74"/>
        <v>0</v>
      </c>
      <c r="AD147" s="29">
        <f t="shared" si="74"/>
        <v>0</v>
      </c>
      <c r="AE147" s="29">
        <f t="shared" si="74"/>
        <v>0</v>
      </c>
      <c r="AF147" s="29">
        <f t="shared" si="74"/>
        <v>0</v>
      </c>
      <c r="AG147" s="29">
        <f t="shared" si="74"/>
        <v>0</v>
      </c>
      <c r="AH147" s="29">
        <f t="shared" si="74"/>
        <v>0</v>
      </c>
      <c r="AI147" s="29">
        <f t="shared" si="74"/>
        <v>0</v>
      </c>
      <c r="AJ147" s="29">
        <f t="shared" si="74"/>
        <v>0</v>
      </c>
      <c r="AK147" s="29">
        <f t="shared" si="74"/>
        <v>0</v>
      </c>
      <c r="AL147" s="29">
        <f t="shared" si="74"/>
        <v>0</v>
      </c>
      <c r="AM147" s="29">
        <f t="shared" si="74"/>
        <v>0</v>
      </c>
      <c r="AN147" s="29">
        <f t="shared" si="74"/>
        <v>0</v>
      </c>
      <c r="AO147" s="29">
        <f t="shared" si="74"/>
        <v>0</v>
      </c>
      <c r="AP147" s="29">
        <f t="shared" si="74"/>
        <v>0</v>
      </c>
      <c r="AQ147" s="29">
        <f t="shared" si="74"/>
        <v>0</v>
      </c>
      <c r="AR147" s="29">
        <f t="shared" si="74"/>
        <v>0</v>
      </c>
      <c r="AS147" s="29">
        <f t="shared" si="74"/>
        <v>0</v>
      </c>
      <c r="AT147" s="29">
        <f t="shared" si="74"/>
        <v>0</v>
      </c>
      <c r="AU147" s="29">
        <f t="shared" si="74"/>
        <v>0</v>
      </c>
      <c r="AV147" s="29">
        <f t="shared" si="74"/>
        <v>0</v>
      </c>
      <c r="AW147" s="29">
        <f t="shared" si="74"/>
        <v>0</v>
      </c>
      <c r="AX147" s="29">
        <f t="shared" si="74"/>
        <v>0</v>
      </c>
      <c r="AY147" s="29">
        <f t="shared" si="74"/>
        <v>0</v>
      </c>
      <c r="AZ147" s="29">
        <f t="shared" si="74"/>
        <v>0</v>
      </c>
      <c r="BA147" s="29">
        <f t="shared" si="74"/>
        <v>0</v>
      </c>
      <c r="BB147" s="29">
        <f t="shared" si="74"/>
        <v>0</v>
      </c>
      <c r="BC147" s="29">
        <f t="shared" si="74"/>
        <v>0</v>
      </c>
      <c r="BD147" s="29">
        <f t="shared" si="74"/>
        <v>0</v>
      </c>
      <c r="BE147" s="29">
        <f t="shared" si="74"/>
        <v>0</v>
      </c>
      <c r="BF147" s="29">
        <f t="shared" si="74"/>
        <v>0</v>
      </c>
      <c r="BG147" s="29">
        <f t="shared" si="74"/>
        <v>0</v>
      </c>
      <c r="BH147" s="29">
        <f t="shared" si="74"/>
        <v>0</v>
      </c>
      <c r="BI147" s="29">
        <f t="shared" si="74"/>
        <v>0</v>
      </c>
      <c r="BJ147" s="29">
        <f t="shared" si="74"/>
        <v>0</v>
      </c>
      <c r="BK147" s="29">
        <f t="shared" si="74"/>
        <v>0</v>
      </c>
      <c r="BL147" s="29">
        <f t="shared" si="74"/>
        <v>0</v>
      </c>
      <c r="BM147" s="29">
        <f t="shared" si="74"/>
        <v>0</v>
      </c>
      <c r="BN147" s="29">
        <f t="shared" si="74"/>
        <v>0</v>
      </c>
      <c r="BO147" s="29">
        <f t="shared" ref="BO147:BP147" si="75">SUM(BO82,BO63)</f>
        <v>0</v>
      </c>
      <c r="BP147" s="29">
        <f t="shared" si="75"/>
        <v>0</v>
      </c>
    </row>
    <row r="148" spans="1:68" x14ac:dyDescent="0.35">
      <c r="A148" t="s">
        <v>186</v>
      </c>
      <c r="B148" s="31">
        <f t="shared" si="35"/>
        <v>439</v>
      </c>
      <c r="C148" s="29">
        <f t="shared" ref="C148:BN149" si="76">SUM(C97)</f>
        <v>439</v>
      </c>
      <c r="D148" s="29">
        <f t="shared" si="76"/>
        <v>0</v>
      </c>
      <c r="E148" s="29">
        <f t="shared" si="76"/>
        <v>0</v>
      </c>
      <c r="F148" s="29">
        <f t="shared" si="76"/>
        <v>0</v>
      </c>
      <c r="G148" s="29">
        <f t="shared" si="76"/>
        <v>0</v>
      </c>
      <c r="H148" s="29">
        <f t="shared" si="76"/>
        <v>0</v>
      </c>
      <c r="I148" s="29">
        <f t="shared" si="76"/>
        <v>0</v>
      </c>
      <c r="J148" s="29">
        <f t="shared" si="76"/>
        <v>0</v>
      </c>
      <c r="K148" s="29">
        <f t="shared" si="76"/>
        <v>0</v>
      </c>
      <c r="L148" s="29">
        <f t="shared" si="76"/>
        <v>0</v>
      </c>
      <c r="M148" s="29">
        <f t="shared" si="76"/>
        <v>0</v>
      </c>
      <c r="N148" s="29">
        <f t="shared" si="76"/>
        <v>0</v>
      </c>
      <c r="O148" s="29">
        <f t="shared" si="76"/>
        <v>0</v>
      </c>
      <c r="P148" s="29">
        <f t="shared" si="76"/>
        <v>0</v>
      </c>
      <c r="Q148" s="29">
        <f t="shared" si="76"/>
        <v>0</v>
      </c>
      <c r="R148" s="29">
        <f t="shared" si="76"/>
        <v>0</v>
      </c>
      <c r="S148" s="29">
        <f t="shared" si="76"/>
        <v>0</v>
      </c>
      <c r="T148" s="29">
        <f t="shared" si="76"/>
        <v>0</v>
      </c>
      <c r="U148" s="29">
        <f t="shared" si="76"/>
        <v>0</v>
      </c>
      <c r="V148" s="29">
        <f t="shared" si="76"/>
        <v>0</v>
      </c>
      <c r="W148" s="29">
        <f t="shared" si="76"/>
        <v>0</v>
      </c>
      <c r="X148" s="29">
        <f t="shared" si="76"/>
        <v>0</v>
      </c>
      <c r="Y148" s="29">
        <f t="shared" si="76"/>
        <v>0</v>
      </c>
      <c r="Z148" s="29">
        <f t="shared" si="76"/>
        <v>0</v>
      </c>
      <c r="AA148" s="29">
        <f t="shared" si="76"/>
        <v>0</v>
      </c>
      <c r="AB148" s="29">
        <f t="shared" si="76"/>
        <v>0</v>
      </c>
      <c r="AC148" s="29">
        <f t="shared" si="76"/>
        <v>0</v>
      </c>
      <c r="AD148" s="29">
        <f t="shared" si="76"/>
        <v>0</v>
      </c>
      <c r="AE148" s="29">
        <f t="shared" si="76"/>
        <v>0</v>
      </c>
      <c r="AF148" s="29">
        <f t="shared" si="76"/>
        <v>0</v>
      </c>
      <c r="AG148" s="29">
        <f t="shared" si="76"/>
        <v>0</v>
      </c>
      <c r="AH148" s="29">
        <f t="shared" si="76"/>
        <v>0</v>
      </c>
      <c r="AI148" s="29">
        <f t="shared" si="76"/>
        <v>0</v>
      </c>
      <c r="AJ148" s="29">
        <f t="shared" si="76"/>
        <v>0</v>
      </c>
      <c r="AK148" s="29">
        <f t="shared" si="76"/>
        <v>0</v>
      </c>
      <c r="AL148" s="29">
        <f t="shared" si="76"/>
        <v>0</v>
      </c>
      <c r="AM148" s="29">
        <f t="shared" si="76"/>
        <v>0</v>
      </c>
      <c r="AN148" s="29">
        <f t="shared" si="76"/>
        <v>0</v>
      </c>
      <c r="AO148" s="29">
        <f t="shared" si="76"/>
        <v>0</v>
      </c>
      <c r="AP148" s="29">
        <f t="shared" si="76"/>
        <v>0</v>
      </c>
      <c r="AQ148" s="29">
        <f t="shared" si="76"/>
        <v>0</v>
      </c>
      <c r="AR148" s="29">
        <f t="shared" si="76"/>
        <v>0</v>
      </c>
      <c r="AS148" s="29">
        <f t="shared" si="76"/>
        <v>0</v>
      </c>
      <c r="AT148" s="29">
        <f t="shared" si="76"/>
        <v>0</v>
      </c>
      <c r="AU148" s="29">
        <f t="shared" si="76"/>
        <v>0</v>
      </c>
      <c r="AV148" s="29">
        <f t="shared" si="76"/>
        <v>0</v>
      </c>
      <c r="AW148" s="29">
        <f t="shared" si="76"/>
        <v>0</v>
      </c>
      <c r="AX148" s="29">
        <f t="shared" si="76"/>
        <v>0</v>
      </c>
      <c r="AY148" s="29">
        <f t="shared" si="76"/>
        <v>0</v>
      </c>
      <c r="AZ148" s="29">
        <f t="shared" si="76"/>
        <v>0</v>
      </c>
      <c r="BA148" s="29">
        <f t="shared" si="76"/>
        <v>0</v>
      </c>
      <c r="BB148" s="29">
        <f t="shared" si="76"/>
        <v>0</v>
      </c>
      <c r="BC148" s="29">
        <f t="shared" si="76"/>
        <v>0</v>
      </c>
      <c r="BD148" s="29">
        <f t="shared" si="76"/>
        <v>0</v>
      </c>
      <c r="BE148" s="29">
        <f t="shared" si="76"/>
        <v>0</v>
      </c>
      <c r="BF148" s="29">
        <f t="shared" si="76"/>
        <v>0</v>
      </c>
      <c r="BG148" s="29">
        <f t="shared" si="76"/>
        <v>0</v>
      </c>
      <c r="BH148" s="29">
        <f t="shared" si="76"/>
        <v>0</v>
      </c>
      <c r="BI148" s="29">
        <f t="shared" si="76"/>
        <v>0</v>
      </c>
      <c r="BJ148" s="29">
        <f t="shared" si="76"/>
        <v>0</v>
      </c>
      <c r="BK148" s="29">
        <f t="shared" si="76"/>
        <v>0</v>
      </c>
      <c r="BL148" s="29">
        <f t="shared" si="76"/>
        <v>0</v>
      </c>
      <c r="BM148" s="29">
        <f t="shared" si="76"/>
        <v>0</v>
      </c>
      <c r="BN148" s="29">
        <f t="shared" si="76"/>
        <v>0</v>
      </c>
      <c r="BO148" s="29">
        <f t="shared" ref="BO148:BP149" si="77">SUM(BO97)</f>
        <v>0</v>
      </c>
      <c r="BP148" s="29">
        <f t="shared" si="77"/>
        <v>0</v>
      </c>
    </row>
    <row r="149" spans="1:68" x14ac:dyDescent="0.35">
      <c r="A149" t="s">
        <v>182</v>
      </c>
      <c r="B149" s="31">
        <f t="shared" si="35"/>
        <v>1966</v>
      </c>
      <c r="C149" s="29">
        <f>SUM(C98,C57)</f>
        <v>1966</v>
      </c>
      <c r="D149" s="29">
        <f t="shared" si="76"/>
        <v>0</v>
      </c>
      <c r="E149" s="29">
        <f t="shared" si="76"/>
        <v>0</v>
      </c>
      <c r="F149" s="29">
        <f t="shared" si="76"/>
        <v>0</v>
      </c>
      <c r="G149" s="29">
        <f t="shared" si="76"/>
        <v>0</v>
      </c>
      <c r="H149" s="29">
        <f t="shared" si="76"/>
        <v>0</v>
      </c>
      <c r="I149" s="29">
        <f t="shared" si="76"/>
        <v>0</v>
      </c>
      <c r="J149" s="29">
        <f t="shared" si="76"/>
        <v>0</v>
      </c>
      <c r="K149" s="29">
        <f t="shared" si="76"/>
        <v>0</v>
      </c>
      <c r="L149" s="29">
        <f t="shared" si="76"/>
        <v>0</v>
      </c>
      <c r="M149" s="29">
        <f t="shared" si="76"/>
        <v>0</v>
      </c>
      <c r="N149" s="29">
        <f t="shared" si="76"/>
        <v>0</v>
      </c>
      <c r="O149" s="29">
        <f t="shared" si="76"/>
        <v>0</v>
      </c>
      <c r="P149" s="29">
        <f t="shared" si="76"/>
        <v>0</v>
      </c>
      <c r="Q149" s="29">
        <f t="shared" si="76"/>
        <v>0</v>
      </c>
      <c r="R149" s="29">
        <f t="shared" si="76"/>
        <v>0</v>
      </c>
      <c r="S149" s="29">
        <f t="shared" si="76"/>
        <v>0</v>
      </c>
      <c r="T149" s="29">
        <f t="shared" si="76"/>
        <v>0</v>
      </c>
      <c r="U149" s="29">
        <f t="shared" si="76"/>
        <v>0</v>
      </c>
      <c r="V149" s="29">
        <f t="shared" si="76"/>
        <v>0</v>
      </c>
      <c r="W149" s="29">
        <f t="shared" si="76"/>
        <v>0</v>
      </c>
      <c r="X149" s="29">
        <f t="shared" si="76"/>
        <v>0</v>
      </c>
      <c r="Y149" s="29">
        <f t="shared" si="76"/>
        <v>0</v>
      </c>
      <c r="Z149" s="29">
        <f t="shared" si="76"/>
        <v>0</v>
      </c>
      <c r="AA149" s="29">
        <f t="shared" si="76"/>
        <v>0</v>
      </c>
      <c r="AB149" s="29">
        <f t="shared" si="76"/>
        <v>0</v>
      </c>
      <c r="AC149" s="29">
        <f t="shared" si="76"/>
        <v>0</v>
      </c>
      <c r="AD149" s="29">
        <f t="shared" si="76"/>
        <v>0</v>
      </c>
      <c r="AE149" s="29">
        <f t="shared" si="76"/>
        <v>0</v>
      </c>
      <c r="AF149" s="29">
        <f t="shared" si="76"/>
        <v>0</v>
      </c>
      <c r="AG149" s="29">
        <f t="shared" si="76"/>
        <v>0</v>
      </c>
      <c r="AH149" s="29">
        <f t="shared" si="76"/>
        <v>0</v>
      </c>
      <c r="AI149" s="29">
        <f t="shared" si="76"/>
        <v>0</v>
      </c>
      <c r="AJ149" s="29">
        <f t="shared" si="76"/>
        <v>0</v>
      </c>
      <c r="AK149" s="29">
        <f t="shared" si="76"/>
        <v>0</v>
      </c>
      <c r="AL149" s="29">
        <f t="shared" si="76"/>
        <v>0</v>
      </c>
      <c r="AM149" s="29">
        <f t="shared" si="76"/>
        <v>0</v>
      </c>
      <c r="AN149" s="29">
        <f t="shared" si="76"/>
        <v>0</v>
      </c>
      <c r="AO149" s="29">
        <f t="shared" si="76"/>
        <v>0</v>
      </c>
      <c r="AP149" s="29">
        <f t="shared" si="76"/>
        <v>0</v>
      </c>
      <c r="AQ149" s="29">
        <f t="shared" si="76"/>
        <v>0</v>
      </c>
      <c r="AR149" s="29">
        <f t="shared" si="76"/>
        <v>0</v>
      </c>
      <c r="AS149" s="29">
        <f t="shared" si="76"/>
        <v>0</v>
      </c>
      <c r="AT149" s="29">
        <f t="shared" si="76"/>
        <v>0</v>
      </c>
      <c r="AU149" s="29">
        <f t="shared" si="76"/>
        <v>0</v>
      </c>
      <c r="AV149" s="29">
        <f t="shared" si="76"/>
        <v>0</v>
      </c>
      <c r="AW149" s="29">
        <f t="shared" si="76"/>
        <v>0</v>
      </c>
      <c r="AX149" s="29">
        <f t="shared" si="76"/>
        <v>0</v>
      </c>
      <c r="AY149" s="29">
        <f t="shared" si="76"/>
        <v>0</v>
      </c>
      <c r="AZ149" s="29">
        <f t="shared" si="76"/>
        <v>0</v>
      </c>
      <c r="BA149" s="29">
        <f t="shared" si="76"/>
        <v>0</v>
      </c>
      <c r="BB149" s="29">
        <f t="shared" si="76"/>
        <v>0</v>
      </c>
      <c r="BC149" s="29">
        <f t="shared" si="76"/>
        <v>0</v>
      </c>
      <c r="BD149" s="29">
        <f t="shared" si="76"/>
        <v>0</v>
      </c>
      <c r="BE149" s="29">
        <f t="shared" si="76"/>
        <v>0</v>
      </c>
      <c r="BF149" s="29">
        <f t="shared" si="76"/>
        <v>0</v>
      </c>
      <c r="BG149" s="29">
        <f t="shared" si="76"/>
        <v>0</v>
      </c>
      <c r="BH149" s="29">
        <f t="shared" si="76"/>
        <v>0</v>
      </c>
      <c r="BI149" s="29">
        <f t="shared" si="76"/>
        <v>0</v>
      </c>
      <c r="BJ149" s="29">
        <f t="shared" si="76"/>
        <v>0</v>
      </c>
      <c r="BK149" s="29">
        <f t="shared" si="76"/>
        <v>0</v>
      </c>
      <c r="BL149" s="29">
        <f t="shared" si="76"/>
        <v>0</v>
      </c>
      <c r="BM149" s="29">
        <f t="shared" si="76"/>
        <v>0</v>
      </c>
      <c r="BN149" s="29">
        <f t="shared" si="76"/>
        <v>0</v>
      </c>
      <c r="BO149" s="29">
        <f t="shared" si="77"/>
        <v>0</v>
      </c>
      <c r="BP149" s="29">
        <f t="shared" si="77"/>
        <v>0</v>
      </c>
    </row>
    <row r="150" spans="1:68" x14ac:dyDescent="0.35">
      <c r="A150" s="39" t="s">
        <v>144</v>
      </c>
      <c r="B150" s="30">
        <f t="shared" ref="B150:BM150" si="78">SUM(B127:B149)</f>
        <v>419847</v>
      </c>
      <c r="C150" s="30">
        <f t="shared" si="78"/>
        <v>52381</v>
      </c>
      <c r="D150" s="30">
        <f t="shared" si="78"/>
        <v>0</v>
      </c>
      <c r="E150" s="30">
        <f t="shared" si="78"/>
        <v>0</v>
      </c>
      <c r="F150" s="30">
        <f t="shared" si="78"/>
        <v>0</v>
      </c>
      <c r="G150" s="30">
        <f t="shared" si="78"/>
        <v>0</v>
      </c>
      <c r="H150" s="30">
        <f t="shared" si="78"/>
        <v>0</v>
      </c>
      <c r="I150" s="30">
        <f t="shared" si="78"/>
        <v>0</v>
      </c>
      <c r="J150" s="30">
        <f t="shared" si="78"/>
        <v>143</v>
      </c>
      <c r="K150" s="30">
        <f t="shared" si="78"/>
        <v>836</v>
      </c>
      <c r="L150" s="30">
        <f t="shared" si="78"/>
        <v>614</v>
      </c>
      <c r="M150" s="30">
        <f t="shared" si="78"/>
        <v>1181</v>
      </c>
      <c r="N150" s="30">
        <f t="shared" si="78"/>
        <v>796</v>
      </c>
      <c r="O150" s="30">
        <f t="shared" si="78"/>
        <v>26938</v>
      </c>
      <c r="P150" s="30">
        <f t="shared" si="78"/>
        <v>18898</v>
      </c>
      <c r="Q150" s="30">
        <f t="shared" si="78"/>
        <v>79673</v>
      </c>
      <c r="R150" s="30">
        <f t="shared" si="78"/>
        <v>31490</v>
      </c>
      <c r="S150" s="30">
        <f t="shared" si="78"/>
        <v>13754</v>
      </c>
      <c r="T150" s="30">
        <f t="shared" si="78"/>
        <v>26642</v>
      </c>
      <c r="U150" s="30">
        <f t="shared" si="78"/>
        <v>17050</v>
      </c>
      <c r="V150" s="30">
        <f t="shared" si="78"/>
        <v>13423</v>
      </c>
      <c r="W150" s="30">
        <f t="shared" si="78"/>
        <v>14559</v>
      </c>
      <c r="X150" s="30">
        <f t="shared" si="78"/>
        <v>5074</v>
      </c>
      <c r="Y150" s="30">
        <f t="shared" si="78"/>
        <v>7829</v>
      </c>
      <c r="Z150" s="30">
        <f t="shared" si="78"/>
        <v>8615</v>
      </c>
      <c r="AA150" s="30">
        <f t="shared" si="78"/>
        <v>21402</v>
      </c>
      <c r="AB150" s="30">
        <f t="shared" si="78"/>
        <v>21235</v>
      </c>
      <c r="AC150" s="30">
        <f t="shared" si="78"/>
        <v>26167</v>
      </c>
      <c r="AD150" s="30">
        <f t="shared" si="78"/>
        <v>30168</v>
      </c>
      <c r="AE150" s="30">
        <f t="shared" si="78"/>
        <v>210</v>
      </c>
      <c r="AF150" s="30">
        <f t="shared" si="78"/>
        <v>0</v>
      </c>
      <c r="AG150" s="30">
        <f t="shared" si="78"/>
        <v>0</v>
      </c>
      <c r="AH150" s="30">
        <f t="shared" si="78"/>
        <v>0</v>
      </c>
      <c r="AI150" s="30">
        <f t="shared" si="78"/>
        <v>72</v>
      </c>
      <c r="AJ150" s="30">
        <f t="shared" si="78"/>
        <v>197</v>
      </c>
      <c r="AK150" s="30">
        <f t="shared" si="78"/>
        <v>182</v>
      </c>
      <c r="AL150" s="30">
        <f t="shared" si="78"/>
        <v>0</v>
      </c>
      <c r="AM150" s="30">
        <f t="shared" si="78"/>
        <v>0</v>
      </c>
      <c r="AN150" s="30">
        <f t="shared" si="78"/>
        <v>0</v>
      </c>
      <c r="AO150" s="30">
        <f t="shared" si="78"/>
        <v>0</v>
      </c>
      <c r="AP150" s="30">
        <f t="shared" si="78"/>
        <v>0</v>
      </c>
      <c r="AQ150" s="30">
        <f t="shared" si="78"/>
        <v>95</v>
      </c>
      <c r="AR150" s="30">
        <f t="shared" si="78"/>
        <v>0</v>
      </c>
      <c r="AS150" s="30">
        <f t="shared" si="78"/>
        <v>45</v>
      </c>
      <c r="AT150" s="30">
        <f t="shared" si="78"/>
        <v>0</v>
      </c>
      <c r="AU150" s="30">
        <f t="shared" si="78"/>
        <v>0</v>
      </c>
      <c r="AV150" s="30">
        <f t="shared" si="78"/>
        <v>0</v>
      </c>
      <c r="AW150" s="30">
        <f t="shared" si="78"/>
        <v>0</v>
      </c>
      <c r="AX150" s="30">
        <f t="shared" si="78"/>
        <v>0</v>
      </c>
      <c r="AY150" s="30">
        <f t="shared" si="78"/>
        <v>0</v>
      </c>
      <c r="AZ150" s="30">
        <f t="shared" si="78"/>
        <v>0</v>
      </c>
      <c r="BA150" s="30">
        <f t="shared" si="78"/>
        <v>71</v>
      </c>
      <c r="BB150" s="30">
        <f t="shared" si="78"/>
        <v>0</v>
      </c>
      <c r="BC150" s="30">
        <f t="shared" si="78"/>
        <v>0</v>
      </c>
      <c r="BD150" s="30">
        <f t="shared" si="78"/>
        <v>0</v>
      </c>
      <c r="BE150" s="30">
        <f t="shared" si="78"/>
        <v>107</v>
      </c>
      <c r="BF150" s="30">
        <f t="shared" si="78"/>
        <v>0</v>
      </c>
      <c r="BG150" s="30">
        <f t="shared" si="78"/>
        <v>0</v>
      </c>
      <c r="BH150" s="30">
        <f t="shared" si="78"/>
        <v>0</v>
      </c>
      <c r="BI150" s="30">
        <f t="shared" si="78"/>
        <v>0</v>
      </c>
      <c r="BJ150" s="30">
        <f t="shared" si="78"/>
        <v>0</v>
      </c>
      <c r="BK150" s="30">
        <f t="shared" si="78"/>
        <v>0</v>
      </c>
      <c r="BL150" s="30">
        <f t="shared" si="78"/>
        <v>0</v>
      </c>
      <c r="BM150" s="30">
        <f t="shared" si="78"/>
        <v>0</v>
      </c>
      <c r="BN150" s="30">
        <f t="shared" ref="BN150:BP150" si="79">SUM(BN127:BN149)</f>
        <v>0</v>
      </c>
      <c r="BO150" s="30">
        <f t="shared" si="79"/>
        <v>0</v>
      </c>
      <c r="BP150" s="30">
        <f t="shared" si="79"/>
        <v>0</v>
      </c>
    </row>
    <row r="151" spans="1:68" x14ac:dyDescent="0.35">
      <c r="A151" s="172"/>
      <c r="B151" s="95"/>
      <c r="C151" s="95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</row>
    <row r="152" spans="1:68" x14ac:dyDescent="0.35">
      <c r="A152" s="38" t="s">
        <v>122</v>
      </c>
      <c r="B152" s="28"/>
      <c r="C152" s="97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</row>
    <row r="153" spans="1:68" x14ac:dyDescent="0.35">
      <c r="A153" s="36" t="s">
        <v>189</v>
      </c>
      <c r="B153" s="28">
        <f>SUM(B128,B130,B133,B137,B140,B143,B146)</f>
        <v>6142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</row>
    <row r="154" spans="1:68" x14ac:dyDescent="0.35">
      <c r="A154" s="36" t="s">
        <v>190</v>
      </c>
      <c r="B154" s="28">
        <f>SUM(B149,B148,B144,B141,B138,B131,B134)</f>
        <v>6940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</row>
    <row r="155" spans="1:68" x14ac:dyDescent="0.35">
      <c r="A155" s="36" t="s">
        <v>191</v>
      </c>
      <c r="B155" s="28">
        <f>B82+B63</f>
        <v>0</v>
      </c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</row>
    <row r="156" spans="1:68" x14ac:dyDescent="0.35">
      <c r="A156" s="36" t="s">
        <v>192</v>
      </c>
      <c r="B156" s="28">
        <f>SUM(B127,B129,B132,B135,B136,B139,B142,B145)</f>
        <v>406765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</row>
    <row r="157" spans="1:68" x14ac:dyDescent="0.35">
      <c r="A157" s="39" t="s">
        <v>123</v>
      </c>
      <c r="B157" s="30">
        <f>SUM(B153:B156)</f>
        <v>419847</v>
      </c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</row>
    <row r="158" spans="1:68" x14ac:dyDescent="0.35">
      <c r="B158" s="121">
        <f>+B157/5280</f>
        <v>79.516477272727272</v>
      </c>
      <c r="C158" t="s">
        <v>155</v>
      </c>
    </row>
  </sheetData>
  <pageMargins left="0.7" right="0.7" top="0.75" bottom="0.75" header="0.3" footer="0.3"/>
  <pageSetup paperSize="5" scale="60" fitToWidth="3" fitToHeight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8"/>
  <sheetViews>
    <sheetView view="pageBreakPreview" zoomScaleNormal="100" zoomScaleSheetLayoutView="100" workbookViewId="0">
      <selection activeCell="N29" sqref="N29"/>
    </sheetView>
  </sheetViews>
  <sheetFormatPr defaultRowHeight="14.5" x14ac:dyDescent="0.35"/>
  <cols>
    <col min="2" max="2" width="47.7265625" customWidth="1"/>
    <col min="3" max="3" width="11.54296875" bestFit="1" customWidth="1"/>
    <col min="4" max="4" width="7.1796875" customWidth="1"/>
    <col min="5" max="5" width="14.26953125" bestFit="1" customWidth="1"/>
    <col min="9" max="11" width="13.26953125" bestFit="1" customWidth="1"/>
  </cols>
  <sheetData>
    <row r="1" spans="1:11" x14ac:dyDescent="0.35">
      <c r="A1" s="132" t="s">
        <v>47</v>
      </c>
      <c r="B1" s="94"/>
      <c r="C1" s="94"/>
      <c r="D1" s="94"/>
      <c r="E1" s="94"/>
      <c r="F1" s="133" t="s">
        <v>75</v>
      </c>
    </row>
    <row r="2" spans="1:11" x14ac:dyDescent="0.35">
      <c r="A2" s="132" t="s">
        <v>137</v>
      </c>
      <c r="B2" s="94"/>
      <c r="C2" s="94"/>
      <c r="D2" s="94"/>
      <c r="E2" s="94"/>
      <c r="F2" s="94"/>
    </row>
    <row r="3" spans="1:11" x14ac:dyDescent="0.35">
      <c r="A3" s="132"/>
      <c r="B3" s="94"/>
      <c r="C3" s="94"/>
      <c r="D3" s="94"/>
      <c r="E3" s="94"/>
      <c r="F3" s="94"/>
    </row>
    <row r="4" spans="1:11" x14ac:dyDescent="0.35">
      <c r="A4" s="94"/>
      <c r="B4" s="94"/>
      <c r="C4" s="94"/>
      <c r="D4" s="94"/>
      <c r="E4" s="94"/>
      <c r="F4" s="94"/>
    </row>
    <row r="5" spans="1:11" x14ac:dyDescent="0.35">
      <c r="A5" s="94"/>
      <c r="B5" s="94"/>
      <c r="C5" s="94"/>
      <c r="D5" s="94"/>
      <c r="E5" s="94"/>
      <c r="F5" s="94"/>
    </row>
    <row r="6" spans="1:11" x14ac:dyDescent="0.35">
      <c r="A6" s="94"/>
      <c r="B6" s="94"/>
      <c r="C6" s="94"/>
      <c r="D6" s="94"/>
      <c r="E6" s="94"/>
      <c r="F6" s="94"/>
    </row>
    <row r="7" spans="1:11" x14ac:dyDescent="0.35">
      <c r="A7" s="94"/>
      <c r="B7" s="94"/>
      <c r="C7" s="94"/>
      <c r="D7" s="94"/>
      <c r="E7" s="94"/>
      <c r="F7" s="94"/>
    </row>
    <row r="8" spans="1:11" x14ac:dyDescent="0.35">
      <c r="A8" s="94"/>
      <c r="B8" s="94"/>
      <c r="C8" s="281" t="s">
        <v>79</v>
      </c>
      <c r="D8" s="281"/>
      <c r="E8" s="281"/>
      <c r="F8" s="94"/>
      <c r="J8" s="89"/>
      <c r="K8" s="89"/>
    </row>
    <row r="9" spans="1:11" x14ac:dyDescent="0.35">
      <c r="A9" s="94"/>
      <c r="B9" s="94"/>
      <c r="C9" s="223" t="s">
        <v>78</v>
      </c>
      <c r="D9" s="224"/>
      <c r="E9" s="223" t="s">
        <v>81</v>
      </c>
      <c r="F9" s="94"/>
    </row>
    <row r="10" spans="1:11" x14ac:dyDescent="0.35">
      <c r="A10" s="94" t="s">
        <v>80</v>
      </c>
      <c r="B10" s="94"/>
      <c r="C10" s="194">
        <f>52800*50</f>
        <v>2640000</v>
      </c>
      <c r="D10" s="94"/>
      <c r="E10" s="154">
        <f>52800*130</f>
        <v>6864000</v>
      </c>
      <c r="F10" s="132" t="s">
        <v>70</v>
      </c>
      <c r="I10" s="17"/>
      <c r="J10" s="89"/>
      <c r="K10" s="89"/>
    </row>
    <row r="11" spans="1:11" x14ac:dyDescent="0.35">
      <c r="A11" s="94" t="s">
        <v>77</v>
      </c>
      <c r="B11" s="94"/>
      <c r="C11" s="134">
        <v>448000</v>
      </c>
      <c r="D11" s="94"/>
      <c r="E11" s="134">
        <v>1527000</v>
      </c>
      <c r="F11" s="132" t="s">
        <v>71</v>
      </c>
    </row>
    <row r="12" spans="1:11" x14ac:dyDescent="0.35">
      <c r="A12" s="94" t="s">
        <v>72</v>
      </c>
      <c r="B12" s="94"/>
      <c r="C12" s="134">
        <v>225000</v>
      </c>
      <c r="D12" s="94"/>
      <c r="E12" s="193">
        <v>315000</v>
      </c>
      <c r="F12" s="132" t="s">
        <v>145</v>
      </c>
      <c r="J12" s="18"/>
      <c r="K12" s="18"/>
    </row>
    <row r="13" spans="1:11" x14ac:dyDescent="0.35">
      <c r="A13" s="94" t="s">
        <v>74</v>
      </c>
      <c r="B13" s="94"/>
      <c r="C13" s="175">
        <v>375000</v>
      </c>
      <c r="D13" s="94"/>
      <c r="E13" s="195">
        <v>500000</v>
      </c>
      <c r="F13" s="132" t="s">
        <v>73</v>
      </c>
      <c r="J13" s="18"/>
      <c r="K13" s="18"/>
    </row>
    <row r="14" spans="1:11" x14ac:dyDescent="0.35">
      <c r="A14" s="94"/>
      <c r="B14" s="94"/>
      <c r="C14" s="134">
        <f>SUM(C10:C13)</f>
        <v>3688000</v>
      </c>
      <c r="D14" s="132"/>
      <c r="E14" s="134">
        <f>SUM(E10:E13)</f>
        <v>9206000</v>
      </c>
      <c r="F14" s="94"/>
    </row>
    <row r="15" spans="1:11" x14ac:dyDescent="0.35">
      <c r="A15" s="94"/>
      <c r="B15" s="94"/>
      <c r="C15" s="94"/>
      <c r="D15" s="94"/>
      <c r="E15" s="94"/>
      <c r="F15" s="94"/>
    </row>
    <row r="16" spans="1:11" ht="15" customHeight="1" x14ac:dyDescent="0.35">
      <c r="A16" s="133" t="s">
        <v>70</v>
      </c>
      <c r="B16" s="283" t="s">
        <v>302</v>
      </c>
      <c r="C16" s="283"/>
      <c r="D16" s="283"/>
      <c r="E16" s="283"/>
      <c r="F16" s="283"/>
    </row>
    <row r="17" spans="1:6" x14ac:dyDescent="0.35">
      <c r="A17" s="133"/>
      <c r="B17" s="283"/>
      <c r="C17" s="283"/>
      <c r="D17" s="283"/>
      <c r="E17" s="283"/>
      <c r="F17" s="283"/>
    </row>
    <row r="18" spans="1:6" x14ac:dyDescent="0.35">
      <c r="A18" s="133"/>
      <c r="B18" s="94"/>
      <c r="C18" s="94"/>
      <c r="D18" s="94"/>
      <c r="E18" s="94"/>
      <c r="F18" s="94"/>
    </row>
    <row r="19" spans="1:6" ht="15" customHeight="1" x14ac:dyDescent="0.35">
      <c r="A19" s="133" t="s">
        <v>71</v>
      </c>
      <c r="B19" s="282" t="s">
        <v>301</v>
      </c>
      <c r="C19" s="282"/>
      <c r="D19" s="282"/>
      <c r="E19" s="282"/>
      <c r="F19" s="282"/>
    </row>
    <row r="20" spans="1:6" x14ac:dyDescent="0.35">
      <c r="A20" s="133"/>
      <c r="B20" s="282"/>
      <c r="C20" s="282"/>
      <c r="D20" s="282"/>
      <c r="E20" s="282"/>
      <c r="F20" s="282"/>
    </row>
    <row r="21" spans="1:6" x14ac:dyDescent="0.35">
      <c r="A21" s="133"/>
      <c r="B21" s="94"/>
      <c r="C21" s="94"/>
      <c r="D21" s="94"/>
      <c r="E21" s="94"/>
      <c r="F21" s="94"/>
    </row>
    <row r="22" spans="1:6" ht="15" customHeight="1" x14ac:dyDescent="0.35">
      <c r="A22" s="133" t="s">
        <v>145</v>
      </c>
      <c r="B22" s="283" t="s">
        <v>299</v>
      </c>
      <c r="C22" s="283"/>
      <c r="D22" s="283"/>
      <c r="E22" s="283"/>
      <c r="F22" s="283"/>
    </row>
    <row r="23" spans="1:6" ht="45" customHeight="1" x14ac:dyDescent="0.35">
      <c r="A23" s="133"/>
      <c r="B23" s="283"/>
      <c r="C23" s="283"/>
      <c r="D23" s="283"/>
      <c r="E23" s="283"/>
      <c r="F23" s="283"/>
    </row>
    <row r="24" spans="1:6" ht="15" customHeight="1" x14ac:dyDescent="0.35">
      <c r="A24" s="133"/>
      <c r="B24" s="230"/>
      <c r="C24" s="230"/>
      <c r="D24" s="230"/>
      <c r="E24" s="230"/>
      <c r="F24" s="230"/>
    </row>
    <row r="25" spans="1:6" ht="15" customHeight="1" x14ac:dyDescent="0.35">
      <c r="A25" s="133" t="s">
        <v>73</v>
      </c>
      <c r="B25" s="283" t="s">
        <v>300</v>
      </c>
      <c r="C25" s="283"/>
      <c r="D25" s="283"/>
      <c r="E25" s="283"/>
      <c r="F25" s="283"/>
    </row>
    <row r="26" spans="1:6" x14ac:dyDescent="0.35">
      <c r="A26" s="133"/>
      <c r="B26" s="283"/>
      <c r="C26" s="283"/>
      <c r="D26" s="283"/>
      <c r="E26" s="283"/>
      <c r="F26" s="283"/>
    </row>
    <row r="27" spans="1:6" ht="15" customHeight="1" x14ac:dyDescent="0.35">
      <c r="A27" s="133"/>
      <c r="B27" s="283"/>
      <c r="C27" s="283"/>
      <c r="D27" s="283"/>
      <c r="E27" s="283"/>
      <c r="F27" s="283"/>
    </row>
    <row r="28" spans="1:6" x14ac:dyDescent="0.35">
      <c r="A28" s="133"/>
      <c r="B28" s="283"/>
      <c r="C28" s="283"/>
      <c r="D28" s="283"/>
      <c r="E28" s="283"/>
      <c r="F28" s="283"/>
    </row>
  </sheetData>
  <mergeCells count="5">
    <mergeCell ref="C8:E8"/>
    <mergeCell ref="B19:F20"/>
    <mergeCell ref="B16:F17"/>
    <mergeCell ref="B22:F23"/>
    <mergeCell ref="B25:F28"/>
  </mergeCells>
  <pageMargins left="0.7" right="0.7" top="0.75" bottom="0.75" header="0.3" footer="0.3"/>
  <pageSetup scale="9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0"/>
  <sheetViews>
    <sheetView view="pageBreakPreview" zoomScale="90" zoomScaleNormal="100" zoomScaleSheetLayoutView="90" workbookViewId="0">
      <selection activeCell="F5" sqref="F5:L5"/>
    </sheetView>
  </sheetViews>
  <sheetFormatPr defaultColWidth="9" defaultRowHeight="14.5" x14ac:dyDescent="0.35"/>
  <cols>
    <col min="2" max="2" width="21" bestFit="1" customWidth="1"/>
    <col min="3" max="3" width="12.7265625" customWidth="1"/>
    <col min="4" max="4" width="3.7265625" customWidth="1"/>
    <col min="5" max="12" width="12.7265625" customWidth="1"/>
  </cols>
  <sheetData>
    <row r="1" spans="1:14" x14ac:dyDescent="0.35">
      <c r="A1" s="35" t="s">
        <v>47</v>
      </c>
      <c r="B1" s="36"/>
    </row>
    <row r="2" spans="1:14" x14ac:dyDescent="0.35">
      <c r="A2" s="35" t="s">
        <v>107</v>
      </c>
      <c r="B2" s="36"/>
    </row>
    <row r="3" spans="1:14" x14ac:dyDescent="0.35">
      <c r="F3" s="116"/>
      <c r="G3" s="116"/>
      <c r="H3" s="116"/>
      <c r="I3" s="116"/>
      <c r="J3" s="116"/>
      <c r="K3" s="116"/>
      <c r="L3" s="116"/>
    </row>
    <row r="4" spans="1:14" x14ac:dyDescent="0.35">
      <c r="E4" s="268">
        <v>2026</v>
      </c>
      <c r="F4" s="268">
        <v>2027</v>
      </c>
      <c r="G4" s="268">
        <v>2028</v>
      </c>
      <c r="H4" s="268">
        <v>2029</v>
      </c>
      <c r="I4" s="268">
        <v>2030</v>
      </c>
      <c r="J4" s="268">
        <v>2031</v>
      </c>
      <c r="K4" s="268">
        <v>2032</v>
      </c>
      <c r="L4" s="268">
        <v>2033</v>
      </c>
    </row>
    <row r="5" spans="1:14" x14ac:dyDescent="0.35">
      <c r="A5" s="15" t="s">
        <v>131</v>
      </c>
      <c r="E5" s="12">
        <f>+'Sch I Summary'!I19</f>
        <v>2819475.5435497863</v>
      </c>
      <c r="F5" s="12">
        <v>3449014.7430832013</v>
      </c>
      <c r="G5" s="12">
        <v>4046749.7101718113</v>
      </c>
      <c r="H5" s="12">
        <v>4648846.9301740257</v>
      </c>
      <c r="I5" s="12">
        <v>5254036.9225311438</v>
      </c>
      <c r="J5" s="12">
        <f>+I5+J6</f>
        <v>5839036.9225311438</v>
      </c>
      <c r="K5" s="12">
        <f>+J5+K6</f>
        <v>6424036.9225311438</v>
      </c>
      <c r="L5" s="12">
        <f>+K5+L6</f>
        <v>7009036.9225311438</v>
      </c>
      <c r="M5" s="13"/>
      <c r="N5" s="89"/>
    </row>
    <row r="6" spans="1:14" x14ac:dyDescent="0.35">
      <c r="A6" t="s">
        <v>153</v>
      </c>
      <c r="F6" s="12">
        <f>F5-E5</f>
        <v>629539.19953341503</v>
      </c>
      <c r="G6" s="12">
        <f>G5-F5</f>
        <v>597734.96708860993</v>
      </c>
      <c r="H6" s="12">
        <f>H5-G5</f>
        <v>602097.22000221442</v>
      </c>
      <c r="I6" s="12">
        <f>I5-H5</f>
        <v>605189.99235711806</v>
      </c>
      <c r="J6" s="12">
        <v>585000</v>
      </c>
      <c r="K6" s="12">
        <v>585000</v>
      </c>
      <c r="L6" s="12">
        <v>585000</v>
      </c>
      <c r="M6" s="13"/>
      <c r="N6" s="89"/>
    </row>
    <row r="7" spans="1:14" x14ac:dyDescent="0.35">
      <c r="F7" s="12"/>
      <c r="G7" s="12"/>
      <c r="H7" s="12"/>
      <c r="I7" s="12"/>
      <c r="J7" s="12"/>
      <c r="K7" s="12"/>
      <c r="L7" s="12"/>
      <c r="M7" s="13"/>
      <c r="N7" s="89"/>
    </row>
    <row r="8" spans="1:14" x14ac:dyDescent="0.35">
      <c r="A8" s="15" t="s">
        <v>132</v>
      </c>
      <c r="F8" s="12"/>
      <c r="G8" s="12"/>
      <c r="H8" s="12"/>
      <c r="I8" s="12"/>
      <c r="J8" s="12"/>
      <c r="K8" s="12"/>
      <c r="L8" s="12"/>
      <c r="M8" s="13"/>
      <c r="N8" s="89"/>
    </row>
    <row r="9" spans="1:14" x14ac:dyDescent="0.35">
      <c r="B9" s="107" t="s">
        <v>4</v>
      </c>
      <c r="E9" s="108">
        <f>+'Sch I Summary'!D26</f>
        <v>0.5234048871769108</v>
      </c>
      <c r="F9" s="12">
        <f>+F$5*$E9</f>
        <v>1805231.172474965</v>
      </c>
      <c r="G9" s="12">
        <f t="shared" ref="G9:L9" si="0">+G$5*$E9</f>
        <v>2118088.5754856733</v>
      </c>
      <c r="H9" s="12">
        <f t="shared" si="0"/>
        <v>2433229.2029904639</v>
      </c>
      <c r="I9" s="12">
        <f t="shared" si="0"/>
        <v>2749988.602660737</v>
      </c>
      <c r="J9" s="12">
        <f t="shared" si="0"/>
        <v>3056180.4616592298</v>
      </c>
      <c r="K9" s="12">
        <f t="shared" si="0"/>
        <v>3362372.3206577227</v>
      </c>
      <c r="L9" s="12">
        <f t="shared" si="0"/>
        <v>3668564.1796562155</v>
      </c>
      <c r="M9" s="13"/>
      <c r="N9" s="89"/>
    </row>
    <row r="10" spans="1:14" x14ac:dyDescent="0.35">
      <c r="B10" s="107" t="s">
        <v>5</v>
      </c>
      <c r="E10" s="108">
        <f>+'Sch I Summary'!D27</f>
        <v>0.15898219101106692</v>
      </c>
      <c r="F10" s="12">
        <f t="shared" ref="F10:L12" si="1">+F$5*$E10</f>
        <v>548331.92068483937</v>
      </c>
      <c r="G10" s="12">
        <f t="shared" si="1"/>
        <v>643361.13539651455</v>
      </c>
      <c r="H10" s="12">
        <f t="shared" si="1"/>
        <v>739083.87063413905</v>
      </c>
      <c r="I10" s="12">
        <f t="shared" si="1"/>
        <v>835298.30159704445</v>
      </c>
      <c r="J10" s="12">
        <f t="shared" si="1"/>
        <v>928302.88333851867</v>
      </c>
      <c r="K10" s="12">
        <f t="shared" si="1"/>
        <v>1021307.4650799928</v>
      </c>
      <c r="L10" s="12">
        <f t="shared" si="1"/>
        <v>1114312.0468214669</v>
      </c>
      <c r="M10" s="13"/>
      <c r="N10" s="89"/>
    </row>
    <row r="11" spans="1:14" x14ac:dyDescent="0.35">
      <c r="B11" s="107" t="s">
        <v>6</v>
      </c>
      <c r="E11" s="108">
        <f>+'Sch I Summary'!D28</f>
        <v>0.26882652198796697</v>
      </c>
      <c r="F11" s="12">
        <f t="shared" si="1"/>
        <v>927186.63766827853</v>
      </c>
      <c r="G11" s="12">
        <f t="shared" si="1"/>
        <v>1087873.6499413014</v>
      </c>
      <c r="H11" s="12">
        <f t="shared" si="1"/>
        <v>1249733.3514931204</v>
      </c>
      <c r="I11" s="12">
        <f t="shared" si="1"/>
        <v>1412424.4722804087</v>
      </c>
      <c r="J11" s="12">
        <f t="shared" si="1"/>
        <v>1569687.9876433695</v>
      </c>
      <c r="K11" s="12">
        <f t="shared" si="1"/>
        <v>1726951.5030063302</v>
      </c>
      <c r="L11" s="12">
        <f t="shared" si="1"/>
        <v>1884215.018369291</v>
      </c>
      <c r="M11" s="13"/>
      <c r="N11" s="89"/>
    </row>
    <row r="12" spans="1:14" x14ac:dyDescent="0.35">
      <c r="B12" s="107" t="s">
        <v>7</v>
      </c>
      <c r="E12" s="108">
        <f>+'Sch I Summary'!D29</f>
        <v>4.8786399824055304E-2</v>
      </c>
      <c r="F12" s="12">
        <f t="shared" si="1"/>
        <v>168265.01225511843</v>
      </c>
      <c r="G12" s="12">
        <f t="shared" si="1"/>
        <v>197426.34934832191</v>
      </c>
      <c r="H12" s="12">
        <f t="shared" si="1"/>
        <v>226800.50505630212</v>
      </c>
      <c r="I12" s="12">
        <f t="shared" si="1"/>
        <v>256325.54599295347</v>
      </c>
      <c r="J12" s="12">
        <f t="shared" si="1"/>
        <v>284865.58989002579</v>
      </c>
      <c r="K12" s="12">
        <f t="shared" si="1"/>
        <v>313405.63378709817</v>
      </c>
      <c r="L12" s="12">
        <f t="shared" si="1"/>
        <v>341945.67768417054</v>
      </c>
      <c r="M12" s="13"/>
      <c r="N12" s="89"/>
    </row>
    <row r="13" spans="1:14" x14ac:dyDescent="0.35">
      <c r="F13" s="13"/>
      <c r="G13" s="13"/>
      <c r="H13" s="13"/>
      <c r="I13" s="13"/>
      <c r="J13" s="13"/>
      <c r="K13" s="13"/>
      <c r="L13" s="13"/>
      <c r="M13" s="13"/>
      <c r="N13" s="89"/>
    </row>
    <row r="14" spans="1:14" x14ac:dyDescent="0.35">
      <c r="F14" s="13"/>
      <c r="G14" s="13"/>
      <c r="H14" s="13"/>
      <c r="I14" s="13"/>
      <c r="J14" s="13"/>
      <c r="K14" s="13"/>
      <c r="L14" s="13"/>
      <c r="M14" s="13"/>
      <c r="N14" s="89"/>
    </row>
    <row r="15" spans="1:14" x14ac:dyDescent="0.35">
      <c r="A15" s="15" t="s">
        <v>148</v>
      </c>
      <c r="F15" s="13"/>
      <c r="G15" s="13"/>
      <c r="H15" s="13"/>
      <c r="I15" s="13"/>
      <c r="J15" s="13"/>
      <c r="K15" s="13"/>
      <c r="L15" s="13"/>
      <c r="M15" s="13"/>
      <c r="N15" s="89"/>
    </row>
    <row r="16" spans="1:14" x14ac:dyDescent="0.35">
      <c r="B16" s="107" t="s">
        <v>4</v>
      </c>
      <c r="E16" s="109">
        <f>+'Sch I Summary'!F26</f>
        <v>1731476</v>
      </c>
      <c r="F16" s="13">
        <f>+$E16</f>
        <v>1731476</v>
      </c>
      <c r="G16" s="13">
        <f t="shared" ref="G16:L16" si="2">+$E16</f>
        <v>1731476</v>
      </c>
      <c r="H16" s="13">
        <f t="shared" si="2"/>
        <v>1731476</v>
      </c>
      <c r="I16" s="13">
        <f t="shared" si="2"/>
        <v>1731476</v>
      </c>
      <c r="J16" s="13">
        <f t="shared" si="2"/>
        <v>1731476</v>
      </c>
      <c r="K16" s="13">
        <f t="shared" si="2"/>
        <v>1731476</v>
      </c>
      <c r="L16" s="13">
        <f t="shared" si="2"/>
        <v>1731476</v>
      </c>
      <c r="M16" s="13"/>
      <c r="N16" s="89"/>
    </row>
    <row r="17" spans="1:14" x14ac:dyDescent="0.35">
      <c r="B17" s="107" t="s">
        <v>5</v>
      </c>
      <c r="E17" s="109">
        <f>+'Sch I Summary'!F27</f>
        <v>679115</v>
      </c>
      <c r="F17" s="13">
        <f t="shared" ref="F17:L19" si="3">+$E17</f>
        <v>679115</v>
      </c>
      <c r="G17" s="13">
        <f t="shared" si="3"/>
        <v>679115</v>
      </c>
      <c r="H17" s="13">
        <f t="shared" si="3"/>
        <v>679115</v>
      </c>
      <c r="I17" s="13">
        <f t="shared" si="3"/>
        <v>679115</v>
      </c>
      <c r="J17" s="13">
        <f t="shared" si="3"/>
        <v>679115</v>
      </c>
      <c r="K17" s="13">
        <f t="shared" si="3"/>
        <v>679115</v>
      </c>
      <c r="L17" s="13">
        <f t="shared" si="3"/>
        <v>679115</v>
      </c>
      <c r="M17" s="13"/>
      <c r="N17" s="89"/>
    </row>
    <row r="18" spans="1:14" x14ac:dyDescent="0.35">
      <c r="B18" s="107" t="s">
        <v>6</v>
      </c>
      <c r="E18" s="109">
        <f>+'Sch I Summary'!F28</f>
        <v>2360540</v>
      </c>
      <c r="F18" s="13">
        <f t="shared" si="3"/>
        <v>2360540</v>
      </c>
      <c r="G18" s="13">
        <f t="shared" si="3"/>
        <v>2360540</v>
      </c>
      <c r="H18" s="13">
        <f t="shared" si="3"/>
        <v>2360540</v>
      </c>
      <c r="I18" s="13">
        <f t="shared" si="3"/>
        <v>2360540</v>
      </c>
      <c r="J18" s="13">
        <f t="shared" si="3"/>
        <v>2360540</v>
      </c>
      <c r="K18" s="13">
        <f t="shared" si="3"/>
        <v>2360540</v>
      </c>
      <c r="L18" s="13">
        <f t="shared" si="3"/>
        <v>2360540</v>
      </c>
      <c r="M18" s="13"/>
      <c r="N18" s="89"/>
    </row>
    <row r="19" spans="1:14" x14ac:dyDescent="0.35">
      <c r="B19" s="107" t="s">
        <v>7</v>
      </c>
      <c r="E19" s="109">
        <f>+'Sch I Summary'!F29</f>
        <v>1653683</v>
      </c>
      <c r="F19" s="13">
        <f t="shared" si="3"/>
        <v>1653683</v>
      </c>
      <c r="G19" s="13">
        <f t="shared" si="3"/>
        <v>1653683</v>
      </c>
      <c r="H19" s="13">
        <f t="shared" si="3"/>
        <v>1653683</v>
      </c>
      <c r="I19" s="13">
        <f t="shared" si="3"/>
        <v>1653683</v>
      </c>
      <c r="J19" s="13">
        <f t="shared" si="3"/>
        <v>1653683</v>
      </c>
      <c r="K19" s="13">
        <f t="shared" si="3"/>
        <v>1653683</v>
      </c>
      <c r="L19" s="13">
        <f t="shared" si="3"/>
        <v>1653683</v>
      </c>
      <c r="M19" s="13"/>
      <c r="N19" s="89"/>
    </row>
    <row r="20" spans="1:14" x14ac:dyDescent="0.35">
      <c r="E20" s="94"/>
      <c r="F20" s="13"/>
      <c r="G20" s="13"/>
      <c r="H20" s="13"/>
      <c r="I20" s="13"/>
      <c r="J20" s="13"/>
      <c r="K20" s="13"/>
      <c r="L20" s="13"/>
      <c r="M20" s="13"/>
      <c r="N20" s="89"/>
    </row>
    <row r="21" spans="1:14" x14ac:dyDescent="0.35">
      <c r="E21" s="94"/>
      <c r="F21" s="13"/>
      <c r="G21" s="13"/>
      <c r="H21" s="13"/>
      <c r="I21" s="13"/>
      <c r="J21" s="13"/>
      <c r="K21" s="13"/>
      <c r="L21" s="13"/>
      <c r="M21" s="13"/>
      <c r="N21" s="89"/>
    </row>
    <row r="22" spans="1:14" x14ac:dyDescent="0.35">
      <c r="A22" s="15" t="s">
        <v>154</v>
      </c>
      <c r="E22" s="94"/>
      <c r="F22" s="13"/>
      <c r="G22" s="13"/>
      <c r="H22" s="13"/>
      <c r="I22" s="13"/>
      <c r="J22" s="13"/>
      <c r="K22" s="13"/>
      <c r="L22" s="13"/>
      <c r="M22" s="13"/>
      <c r="N22" s="89"/>
    </row>
    <row r="23" spans="1:14" x14ac:dyDescent="0.35">
      <c r="C23" s="11" t="s">
        <v>133</v>
      </c>
      <c r="D23" s="11"/>
      <c r="E23" s="11"/>
      <c r="F23" s="13"/>
      <c r="G23" s="13"/>
      <c r="H23" s="13"/>
      <c r="I23" s="13"/>
      <c r="J23" s="13"/>
      <c r="K23" s="13"/>
      <c r="L23" s="13"/>
      <c r="M23" s="13"/>
      <c r="N23" s="89"/>
    </row>
    <row r="24" spans="1:14" x14ac:dyDescent="0.35">
      <c r="C24" s="105" t="s">
        <v>134</v>
      </c>
      <c r="D24" s="105"/>
      <c r="E24" s="105" t="s">
        <v>135</v>
      </c>
      <c r="F24" s="13"/>
      <c r="G24" s="13"/>
      <c r="H24" s="13"/>
      <c r="I24" s="13"/>
      <c r="J24" s="13"/>
      <c r="K24" s="13"/>
      <c r="L24" s="13"/>
      <c r="M24" s="13"/>
      <c r="N24" s="89"/>
    </row>
    <row r="25" spans="1:14" x14ac:dyDescent="0.35">
      <c r="B25" s="107" t="s">
        <v>4</v>
      </c>
      <c r="C25" s="117">
        <v>0.55423</v>
      </c>
      <c r="D25" s="110"/>
      <c r="E25" s="117">
        <f>+'Sch I Summary'!G26</f>
        <v>0.85229422758386486</v>
      </c>
      <c r="F25" s="120">
        <f>+F9/F16</f>
        <v>1.0425967050510461</v>
      </c>
      <c r="G25" s="120">
        <f t="shared" ref="G25:L25" si="4">+G9/G16</f>
        <v>1.2232849750650159</v>
      </c>
      <c r="H25" s="120">
        <f t="shared" si="4"/>
        <v>1.4052919029720676</v>
      </c>
      <c r="I25" s="120">
        <f t="shared" si="4"/>
        <v>1.5882337396884143</v>
      </c>
      <c r="J25" s="120">
        <f t="shared" si="4"/>
        <v>1.7650723785136091</v>
      </c>
      <c r="K25" s="120">
        <f t="shared" si="4"/>
        <v>1.9419110173388039</v>
      </c>
      <c r="L25" s="120">
        <f t="shared" si="4"/>
        <v>2.1187496561639985</v>
      </c>
      <c r="M25" s="13"/>
      <c r="N25" s="89"/>
    </row>
    <row r="26" spans="1:14" x14ac:dyDescent="0.35">
      <c r="B26" s="107" t="s">
        <v>5</v>
      </c>
      <c r="C26" s="118">
        <v>0.35010000000000002</v>
      </c>
      <c r="D26" s="111"/>
      <c r="E26" s="118">
        <f>+'Sch I Summary'!G27</f>
        <v>0.66004432239016952</v>
      </c>
      <c r="F26" s="120">
        <f t="shared" ref="F26:L28" si="5">+F10/F17</f>
        <v>0.80742130667830836</v>
      </c>
      <c r="G26" s="120">
        <f t="shared" si="5"/>
        <v>0.94735226787291482</v>
      </c>
      <c r="H26" s="120">
        <f t="shared" si="5"/>
        <v>1.0883044412715652</v>
      </c>
      <c r="I26" s="120">
        <f t="shared" si="5"/>
        <v>1.2299806389154184</v>
      </c>
      <c r="J26" s="120">
        <f t="shared" si="5"/>
        <v>1.3669303186331014</v>
      </c>
      <c r="K26" s="120">
        <f t="shared" si="5"/>
        <v>1.5038799983507842</v>
      </c>
      <c r="L26" s="120">
        <f t="shared" si="5"/>
        <v>1.6408296780684668</v>
      </c>
      <c r="M26" s="111"/>
      <c r="N26" s="89"/>
    </row>
    <row r="27" spans="1:14" x14ac:dyDescent="0.35">
      <c r="B27" s="107" t="s">
        <v>6</v>
      </c>
      <c r="C27" s="118">
        <v>0.22227</v>
      </c>
      <c r="D27" s="111"/>
      <c r="E27" s="118">
        <f>+'Sch I Summary'!G28</f>
        <v>0.32109178408330297</v>
      </c>
      <c r="F27" s="120">
        <f t="shared" si="5"/>
        <v>0.39278581920589295</v>
      </c>
      <c r="G27" s="120">
        <f t="shared" si="5"/>
        <v>0.46085796044180632</v>
      </c>
      <c r="H27" s="120">
        <f t="shared" si="5"/>
        <v>0.52942689024253786</v>
      </c>
      <c r="I27" s="120">
        <f t="shared" si="5"/>
        <v>0.59834803573775863</v>
      </c>
      <c r="J27" s="120">
        <f t="shared" si="5"/>
        <v>0.66496987453860956</v>
      </c>
      <c r="K27" s="120">
        <f t="shared" si="5"/>
        <v>0.7315917133394606</v>
      </c>
      <c r="L27" s="120">
        <f t="shared" si="5"/>
        <v>0.79821355214031153</v>
      </c>
      <c r="M27" s="111"/>
      <c r="N27" s="89"/>
    </row>
    <row r="28" spans="1:14" x14ac:dyDescent="0.35">
      <c r="B28" s="107" t="s">
        <v>7</v>
      </c>
      <c r="C28" s="118">
        <v>7.2950000000000001E-2</v>
      </c>
      <c r="D28" s="111"/>
      <c r="E28" s="118">
        <f>+'Sch I Summary'!G29</f>
        <v>8.3179182467256418E-2</v>
      </c>
      <c r="F28" s="120">
        <f t="shared" si="5"/>
        <v>0.10175167323792918</v>
      </c>
      <c r="G28" s="120">
        <f t="shared" si="5"/>
        <v>0.11938584925183479</v>
      </c>
      <c r="H28" s="120">
        <f t="shared" si="5"/>
        <v>0.13714871898441366</v>
      </c>
      <c r="I28" s="120">
        <f t="shared" si="5"/>
        <v>0.15500283064707895</v>
      </c>
      <c r="J28" s="120">
        <f t="shared" si="5"/>
        <v>0.17226130394400002</v>
      </c>
      <c r="K28" s="120">
        <f t="shared" si="5"/>
        <v>0.18951977724092112</v>
      </c>
      <c r="L28" s="120">
        <f t="shared" si="5"/>
        <v>0.20677825053784221</v>
      </c>
      <c r="M28" s="111"/>
      <c r="N28" s="89"/>
    </row>
    <row r="29" spans="1:14" x14ac:dyDescent="0.35">
      <c r="C29" s="111"/>
      <c r="D29" s="111"/>
      <c r="E29" s="112"/>
      <c r="F29" s="111"/>
      <c r="G29" s="111"/>
      <c r="H29" s="111"/>
      <c r="I29" s="111"/>
      <c r="J29" s="111"/>
      <c r="K29" s="111"/>
      <c r="L29" s="111"/>
      <c r="M29" s="111"/>
      <c r="N29" s="17"/>
    </row>
    <row r="30" spans="1:14" x14ac:dyDescent="0.35">
      <c r="C30" s="113"/>
      <c r="E30" s="113"/>
    </row>
  </sheetData>
  <pageMargins left="0.7" right="0.7" top="0.75" bottom="0.75" header="0.3" footer="0.3"/>
  <pageSetup paperSize="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5978-1F91-43D9-9B3B-E580022CB47B}">
  <sheetPr>
    <pageSetUpPr fitToPage="1"/>
  </sheetPr>
  <dimension ref="A1:R41"/>
  <sheetViews>
    <sheetView zoomScaleNormal="100" workbookViewId="0">
      <selection activeCell="F30" sqref="F30"/>
    </sheetView>
  </sheetViews>
  <sheetFormatPr defaultColWidth="9.1796875" defaultRowHeight="14.5" x14ac:dyDescent="0.35"/>
  <cols>
    <col min="1" max="1" width="3" style="94" customWidth="1"/>
    <col min="2" max="2" width="18.54296875" style="94" bestFit="1" customWidth="1"/>
    <col min="3" max="3" width="12.54296875" style="94" bestFit="1" customWidth="1"/>
    <col min="4" max="4" width="13.7265625" style="94" bestFit="1" customWidth="1"/>
    <col min="5" max="5" width="14" style="94" bestFit="1" customWidth="1"/>
    <col min="6" max="6" width="12.7265625" style="94" customWidth="1"/>
    <col min="7" max="7" width="12.54296875" style="94" bestFit="1" customWidth="1"/>
    <col min="8" max="8" width="13.26953125" style="94" bestFit="1" customWidth="1"/>
    <col min="9" max="9" width="2.7265625" style="94" customWidth="1"/>
    <col min="10" max="10" width="10.7265625" style="94" customWidth="1"/>
    <col min="11" max="11" width="8.1796875" style="94" bestFit="1" customWidth="1"/>
    <col min="12" max="12" width="9.81640625" style="94" bestFit="1" customWidth="1"/>
    <col min="13" max="14" width="11.26953125" style="94" bestFit="1" customWidth="1"/>
    <col min="15" max="15" width="8.453125" style="94" bestFit="1" customWidth="1"/>
    <col min="16" max="16" width="11.26953125" style="94" bestFit="1" customWidth="1"/>
    <col min="17" max="17" width="2.7265625" style="94" customWidth="1"/>
    <col min="18" max="18" width="9.1796875" style="94" bestFit="1" customWidth="1"/>
    <col min="19" max="16384" width="9.1796875" style="94"/>
  </cols>
  <sheetData>
    <row r="1" spans="1:18" x14ac:dyDescent="0.35">
      <c r="A1" s="132" t="s">
        <v>23</v>
      </c>
      <c r="B1" s="189"/>
      <c r="C1" s="132">
        <v>2023</v>
      </c>
      <c r="R1" s="190" t="s">
        <v>211</v>
      </c>
    </row>
    <row r="2" spans="1:18" x14ac:dyDescent="0.35">
      <c r="A2" s="132" t="s">
        <v>44</v>
      </c>
      <c r="D2" s="191"/>
      <c r="F2" s="276" t="s">
        <v>32</v>
      </c>
      <c r="G2" s="276"/>
      <c r="H2" s="276"/>
      <c r="R2" s="190" t="s">
        <v>233</v>
      </c>
    </row>
    <row r="3" spans="1:18" x14ac:dyDescent="0.35">
      <c r="D3" s="191" t="s">
        <v>34</v>
      </c>
      <c r="G3" s="191"/>
      <c r="J3" s="191" t="s">
        <v>31</v>
      </c>
    </row>
    <row r="4" spans="1:18" x14ac:dyDescent="0.35">
      <c r="C4" s="191">
        <v>2023</v>
      </c>
      <c r="D4" s="191" t="s">
        <v>22</v>
      </c>
      <c r="F4" s="191"/>
      <c r="G4" s="191" t="s">
        <v>2</v>
      </c>
      <c r="H4" s="191"/>
      <c r="J4" s="191" t="s">
        <v>39</v>
      </c>
      <c r="O4" s="191" t="s">
        <v>59</v>
      </c>
      <c r="P4" s="191" t="s">
        <v>59</v>
      </c>
    </row>
    <row r="5" spans="1:18" x14ac:dyDescent="0.35">
      <c r="C5" s="192" t="s">
        <v>18</v>
      </c>
      <c r="D5" s="192">
        <v>1</v>
      </c>
      <c r="F5" s="192" t="s">
        <v>19</v>
      </c>
      <c r="G5" s="192" t="s">
        <v>14</v>
      </c>
      <c r="H5" s="192" t="s">
        <v>20</v>
      </c>
      <c r="J5" s="192" t="s">
        <v>40</v>
      </c>
      <c r="O5" s="192" t="s">
        <v>11</v>
      </c>
      <c r="P5" s="192" t="s">
        <v>13</v>
      </c>
    </row>
    <row r="6" spans="1:18" x14ac:dyDescent="0.35">
      <c r="A6" s="94">
        <v>1</v>
      </c>
      <c r="B6" s="94" t="s">
        <v>45</v>
      </c>
      <c r="C6" s="134">
        <f>+'Schedule IV 2023 Monthly'!Q19</f>
        <v>2581885.019230769</v>
      </c>
      <c r="D6" s="161">
        <v>3.0499999999999999E-2</v>
      </c>
      <c r="F6" s="134">
        <v>0</v>
      </c>
      <c r="G6" s="134">
        <f>ROUND(IF(D$5=1,-D6*C6,-D6*C6),0)</f>
        <v>-78747</v>
      </c>
      <c r="H6" s="134">
        <f>SUM(F6:G6)</f>
        <v>-78747</v>
      </c>
      <c r="J6" s="193">
        <f t="shared" ref="J6:J11" si="0">C6+H6</f>
        <v>2503138.019230769</v>
      </c>
      <c r="O6" s="173">
        <v>1E-4</v>
      </c>
      <c r="P6" s="194">
        <f>ROUND(IF(D$5=1,-O6*C6,-O6*C6),0)</f>
        <v>-258</v>
      </c>
    </row>
    <row r="7" spans="1:18" x14ac:dyDescent="0.35">
      <c r="A7" s="94">
        <v>2</v>
      </c>
      <c r="B7" s="94" t="s">
        <v>0</v>
      </c>
      <c r="C7" s="134">
        <f>+'Schedule IV 2023 Monthly'!Q22</f>
        <v>259059.28461538468</v>
      </c>
      <c r="D7" s="161">
        <v>2.8799999999999999E-2</v>
      </c>
      <c r="F7" s="134">
        <v>0</v>
      </c>
      <c r="G7" s="134">
        <f>ROUND(IF(D$5=1,-D7*C7,-D7*C7),0)</f>
        <v>-7461</v>
      </c>
      <c r="H7" s="134">
        <f t="shared" ref="H7:H11" si="1">SUM(F7:G7)</f>
        <v>-7461</v>
      </c>
      <c r="J7" s="193">
        <f t="shared" si="0"/>
        <v>251598.28461538468</v>
      </c>
      <c r="O7" s="173">
        <v>2.0000000000000001E-4</v>
      </c>
      <c r="P7" s="193">
        <f>ROUND(IF(D$5=1,-O7*C7,-O7*C7),0)</f>
        <v>-52</v>
      </c>
    </row>
    <row r="8" spans="1:18" x14ac:dyDescent="0.35">
      <c r="A8" s="94">
        <v>3</v>
      </c>
      <c r="B8" s="94" t="s">
        <v>1</v>
      </c>
      <c r="C8" s="134">
        <f>+'Schedule IV 2023 Monthly'!Q25</f>
        <v>258937.09676923073</v>
      </c>
      <c r="D8" s="161">
        <v>3.1E-2</v>
      </c>
      <c r="F8" s="134">
        <v>0</v>
      </c>
      <c r="G8" s="134">
        <f>ROUND(IF(D$5=1,-D8*C8,-D8*C8),0)</f>
        <v>-8027</v>
      </c>
      <c r="H8" s="134">
        <f t="shared" si="1"/>
        <v>-8027</v>
      </c>
      <c r="J8" s="193">
        <f t="shared" si="0"/>
        <v>250910.09676923073</v>
      </c>
      <c r="O8" s="173">
        <v>4.1999999999999997E-3</v>
      </c>
      <c r="P8" s="193">
        <f>ROUND(IF(D$5=1,-O8*C8,-O8*C8),0)</f>
        <v>-1088</v>
      </c>
    </row>
    <row r="9" spans="1:18" x14ac:dyDescent="0.35">
      <c r="A9" s="94">
        <v>4</v>
      </c>
      <c r="B9" s="94" t="s">
        <v>16</v>
      </c>
      <c r="C9" s="134"/>
      <c r="D9" s="161">
        <v>2.2499999999999999E-2</v>
      </c>
      <c r="F9" s="134">
        <v>0</v>
      </c>
      <c r="G9" s="134">
        <f>ROUND(IF(D$5=1,-0.5*D9*C9,-D9*C9),0)</f>
        <v>0</v>
      </c>
      <c r="H9" s="134">
        <f t="shared" si="1"/>
        <v>0</v>
      </c>
      <c r="J9" s="193">
        <f t="shared" si="0"/>
        <v>0</v>
      </c>
      <c r="O9" s="173">
        <v>0</v>
      </c>
      <c r="P9" s="193">
        <f>IF(D$5=1,-0.5*O9*C9,-O9*C9)</f>
        <v>0</v>
      </c>
    </row>
    <row r="10" spans="1:18" x14ac:dyDescent="0.35">
      <c r="A10" s="94">
        <v>5</v>
      </c>
      <c r="B10" s="94" t="s">
        <v>15</v>
      </c>
      <c r="C10" s="134"/>
      <c r="D10" s="161">
        <v>2.0500000000000001E-2</v>
      </c>
      <c r="F10" s="134">
        <v>0</v>
      </c>
      <c r="G10" s="134">
        <f>ROUND(IF(D$5=1,-0.5*D10*C10,-D10*C10),0)</f>
        <v>0</v>
      </c>
      <c r="H10" s="134">
        <f t="shared" si="1"/>
        <v>0</v>
      </c>
      <c r="J10" s="193">
        <f t="shared" si="0"/>
        <v>0</v>
      </c>
      <c r="O10" s="173">
        <v>0</v>
      </c>
      <c r="P10" s="193">
        <f>IF(D$5=1,-0.5*O10*C10,-O10*C10)</f>
        <v>0</v>
      </c>
    </row>
    <row r="11" spans="1:18" x14ac:dyDescent="0.35">
      <c r="A11" s="94">
        <v>6</v>
      </c>
      <c r="B11" s="94" t="s">
        <v>54</v>
      </c>
      <c r="C11" s="175">
        <f>+'Schedule IV 2023 Monthly'!Q6</f>
        <v>61719.538461538461</v>
      </c>
      <c r="D11" s="174" t="s">
        <v>53</v>
      </c>
      <c r="F11" s="175">
        <v>0</v>
      </c>
      <c r="G11" s="175">
        <f>P12</f>
        <v>-1398</v>
      </c>
      <c r="H11" s="175">
        <f t="shared" si="1"/>
        <v>-1398</v>
      </c>
      <c r="J11" s="195">
        <f t="shared" si="0"/>
        <v>60321.538461538461</v>
      </c>
      <c r="O11" s="176">
        <v>0</v>
      </c>
      <c r="P11" s="195">
        <f>IF(D$5=1,-0.5*O11*C11,-O11*C11)</f>
        <v>0</v>
      </c>
    </row>
    <row r="12" spans="1:18" x14ac:dyDescent="0.35">
      <c r="C12" s="134">
        <f>SUM(C6:C11)</f>
        <v>3161600.9390769233</v>
      </c>
      <c r="D12" s="134"/>
      <c r="F12" s="134">
        <f>SUM(F5:F11)</f>
        <v>0</v>
      </c>
      <c r="G12" s="134">
        <f>SUM(G5:G11)</f>
        <v>-95633</v>
      </c>
      <c r="H12" s="134">
        <f>SUM(H5:H11)</f>
        <v>-95633</v>
      </c>
      <c r="J12" s="193">
        <f>SUM(J6:J11)</f>
        <v>3065967.9390769233</v>
      </c>
      <c r="O12" s="193"/>
      <c r="P12" s="194">
        <f>SUM(P5:P11)</f>
        <v>-1398</v>
      </c>
    </row>
    <row r="13" spans="1:18" x14ac:dyDescent="0.35">
      <c r="C13" s="134"/>
      <c r="D13" s="134"/>
      <c r="E13" s="134"/>
      <c r="F13" s="134"/>
      <c r="M13" s="191"/>
    </row>
    <row r="14" spans="1:18" x14ac:dyDescent="0.35">
      <c r="C14" s="219"/>
      <c r="M14" s="191"/>
    </row>
    <row r="15" spans="1:18" x14ac:dyDescent="0.35">
      <c r="D15" s="191"/>
    </row>
    <row r="16" spans="1:18" x14ac:dyDescent="0.35">
      <c r="A16" s="171"/>
      <c r="B16" s="171"/>
      <c r="C16" s="171"/>
      <c r="D16" s="196" t="s">
        <v>26</v>
      </c>
      <c r="E16" s="171"/>
      <c r="F16" s="171"/>
      <c r="G16" s="197">
        <v>0</v>
      </c>
      <c r="H16" s="171"/>
      <c r="I16" s="171"/>
      <c r="J16" s="137"/>
      <c r="K16" s="196" t="s">
        <v>21</v>
      </c>
      <c r="L16" s="277" t="s">
        <v>33</v>
      </c>
      <c r="M16" s="277"/>
      <c r="N16" s="277"/>
      <c r="O16" s="277"/>
      <c r="P16" s="277"/>
      <c r="Q16" s="171"/>
      <c r="R16" s="196" t="s">
        <v>12</v>
      </c>
    </row>
    <row r="17" spans="1:18" x14ac:dyDescent="0.35">
      <c r="A17" s="171"/>
      <c r="B17" s="171"/>
      <c r="C17" s="196" t="s">
        <v>31</v>
      </c>
      <c r="D17" s="196" t="s">
        <v>14</v>
      </c>
      <c r="E17" s="196" t="s">
        <v>12</v>
      </c>
      <c r="F17" s="196" t="s">
        <v>12</v>
      </c>
      <c r="G17" s="196" t="s">
        <v>25</v>
      </c>
      <c r="H17" s="196" t="s">
        <v>29</v>
      </c>
      <c r="I17" s="171"/>
      <c r="J17" s="196"/>
      <c r="K17" s="196" t="s">
        <v>24</v>
      </c>
      <c r="L17" s="196"/>
      <c r="M17" s="196" t="s">
        <v>12</v>
      </c>
      <c r="N17" s="196" t="s">
        <v>25</v>
      </c>
      <c r="O17" s="196" t="s">
        <v>21</v>
      </c>
      <c r="P17" s="196"/>
      <c r="Q17" s="171"/>
      <c r="R17" s="196" t="s">
        <v>39</v>
      </c>
    </row>
    <row r="18" spans="1:18" x14ac:dyDescent="0.35">
      <c r="A18" s="171"/>
      <c r="B18" s="171"/>
      <c r="C18" s="198" t="s">
        <v>18</v>
      </c>
      <c r="D18" s="198" t="s">
        <v>27</v>
      </c>
      <c r="E18" s="198" t="s">
        <v>14</v>
      </c>
      <c r="F18" s="198" t="s">
        <v>28</v>
      </c>
      <c r="G18" s="198" t="s">
        <v>2</v>
      </c>
      <c r="H18" s="198" t="s">
        <v>30</v>
      </c>
      <c r="I18" s="171"/>
      <c r="J18" s="198" t="s">
        <v>17</v>
      </c>
      <c r="K18" s="198">
        <f>D5</f>
        <v>1</v>
      </c>
      <c r="L18" s="198" t="s">
        <v>19</v>
      </c>
      <c r="M18" s="198" t="s">
        <v>14</v>
      </c>
      <c r="N18" s="198" t="s">
        <v>13</v>
      </c>
      <c r="O18" s="198" t="s">
        <v>13</v>
      </c>
      <c r="P18" s="198" t="s">
        <v>20</v>
      </c>
      <c r="Q18" s="171"/>
      <c r="R18" s="198" t="s">
        <v>40</v>
      </c>
    </row>
    <row r="19" spans="1:18" x14ac:dyDescent="0.35">
      <c r="A19" s="171">
        <v>7</v>
      </c>
      <c r="B19" s="171" t="s">
        <v>45</v>
      </c>
      <c r="C19" s="180">
        <f t="shared" ref="C19:C24" si="2">C6</f>
        <v>2581885.019230769</v>
      </c>
      <c r="D19" s="123">
        <v>1</v>
      </c>
      <c r="E19" s="180">
        <f>ROUND(C19*-D19,0)</f>
        <v>-2581885</v>
      </c>
      <c r="F19" s="180">
        <f>C19+E19</f>
        <v>1.9230769015848637E-2</v>
      </c>
      <c r="G19" s="180">
        <f t="shared" ref="G19:G24" si="3">ROUND(F19*-$G$16,0)</f>
        <v>0</v>
      </c>
      <c r="H19" s="177">
        <f t="shared" ref="H19:H24" si="4">F19+G19</f>
        <v>1.9230769015848637E-2</v>
      </c>
      <c r="I19" s="171"/>
      <c r="J19" s="171">
        <v>20</v>
      </c>
      <c r="K19" s="199">
        <f>IFERROR(VLOOKUP(J19,'[1]Tax Rates'!$A$1:$AA$12,$K$18+1,FALSE),0)</f>
        <v>3.7499999999999999E-2</v>
      </c>
      <c r="L19" s="177">
        <v>0</v>
      </c>
      <c r="M19" s="200">
        <f t="shared" ref="M19:M24" si="5">E19</f>
        <v>-2581885</v>
      </c>
      <c r="N19" s="200">
        <f t="shared" ref="N19:N24" si="6">G19</f>
        <v>0</v>
      </c>
      <c r="O19" s="180">
        <f>ROUND(K19*-H19,0)</f>
        <v>0</v>
      </c>
      <c r="P19" s="177">
        <f t="shared" ref="P19:P24" si="7">SUM(L19:O19)</f>
        <v>-2581885</v>
      </c>
      <c r="Q19" s="171"/>
      <c r="R19" s="200">
        <f>C19+P19</f>
        <v>1.9230769015848637E-2</v>
      </c>
    </row>
    <row r="20" spans="1:18" x14ac:dyDescent="0.35">
      <c r="A20" s="171">
        <v>8</v>
      </c>
      <c r="B20" s="171" t="s">
        <v>0</v>
      </c>
      <c r="C20" s="178">
        <f t="shared" si="2"/>
        <v>259059.28461538468</v>
      </c>
      <c r="D20" s="123">
        <v>1</v>
      </c>
      <c r="E20" s="180">
        <f>ROUND(C20*-D20,0)</f>
        <v>-259059</v>
      </c>
      <c r="F20" s="180">
        <f>C20+E20</f>
        <v>0.28461538467672653</v>
      </c>
      <c r="G20" s="180">
        <f t="shared" si="3"/>
        <v>0</v>
      </c>
      <c r="H20" s="177">
        <f t="shared" si="4"/>
        <v>0.28461538467672653</v>
      </c>
      <c r="I20" s="171"/>
      <c r="J20" s="171">
        <v>15</v>
      </c>
      <c r="K20" s="199">
        <f>IFERROR(VLOOKUP(J20,'[1]Tax Rates'!$A$1:$AA$12,$K$18+1,FALSE),0)</f>
        <v>0.05</v>
      </c>
      <c r="L20" s="177">
        <v>0</v>
      </c>
      <c r="M20" s="200">
        <f t="shared" si="5"/>
        <v>-259059</v>
      </c>
      <c r="N20" s="200">
        <f t="shared" si="6"/>
        <v>0</v>
      </c>
      <c r="O20" s="180">
        <f>ROUND(K20*-H20,0)</f>
        <v>0</v>
      </c>
      <c r="P20" s="177">
        <f t="shared" si="7"/>
        <v>-259059</v>
      </c>
      <c r="Q20" s="171"/>
      <c r="R20" s="200">
        <f>C20+P20</f>
        <v>0.28461538467672653</v>
      </c>
    </row>
    <row r="21" spans="1:18" x14ac:dyDescent="0.35">
      <c r="A21" s="171">
        <v>9</v>
      </c>
      <c r="B21" s="171" t="s">
        <v>1</v>
      </c>
      <c r="C21" s="178">
        <f t="shared" si="2"/>
        <v>258937.09676923073</v>
      </c>
      <c r="D21" s="123">
        <v>1</v>
      </c>
      <c r="E21" s="180">
        <f>ROUND(C21*-D21,0)</f>
        <v>-258937</v>
      </c>
      <c r="F21" s="180">
        <f>C21+E21</f>
        <v>9.6769230731297284E-2</v>
      </c>
      <c r="G21" s="178">
        <f t="shared" si="3"/>
        <v>0</v>
      </c>
      <c r="H21" s="177">
        <f t="shared" si="4"/>
        <v>9.6769230731297284E-2</v>
      </c>
      <c r="I21" s="171"/>
      <c r="J21" s="171">
        <v>20</v>
      </c>
      <c r="K21" s="199">
        <f>IFERROR(VLOOKUP(J21,'[1]Tax Rates'!$A$1:$AA$12,$K$18+1,FALSE),0)</f>
        <v>3.7499999999999999E-2</v>
      </c>
      <c r="L21" s="177">
        <v>0</v>
      </c>
      <c r="M21" s="200">
        <f t="shared" si="5"/>
        <v>-258937</v>
      </c>
      <c r="N21" s="200">
        <f t="shared" si="6"/>
        <v>0</v>
      </c>
      <c r="O21" s="180">
        <f>ROUND(K21*-H21,0)</f>
        <v>0</v>
      </c>
      <c r="P21" s="177">
        <f t="shared" si="7"/>
        <v>-258937</v>
      </c>
      <c r="Q21" s="171"/>
      <c r="R21" s="200">
        <f>C21+P21</f>
        <v>9.6769230731297284E-2</v>
      </c>
    </row>
    <row r="22" spans="1:18" x14ac:dyDescent="0.35">
      <c r="A22" s="171">
        <v>10</v>
      </c>
      <c r="B22" s="171" t="s">
        <v>16</v>
      </c>
      <c r="C22" s="178">
        <f t="shared" si="2"/>
        <v>0</v>
      </c>
      <c r="D22" s="123">
        <v>0</v>
      </c>
      <c r="E22" s="180">
        <f t="shared" ref="E22:E24" si="8">ROUND(C22*-D22,0)</f>
        <v>0</v>
      </c>
      <c r="F22" s="180">
        <f t="shared" ref="F22:F24" si="9">C22+E22</f>
        <v>0</v>
      </c>
      <c r="G22" s="178">
        <f t="shared" si="3"/>
        <v>0</v>
      </c>
      <c r="H22" s="177">
        <f t="shared" si="4"/>
        <v>0</v>
      </c>
      <c r="I22" s="171"/>
      <c r="J22" s="171">
        <v>7</v>
      </c>
      <c r="K22" s="199">
        <f>IFERROR(VLOOKUP(J22,'[1]Tax Rates'!$A$1:$AA$12,$K$18+1,FALSE),0)</f>
        <v>0.14285999999999999</v>
      </c>
      <c r="L22" s="177">
        <v>0</v>
      </c>
      <c r="M22" s="200">
        <f t="shared" si="5"/>
        <v>0</v>
      </c>
      <c r="N22" s="200">
        <f t="shared" si="6"/>
        <v>0</v>
      </c>
      <c r="O22" s="180">
        <f>ROUND(K22*-H22,0)</f>
        <v>0</v>
      </c>
      <c r="P22" s="177">
        <f t="shared" si="7"/>
        <v>0</v>
      </c>
      <c r="Q22" s="171"/>
      <c r="R22" s="200">
        <f>C22+P22</f>
        <v>0</v>
      </c>
    </row>
    <row r="23" spans="1:18" x14ac:dyDescent="0.35">
      <c r="A23" s="171">
        <v>11</v>
      </c>
      <c r="B23" s="171" t="s">
        <v>15</v>
      </c>
      <c r="C23" s="178">
        <f t="shared" si="2"/>
        <v>0</v>
      </c>
      <c r="D23" s="123">
        <v>0</v>
      </c>
      <c r="E23" s="180">
        <f t="shared" si="8"/>
        <v>0</v>
      </c>
      <c r="F23" s="180">
        <f t="shared" si="9"/>
        <v>0</v>
      </c>
      <c r="G23" s="178">
        <f t="shared" si="3"/>
        <v>0</v>
      </c>
      <c r="H23" s="177">
        <f t="shared" si="4"/>
        <v>0</v>
      </c>
      <c r="I23" s="171"/>
      <c r="J23" s="171">
        <v>15</v>
      </c>
      <c r="K23" s="199">
        <f>IFERROR(VLOOKUP(J23,'[1]Tax Rates'!$A$1:$AA$12,$K$18+1,FALSE),0)</f>
        <v>0.05</v>
      </c>
      <c r="L23" s="177">
        <v>0</v>
      </c>
      <c r="M23" s="200">
        <f t="shared" si="5"/>
        <v>0</v>
      </c>
      <c r="N23" s="200">
        <f t="shared" si="6"/>
        <v>0</v>
      </c>
      <c r="O23" s="180">
        <f>ROUND(K23*-H23,0)</f>
        <v>0</v>
      </c>
      <c r="P23" s="177">
        <f t="shared" si="7"/>
        <v>0</v>
      </c>
      <c r="Q23" s="171"/>
      <c r="R23" s="200">
        <f>C23+P23</f>
        <v>0</v>
      </c>
    </row>
    <row r="24" spans="1:18" x14ac:dyDescent="0.35">
      <c r="A24" s="171">
        <v>12</v>
      </c>
      <c r="B24" s="171" t="s">
        <v>54</v>
      </c>
      <c r="C24" s="201">
        <f t="shared" si="2"/>
        <v>61719.538461538461</v>
      </c>
      <c r="D24" s="123">
        <v>1</v>
      </c>
      <c r="E24" s="201">
        <f t="shared" si="8"/>
        <v>-61720</v>
      </c>
      <c r="F24" s="201">
        <f t="shared" si="9"/>
        <v>-0.46153846153902123</v>
      </c>
      <c r="G24" s="201">
        <f t="shared" si="3"/>
        <v>0</v>
      </c>
      <c r="H24" s="179">
        <f t="shared" si="4"/>
        <v>-0.46153846153902123</v>
      </c>
      <c r="I24" s="171"/>
      <c r="J24" s="202" t="s">
        <v>55</v>
      </c>
      <c r="K24" s="203" t="s">
        <v>55</v>
      </c>
      <c r="L24" s="179">
        <v>0</v>
      </c>
      <c r="M24" s="204">
        <f t="shared" si="5"/>
        <v>-61720</v>
      </c>
      <c r="N24" s="205">
        <f t="shared" si="6"/>
        <v>0</v>
      </c>
      <c r="O24" s="201">
        <v>0</v>
      </c>
      <c r="P24" s="179">
        <f t="shared" si="7"/>
        <v>-61720</v>
      </c>
      <c r="Q24" s="171"/>
      <c r="R24" s="206" t="s">
        <v>55</v>
      </c>
    </row>
    <row r="25" spans="1:18" x14ac:dyDescent="0.35">
      <c r="A25" s="171"/>
      <c r="B25" s="171"/>
      <c r="C25" s="180">
        <f>SUM(C18:C24)</f>
        <v>3161600.9390769233</v>
      </c>
      <c r="D25" s="171"/>
      <c r="E25" s="180">
        <f>SUM(E19:E24)</f>
        <v>-3161601</v>
      </c>
      <c r="F25" s="180">
        <f>SUM(F19:F24)</f>
        <v>-6.0923077115148772E-2</v>
      </c>
      <c r="G25" s="180">
        <f>SUM(G19:G24)</f>
        <v>0</v>
      </c>
      <c r="H25" s="177">
        <f>SUM(H19:H24)</f>
        <v>-6.0923077115148772E-2</v>
      </c>
      <c r="I25" s="171"/>
      <c r="J25" s="171"/>
      <c r="K25" s="171"/>
      <c r="L25" s="177">
        <f>SUM(L19:L24)</f>
        <v>0</v>
      </c>
      <c r="M25" s="180">
        <f>SUM(M19:M24)</f>
        <v>-3161601</v>
      </c>
      <c r="N25" s="180">
        <f>SUM(N19:N24)</f>
        <v>0</v>
      </c>
      <c r="O25" s="180">
        <f>SUM(O19:O24)</f>
        <v>0</v>
      </c>
      <c r="P25" s="177">
        <f>SUM(P19:P24)</f>
        <v>-3161601</v>
      </c>
      <c r="Q25" s="171"/>
      <c r="R25" s="200">
        <f>SUM(R19:R24)</f>
        <v>0.40061538442387246</v>
      </c>
    </row>
    <row r="26" spans="1:18" x14ac:dyDescent="0.35">
      <c r="A26" s="171"/>
      <c r="B26" s="171"/>
      <c r="C26" s="180"/>
      <c r="D26" s="171"/>
      <c r="E26" s="180"/>
      <c r="F26" s="180"/>
      <c r="G26" s="180"/>
      <c r="H26" s="177"/>
      <c r="I26" s="171"/>
      <c r="J26" s="177"/>
      <c r="K26" s="180"/>
      <c r="L26" s="180"/>
      <c r="M26" s="180"/>
      <c r="N26" s="177"/>
      <c r="O26" s="171"/>
      <c r="P26" s="171"/>
      <c r="Q26" s="171"/>
      <c r="R26" s="171"/>
    </row>
    <row r="27" spans="1:18" x14ac:dyDescent="0.3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</row>
    <row r="28" spans="1:18" x14ac:dyDescent="0.35">
      <c r="A28" s="171"/>
      <c r="B28" s="171"/>
      <c r="C28" s="171"/>
      <c r="D28" s="171"/>
      <c r="E28" s="180"/>
      <c r="F28" s="196" t="s">
        <v>46</v>
      </c>
      <c r="G28" s="196"/>
      <c r="H28" s="136"/>
      <c r="I28" s="171"/>
      <c r="J28" s="171"/>
      <c r="K28" s="171"/>
      <c r="L28" s="171"/>
      <c r="M28" s="171"/>
      <c r="N28" s="171"/>
      <c r="O28" s="171"/>
      <c r="P28" s="171"/>
      <c r="Q28" s="171"/>
      <c r="R28" s="171"/>
    </row>
    <row r="29" spans="1:18" x14ac:dyDescent="0.35">
      <c r="A29" s="171"/>
      <c r="B29" s="171"/>
      <c r="C29" s="171"/>
      <c r="D29" s="277" t="s">
        <v>35</v>
      </c>
      <c r="E29" s="277"/>
      <c r="F29" s="196" t="s">
        <v>37</v>
      </c>
      <c r="G29" s="196" t="s">
        <v>52</v>
      </c>
      <c r="H29" s="196" t="s">
        <v>36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x14ac:dyDescent="0.35">
      <c r="A30" s="171"/>
      <c r="B30" s="171"/>
      <c r="C30" s="171"/>
      <c r="D30" s="198" t="s">
        <v>31</v>
      </c>
      <c r="E30" s="198" t="s">
        <v>12</v>
      </c>
      <c r="F30" s="198" t="s">
        <v>38</v>
      </c>
      <c r="G30" s="198" t="s">
        <v>11</v>
      </c>
      <c r="H30" s="198" t="s">
        <v>3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x14ac:dyDescent="0.35">
      <c r="A31" s="171">
        <v>13</v>
      </c>
      <c r="B31" s="171" t="s">
        <v>45</v>
      </c>
      <c r="C31" s="171"/>
      <c r="D31" s="200">
        <f t="shared" ref="D31:D36" si="10">J6</f>
        <v>2503138.019230769</v>
      </c>
      <c r="E31" s="200">
        <f t="shared" ref="E31:E36" si="11">R19</f>
        <v>1.9230769015848637E-2</v>
      </c>
      <c r="F31" s="200">
        <f>E31-D31</f>
        <v>-2503138</v>
      </c>
      <c r="G31" s="136">
        <v>0.2495</v>
      </c>
      <c r="H31" s="200">
        <f>ROUND(F31*G31,0)</f>
        <v>-624533</v>
      </c>
      <c r="I31" s="171"/>
      <c r="J31" s="171" t="s">
        <v>258</v>
      </c>
      <c r="K31" s="171"/>
      <c r="L31" s="171"/>
      <c r="M31" s="171"/>
      <c r="N31" s="171"/>
      <c r="O31" s="171"/>
      <c r="P31" s="171"/>
      <c r="Q31" s="171"/>
      <c r="R31" s="171"/>
    </row>
    <row r="32" spans="1:18" x14ac:dyDescent="0.35">
      <c r="A32" s="171">
        <v>14</v>
      </c>
      <c r="B32" s="171" t="s">
        <v>0</v>
      </c>
      <c r="C32" s="171"/>
      <c r="D32" s="200">
        <f t="shared" si="10"/>
        <v>251598.28461538468</v>
      </c>
      <c r="E32" s="200">
        <f t="shared" si="11"/>
        <v>0.28461538467672653</v>
      </c>
      <c r="F32" s="200">
        <f>E32-D32</f>
        <v>-251598</v>
      </c>
      <c r="G32" s="136">
        <f>G31</f>
        <v>0.2495</v>
      </c>
      <c r="H32" s="200">
        <f t="shared" ref="H32:H36" si="12">ROUND(F32*G32,0)</f>
        <v>-62774</v>
      </c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 x14ac:dyDescent="0.35">
      <c r="A33" s="171">
        <v>15</v>
      </c>
      <c r="B33" s="171" t="s">
        <v>1</v>
      </c>
      <c r="C33" s="171"/>
      <c r="D33" s="200">
        <f t="shared" si="10"/>
        <v>250910.09676923073</v>
      </c>
      <c r="E33" s="200">
        <f t="shared" si="11"/>
        <v>9.6769230731297284E-2</v>
      </c>
      <c r="F33" s="200">
        <f>E33-D33</f>
        <v>-250910</v>
      </c>
      <c r="G33" s="136">
        <f>G31</f>
        <v>0.2495</v>
      </c>
      <c r="H33" s="200">
        <f t="shared" si="12"/>
        <v>-62602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</row>
    <row r="34" spans="1:18" x14ac:dyDescent="0.35">
      <c r="A34" s="171">
        <v>16</v>
      </c>
      <c r="B34" s="171" t="s">
        <v>16</v>
      </c>
      <c r="C34" s="171"/>
      <c r="D34" s="200">
        <f t="shared" si="10"/>
        <v>0</v>
      </c>
      <c r="E34" s="200">
        <f t="shared" si="11"/>
        <v>0</v>
      </c>
      <c r="F34" s="200">
        <f>E34-D34</f>
        <v>0</v>
      </c>
      <c r="G34" s="136">
        <f>G31</f>
        <v>0.2495</v>
      </c>
      <c r="H34" s="200">
        <f t="shared" si="12"/>
        <v>0</v>
      </c>
      <c r="I34" s="171"/>
      <c r="J34" s="171"/>
      <c r="K34" s="171"/>
      <c r="L34" s="171"/>
      <c r="M34" s="171"/>
      <c r="N34" s="171"/>
      <c r="O34" s="171"/>
      <c r="P34" s="171"/>
      <c r="Q34" s="171"/>
      <c r="R34" s="171"/>
    </row>
    <row r="35" spans="1:18" x14ac:dyDescent="0.35">
      <c r="A35" s="171">
        <v>17</v>
      </c>
      <c r="B35" s="171" t="s">
        <v>15</v>
      </c>
      <c r="C35" s="171"/>
      <c r="D35" s="200">
        <f t="shared" si="10"/>
        <v>0</v>
      </c>
      <c r="E35" s="200">
        <f t="shared" si="11"/>
        <v>0</v>
      </c>
      <c r="F35" s="200">
        <f>E35-D35</f>
        <v>0</v>
      </c>
      <c r="G35" s="136">
        <f>G31</f>
        <v>0.2495</v>
      </c>
      <c r="H35" s="200">
        <f t="shared" si="12"/>
        <v>0</v>
      </c>
      <c r="I35" s="171"/>
      <c r="J35" s="171"/>
      <c r="K35" s="171"/>
      <c r="L35" s="171"/>
      <c r="M35" s="171"/>
      <c r="N35" s="171"/>
      <c r="O35" s="171"/>
      <c r="P35" s="171"/>
      <c r="Q35" s="171"/>
      <c r="R35" s="171"/>
    </row>
    <row r="36" spans="1:18" x14ac:dyDescent="0.35">
      <c r="A36" s="171">
        <v>18</v>
      </c>
      <c r="B36" s="171" t="s">
        <v>54</v>
      </c>
      <c r="C36" s="171"/>
      <c r="D36" s="204">
        <f t="shared" si="10"/>
        <v>60321.538461538461</v>
      </c>
      <c r="E36" s="206" t="str">
        <f t="shared" si="11"/>
        <v>NA</v>
      </c>
      <c r="F36" s="204">
        <f>-D36</f>
        <v>-60321.538461538461</v>
      </c>
      <c r="G36" s="207">
        <f>G31</f>
        <v>0.2495</v>
      </c>
      <c r="H36" s="204">
        <f t="shared" si="12"/>
        <v>-15050</v>
      </c>
      <c r="I36" s="171"/>
      <c r="J36" s="171"/>
      <c r="K36" s="171"/>
      <c r="L36" s="171"/>
      <c r="M36" s="171"/>
      <c r="N36" s="171"/>
      <c r="O36" s="171"/>
      <c r="P36" s="171"/>
      <c r="Q36" s="171"/>
      <c r="R36" s="171"/>
    </row>
    <row r="37" spans="1:18" x14ac:dyDescent="0.35">
      <c r="A37" s="171"/>
      <c r="B37" s="171"/>
      <c r="C37" s="171"/>
      <c r="D37" s="200">
        <f>SUM(D31:D36)</f>
        <v>3065967.9390769233</v>
      </c>
      <c r="E37" s="200">
        <f>SUM(E31:E36)</f>
        <v>0.40061538442387246</v>
      </c>
      <c r="F37" s="200">
        <f>SUM(F31:F36)</f>
        <v>-3065967.5384615385</v>
      </c>
      <c r="G37" s="171"/>
      <c r="H37" s="200">
        <f>SUM(H31:H36)</f>
        <v>-764959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9" spans="1:18" x14ac:dyDescent="0.35">
      <c r="B39" s="193"/>
      <c r="D39" s="193"/>
    </row>
    <row r="40" spans="1:18" x14ac:dyDescent="0.35">
      <c r="A40" s="181"/>
      <c r="B40" s="171"/>
      <c r="C40" s="171"/>
      <c r="D40" s="171"/>
    </row>
    <row r="41" spans="1:18" x14ac:dyDescent="0.35">
      <c r="A41" s="181"/>
      <c r="C41" s="171"/>
      <c r="D41" s="171"/>
    </row>
  </sheetData>
  <mergeCells count="3">
    <mergeCell ref="F2:H2"/>
    <mergeCell ref="L16:P16"/>
    <mergeCell ref="D29:E29"/>
  </mergeCells>
  <pageMargins left="0.7" right="0.7" top="0.75" bottom="0.75" header="0.3" footer="0.3"/>
  <pageSetup scale="6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7"/>
  <sheetViews>
    <sheetView view="pageBreakPreview" zoomScaleNormal="100" zoomScaleSheetLayoutView="100" workbookViewId="0">
      <selection activeCell="L25" sqref="L25"/>
    </sheetView>
  </sheetViews>
  <sheetFormatPr defaultColWidth="9.1796875" defaultRowHeight="13" x14ac:dyDescent="0.35"/>
  <cols>
    <col min="1" max="1" width="16.81640625" style="41" customWidth="1"/>
    <col min="2" max="2" width="33.453125" style="41" bestFit="1" customWidth="1"/>
    <col min="3" max="3" width="12.54296875" style="41" customWidth="1"/>
    <col min="4" max="4" width="12.26953125" style="41" customWidth="1"/>
    <col min="5" max="5" width="12.54296875" style="41" bestFit="1" customWidth="1"/>
    <col min="6" max="7" width="9.1796875" style="41"/>
    <col min="8" max="8" width="13.26953125" style="41" bestFit="1" customWidth="1"/>
    <col min="9" max="16384" width="9.1796875" style="41"/>
  </cols>
  <sheetData>
    <row r="1" spans="1:8" x14ac:dyDescent="0.35">
      <c r="A1" s="40" t="s">
        <v>47</v>
      </c>
      <c r="F1" s="114" t="s">
        <v>136</v>
      </c>
    </row>
    <row r="2" spans="1:8" x14ac:dyDescent="0.35">
      <c r="A2" s="40" t="s">
        <v>296</v>
      </c>
    </row>
    <row r="4" spans="1:8" x14ac:dyDescent="0.35">
      <c r="A4" s="42"/>
      <c r="B4" s="42" t="s">
        <v>92</v>
      </c>
      <c r="C4" s="42"/>
      <c r="D4" s="42"/>
    </row>
    <row r="5" spans="1:8" x14ac:dyDescent="0.35">
      <c r="A5" s="42"/>
      <c r="B5" s="42" t="s">
        <v>67</v>
      </c>
      <c r="C5" s="42"/>
      <c r="D5" s="284" t="s">
        <v>130</v>
      </c>
      <c r="E5" s="284"/>
      <c r="F5" s="43" t="s">
        <v>70</v>
      </c>
    </row>
    <row r="6" spans="1:8" x14ac:dyDescent="0.35">
      <c r="A6" s="42"/>
      <c r="B6" s="42" t="s">
        <v>93</v>
      </c>
      <c r="C6" s="42" t="s">
        <v>95</v>
      </c>
      <c r="D6" s="42"/>
    </row>
    <row r="7" spans="1:8" x14ac:dyDescent="0.35">
      <c r="A7" s="231" t="s">
        <v>82</v>
      </c>
      <c r="B7" s="231" t="s">
        <v>94</v>
      </c>
      <c r="C7" s="231" t="s">
        <v>68</v>
      </c>
      <c r="D7" s="231" t="s">
        <v>78</v>
      </c>
      <c r="E7" s="231" t="s">
        <v>81</v>
      </c>
    </row>
    <row r="8" spans="1:8" x14ac:dyDescent="0.35">
      <c r="D8" s="44"/>
      <c r="E8" s="44"/>
    </row>
    <row r="9" spans="1:8" x14ac:dyDescent="0.35">
      <c r="A9" s="99" t="s">
        <v>198</v>
      </c>
      <c r="B9" s="100" t="s">
        <v>110</v>
      </c>
      <c r="C9" s="167">
        <v>25928</v>
      </c>
      <c r="D9" s="101">
        <f>C9*57.78</f>
        <v>1498119.84</v>
      </c>
      <c r="E9" s="101">
        <f>C9*95.38</f>
        <v>2473012.6399999997</v>
      </c>
    </row>
    <row r="10" spans="1:8" x14ac:dyDescent="0.35">
      <c r="C10" s="168">
        <f>SUM(C9)</f>
        <v>25928</v>
      </c>
      <c r="D10" s="102">
        <f>SUM(D9)</f>
        <v>1498119.84</v>
      </c>
      <c r="E10" s="102">
        <f>SUM(E9)</f>
        <v>2473012.6399999997</v>
      </c>
    </row>
    <row r="11" spans="1:8" x14ac:dyDescent="0.35">
      <c r="D11" s="44"/>
      <c r="E11" s="44"/>
    </row>
    <row r="12" spans="1:8" x14ac:dyDescent="0.35">
      <c r="A12" s="41" t="s">
        <v>288</v>
      </c>
      <c r="B12" s="100" t="s">
        <v>110</v>
      </c>
      <c r="C12" s="167">
        <v>13072</v>
      </c>
      <c r="D12" s="101">
        <f>C12*57.78</f>
        <v>755300.16</v>
      </c>
      <c r="E12" s="101">
        <f>C12*95.38</f>
        <v>1246807.3599999999</v>
      </c>
    </row>
    <row r="13" spans="1:8" x14ac:dyDescent="0.35">
      <c r="C13" s="168">
        <f>SUM(C12)</f>
        <v>13072</v>
      </c>
      <c r="D13" s="102">
        <f>SUM(D12)</f>
        <v>755300.16</v>
      </c>
      <c r="E13" s="102">
        <f>SUM(E12)</f>
        <v>1246807.3599999999</v>
      </c>
    </row>
    <row r="14" spans="1:8" x14ac:dyDescent="0.35">
      <c r="D14" s="44"/>
      <c r="E14" s="44"/>
      <c r="G14" s="47"/>
      <c r="H14" s="47"/>
    </row>
    <row r="15" spans="1:8" x14ac:dyDescent="0.35">
      <c r="A15" s="41" t="s">
        <v>297</v>
      </c>
      <c r="B15" s="100" t="s">
        <v>110</v>
      </c>
      <c r="C15" s="167">
        <v>20819</v>
      </c>
      <c r="D15" s="101">
        <f>C15*57.78</f>
        <v>1202921.82</v>
      </c>
      <c r="E15" s="101">
        <f>C15*95.38</f>
        <v>1985716.22</v>
      </c>
      <c r="G15" s="47"/>
      <c r="H15" s="47"/>
    </row>
    <row r="16" spans="1:8" x14ac:dyDescent="0.35">
      <c r="C16" s="168">
        <f>SUM(C15:C15)</f>
        <v>20819</v>
      </c>
      <c r="D16" s="102">
        <f>SUM(D15:D15)</f>
        <v>1202921.82</v>
      </c>
      <c r="E16" s="102">
        <f>SUM(E15:E15)</f>
        <v>1985716.22</v>
      </c>
    </row>
    <row r="17" spans="1:8" ht="14.5" x14ac:dyDescent="0.35">
      <c r="A17" s="99"/>
      <c r="B17" s="99"/>
      <c r="C17"/>
      <c r="D17"/>
      <c r="E17"/>
      <c r="G17" s="47"/>
      <c r="H17" s="47"/>
    </row>
    <row r="18" spans="1:8" ht="13.5" thickBot="1" x14ac:dyDescent="0.4">
      <c r="A18" s="99"/>
      <c r="B18" s="100" t="s">
        <v>210</v>
      </c>
      <c r="C18" s="103">
        <f>C16+C13+C10</f>
        <v>59819</v>
      </c>
      <c r="D18" s="104">
        <f>D16+D13+D10</f>
        <v>3456341.8200000003</v>
      </c>
      <c r="E18" s="104">
        <f>E16+E13+E10</f>
        <v>5705536.2199999997</v>
      </c>
    </row>
    <row r="19" spans="1:8" x14ac:dyDescent="0.35">
      <c r="B19" s="45"/>
      <c r="C19" s="169"/>
      <c r="D19" s="46"/>
      <c r="E19" s="46"/>
    </row>
    <row r="20" spans="1:8" x14ac:dyDescent="0.35">
      <c r="A20" s="83" t="s">
        <v>70</v>
      </c>
      <c r="B20" s="285" t="s">
        <v>158</v>
      </c>
      <c r="C20" s="285"/>
      <c r="D20" s="285"/>
      <c r="E20" s="285"/>
      <c r="F20" s="135"/>
    </row>
    <row r="21" spans="1:8" x14ac:dyDescent="0.35">
      <c r="A21" s="83"/>
      <c r="B21" s="135"/>
      <c r="C21" s="135"/>
      <c r="D21" s="135"/>
      <c r="E21" s="135"/>
      <c r="F21" s="135"/>
    </row>
    <row r="22" spans="1:8" ht="37.5" customHeight="1" x14ac:dyDescent="0.35"/>
    <row r="23" spans="1:8" ht="37.5" customHeight="1" x14ac:dyDescent="0.35">
      <c r="C23" s="47"/>
    </row>
    <row r="24" spans="1:8" ht="37.5" customHeight="1" x14ac:dyDescent="0.35"/>
    <row r="25" spans="1:8" ht="37.5" customHeight="1" x14ac:dyDescent="0.35"/>
    <row r="26" spans="1:8" ht="37.5" customHeight="1" x14ac:dyDescent="0.35"/>
    <row r="27" spans="1:8" ht="25.9" customHeight="1" x14ac:dyDescent="0.35"/>
  </sheetData>
  <mergeCells count="2">
    <mergeCell ref="D5:E5"/>
    <mergeCell ref="B20:E20"/>
  </mergeCells>
  <pageMargins left="0.75" right="0.25" top="0.75" bottom="0.75" header="0.3" footer="0.3"/>
  <pageSetup scale="98" fitToHeight="0" orientation="portrait" r:id="rId1"/>
  <headerFooter>
    <oddFooter>&amp;C&amp;P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5"/>
  <sheetViews>
    <sheetView view="pageBreakPreview" zoomScaleNormal="100" zoomScaleSheetLayoutView="100" workbookViewId="0">
      <selection activeCell="A4" sqref="A4"/>
    </sheetView>
  </sheetViews>
  <sheetFormatPr defaultRowHeight="14.5" x14ac:dyDescent="0.35"/>
  <sheetData>
    <row r="1" spans="1:23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</row>
    <row r="2" spans="1:23" x14ac:dyDescent="0.35">
      <c r="A2">
        <v>7</v>
      </c>
      <c r="B2" s="3">
        <v>0.1429</v>
      </c>
      <c r="C2" s="3">
        <v>0.24490000000000001</v>
      </c>
      <c r="D2" s="3">
        <v>0.1749</v>
      </c>
      <c r="E2" s="3">
        <v>0.1249</v>
      </c>
      <c r="F2" s="3">
        <v>8.9300000000000004E-2</v>
      </c>
      <c r="G2" s="3">
        <v>8.9200000000000002E-2</v>
      </c>
      <c r="H2" s="3">
        <v>8.9300000000000004E-2</v>
      </c>
      <c r="I2" s="3">
        <v>4.4600000000000001E-2</v>
      </c>
      <c r="J2" s="3"/>
      <c r="K2" s="3"/>
      <c r="W2" s="90">
        <f>SUM(B2:V2)</f>
        <v>1.0000000000000002</v>
      </c>
    </row>
    <row r="3" spans="1:23" x14ac:dyDescent="0.35">
      <c r="A3">
        <v>15</v>
      </c>
      <c r="B3" s="3">
        <v>0.05</v>
      </c>
      <c r="C3" s="3">
        <v>9.5000000000000001E-2</v>
      </c>
      <c r="D3" s="3">
        <v>8.5500000000000007E-2</v>
      </c>
      <c r="E3" s="3">
        <v>7.6999999999999999E-2</v>
      </c>
      <c r="F3" s="3">
        <v>6.93E-2</v>
      </c>
      <c r="G3" s="3">
        <v>6.2300000000000001E-2</v>
      </c>
      <c r="H3" s="3">
        <v>5.8999999999999997E-2</v>
      </c>
      <c r="I3" s="3">
        <v>5.8999999999999997E-2</v>
      </c>
      <c r="J3" s="3">
        <v>5.91E-2</v>
      </c>
      <c r="K3" s="3">
        <v>5.8999999999999997E-2</v>
      </c>
      <c r="L3" s="3">
        <v>5.91E-2</v>
      </c>
      <c r="M3" s="3">
        <v>5.8999999999999997E-2</v>
      </c>
      <c r="N3" s="3">
        <v>5.91E-2</v>
      </c>
      <c r="O3" s="3">
        <v>5.8999999999999997E-2</v>
      </c>
      <c r="P3" s="3">
        <v>5.91E-2</v>
      </c>
      <c r="Q3" s="3">
        <v>2.9499999999999998E-2</v>
      </c>
      <c r="W3" s="90">
        <f>SUM(B3:V3)</f>
        <v>1.0000000000000002</v>
      </c>
    </row>
    <row r="4" spans="1:23" x14ac:dyDescent="0.35">
      <c r="A4">
        <v>20</v>
      </c>
      <c r="B4" s="3">
        <v>3.7499999999999999E-2</v>
      </c>
      <c r="C4" s="3">
        <v>7.2190000000000004E-2</v>
      </c>
      <c r="D4" s="3">
        <v>6.6769999999999996E-2</v>
      </c>
      <c r="E4" s="3">
        <v>6.1769999999999999E-2</v>
      </c>
      <c r="F4" s="3">
        <v>5.713E-2</v>
      </c>
      <c r="G4" s="3">
        <v>5.2850000000000001E-2</v>
      </c>
      <c r="H4" s="3">
        <v>4.888E-2</v>
      </c>
      <c r="I4" s="3">
        <v>4.5220000000000003E-2</v>
      </c>
      <c r="J4" s="3">
        <v>4.462E-2</v>
      </c>
      <c r="K4" s="3">
        <v>4.4609999999999997E-2</v>
      </c>
      <c r="L4" s="3">
        <v>4.462E-2</v>
      </c>
      <c r="M4" s="3">
        <v>4.4610000000000004E-2</v>
      </c>
      <c r="N4" s="3">
        <v>4.462E-2</v>
      </c>
      <c r="O4" s="3">
        <v>4.4610000000000004E-2</v>
      </c>
      <c r="P4" s="3">
        <v>4.462E-2</v>
      </c>
      <c r="Q4" s="3">
        <v>4.4610000000000004E-2</v>
      </c>
      <c r="R4" s="3">
        <v>4.462E-2</v>
      </c>
      <c r="S4" s="3">
        <v>4.4610000000000004E-2</v>
      </c>
      <c r="T4" s="3">
        <v>4.462E-2</v>
      </c>
      <c r="U4" s="3">
        <v>4.4610000000000004E-2</v>
      </c>
      <c r="V4" s="3">
        <v>2.231E-2</v>
      </c>
      <c r="W4" s="90">
        <f>SUM(B4:V4)</f>
        <v>1.0000000000000002</v>
      </c>
    </row>
    <row r="5" spans="1:23" x14ac:dyDescent="0.35">
      <c r="K5" s="3"/>
    </row>
  </sheetData>
  <pageMargins left="0.7" right="0.7" top="0.75" bottom="0.75" header="0.3" footer="0.3"/>
  <pageSetup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8308-85E2-477C-8B5A-41E9D0ED73CC}">
  <sheetPr>
    <pageSetUpPr fitToPage="1"/>
  </sheetPr>
  <dimension ref="A1:R41"/>
  <sheetViews>
    <sheetView zoomScaleNormal="100" workbookViewId="0">
      <selection activeCell="F30" sqref="F30"/>
    </sheetView>
  </sheetViews>
  <sheetFormatPr defaultColWidth="9.1796875" defaultRowHeight="14.5" x14ac:dyDescent="0.35"/>
  <cols>
    <col min="1" max="1" width="3" style="94" customWidth="1"/>
    <col min="2" max="2" width="18.54296875" style="94" bestFit="1" customWidth="1"/>
    <col min="3" max="3" width="11.1796875" style="94" bestFit="1" customWidth="1"/>
    <col min="4" max="4" width="13.7265625" style="94" bestFit="1" customWidth="1"/>
    <col min="5" max="5" width="14" style="94" bestFit="1" customWidth="1"/>
    <col min="6" max="6" width="12.7265625" style="94" customWidth="1"/>
    <col min="7" max="7" width="12.54296875" style="94" bestFit="1" customWidth="1"/>
    <col min="8" max="8" width="13.26953125" style="94" bestFit="1" customWidth="1"/>
    <col min="9" max="9" width="2.7265625" style="94" customWidth="1"/>
    <col min="10" max="10" width="10.7265625" style="94" customWidth="1"/>
    <col min="11" max="11" width="8.1796875" style="94" bestFit="1" customWidth="1"/>
    <col min="12" max="12" width="11.26953125" style="94" bestFit="1" customWidth="1"/>
    <col min="13" max="13" width="12.26953125" style="94" bestFit="1" customWidth="1"/>
    <col min="14" max="14" width="11.26953125" style="94" bestFit="1" customWidth="1"/>
    <col min="15" max="15" width="9.1796875" style="94" bestFit="1" customWidth="1"/>
    <col min="16" max="16" width="11.26953125" style="94" bestFit="1" customWidth="1"/>
    <col min="17" max="17" width="2.7265625" style="94" customWidth="1"/>
    <col min="18" max="18" width="15.26953125" style="94" bestFit="1" customWidth="1"/>
    <col min="19" max="16384" width="9.1796875" style="94"/>
  </cols>
  <sheetData>
    <row r="1" spans="1:18" x14ac:dyDescent="0.35">
      <c r="A1" s="132" t="s">
        <v>23</v>
      </c>
      <c r="B1" s="189"/>
      <c r="C1" s="132">
        <v>2023</v>
      </c>
      <c r="R1" s="190" t="s">
        <v>211</v>
      </c>
    </row>
    <row r="2" spans="1:18" x14ac:dyDescent="0.35">
      <c r="A2" s="132" t="s">
        <v>44</v>
      </c>
      <c r="D2" s="191"/>
      <c r="F2" s="276" t="s">
        <v>32</v>
      </c>
      <c r="G2" s="276"/>
      <c r="H2" s="276"/>
      <c r="R2" s="190" t="s">
        <v>234</v>
      </c>
    </row>
    <row r="3" spans="1:18" x14ac:dyDescent="0.35">
      <c r="D3" s="191" t="s">
        <v>34</v>
      </c>
      <c r="G3" s="191"/>
      <c r="J3" s="191" t="s">
        <v>31</v>
      </c>
    </row>
    <row r="4" spans="1:18" x14ac:dyDescent="0.35">
      <c r="C4" s="191">
        <v>2023</v>
      </c>
      <c r="D4" s="191" t="s">
        <v>22</v>
      </c>
      <c r="F4" s="191"/>
      <c r="G4" s="191" t="s">
        <v>2</v>
      </c>
      <c r="H4" s="191"/>
      <c r="J4" s="191" t="s">
        <v>39</v>
      </c>
      <c r="O4" s="191" t="s">
        <v>59</v>
      </c>
      <c r="P4" s="191" t="s">
        <v>59</v>
      </c>
    </row>
    <row r="5" spans="1:18" x14ac:dyDescent="0.35">
      <c r="C5" s="192" t="s">
        <v>18</v>
      </c>
      <c r="D5" s="192">
        <v>2</v>
      </c>
      <c r="F5" s="192" t="s">
        <v>19</v>
      </c>
      <c r="G5" s="192" t="s">
        <v>14</v>
      </c>
      <c r="H5" s="192" t="s">
        <v>20</v>
      </c>
      <c r="J5" s="192" t="s">
        <v>40</v>
      </c>
      <c r="O5" s="192" t="s">
        <v>11</v>
      </c>
      <c r="P5" s="192" t="s">
        <v>13</v>
      </c>
    </row>
    <row r="6" spans="1:18" x14ac:dyDescent="0.35">
      <c r="A6" s="94">
        <v>1</v>
      </c>
      <c r="B6" s="94" t="s">
        <v>45</v>
      </c>
      <c r="C6" s="134">
        <f>+'Schedule IV 2023 Monthly'!P19</f>
        <v>5447273.830000001</v>
      </c>
      <c r="D6" s="161">
        <v>3.0499999999999999E-2</v>
      </c>
      <c r="F6" s="134">
        <f>+'Sch II 2023 Yr 1'!H6</f>
        <v>-78747</v>
      </c>
      <c r="G6" s="134">
        <f>ROUND(IF(D$5=1,-D6*C6,-D6*C6),0)</f>
        <v>-166142</v>
      </c>
      <c r="H6" s="134">
        <f t="shared" ref="H6:H11" si="0">SUM(F6:G6)</f>
        <v>-244889</v>
      </c>
      <c r="J6" s="193">
        <f t="shared" ref="J6:J11" si="1">C6+H6</f>
        <v>5202384.830000001</v>
      </c>
      <c r="O6" s="173">
        <v>1E-4</v>
      </c>
      <c r="P6" s="194">
        <f>ROUND(IF(D$5=1,-O6*C6,-O6*C6),0)</f>
        <v>-545</v>
      </c>
    </row>
    <row r="7" spans="1:18" x14ac:dyDescent="0.35">
      <c r="A7" s="94">
        <v>2</v>
      </c>
      <c r="B7" s="94" t="s">
        <v>0</v>
      </c>
      <c r="C7" s="134">
        <f>+'Schedule IV 2023 Monthly'!P22</f>
        <v>411291.71</v>
      </c>
      <c r="D7" s="161">
        <v>2.8799999999999999E-2</v>
      </c>
      <c r="F7" s="134">
        <f>+'Sch II 2023 Yr 1'!H7</f>
        <v>-7461</v>
      </c>
      <c r="G7" s="134">
        <f>ROUND(IF(D$5=1,-D7*C7,-D7*C7),0)</f>
        <v>-11845</v>
      </c>
      <c r="H7" s="134">
        <f t="shared" si="0"/>
        <v>-19306</v>
      </c>
      <c r="J7" s="193">
        <f t="shared" si="1"/>
        <v>391985.71</v>
      </c>
      <c r="O7" s="173">
        <v>2.0000000000000001E-4</v>
      </c>
      <c r="P7" s="193">
        <f>ROUND(IF(D$5=1,-O7*C7,-O7*C7),0)</f>
        <v>-82</v>
      </c>
    </row>
    <row r="8" spans="1:18" x14ac:dyDescent="0.35">
      <c r="A8" s="94">
        <v>3</v>
      </c>
      <c r="B8" s="94" t="s">
        <v>1</v>
      </c>
      <c r="C8" s="134">
        <f>+'Schedule IV 2023 Monthly'!P25</f>
        <v>670622.02300000004</v>
      </c>
      <c r="D8" s="161">
        <v>3.1E-2</v>
      </c>
      <c r="F8" s="134">
        <f>+'Sch II 2023 Yr 1'!H8</f>
        <v>-8027</v>
      </c>
      <c r="G8" s="134">
        <f>ROUND(IF(D$5=1,-D8*C8,-D8*C8),0)</f>
        <v>-20789</v>
      </c>
      <c r="H8" s="134">
        <f t="shared" si="0"/>
        <v>-28816</v>
      </c>
      <c r="J8" s="193">
        <f t="shared" si="1"/>
        <v>641806.02300000004</v>
      </c>
      <c r="O8" s="173">
        <v>4.1999999999999997E-3</v>
      </c>
      <c r="P8" s="193">
        <f>ROUND(IF(D$5=1,-O8*C8,-O8*C8),0)</f>
        <v>-2817</v>
      </c>
    </row>
    <row r="9" spans="1:18" x14ac:dyDescent="0.35">
      <c r="A9" s="94">
        <v>4</v>
      </c>
      <c r="B9" s="94" t="s">
        <v>16</v>
      </c>
      <c r="C9" s="134"/>
      <c r="D9" s="161">
        <v>2.2499999999999999E-2</v>
      </c>
      <c r="F9" s="134">
        <f>+'Sch II 2023 Yr 1'!H9</f>
        <v>0</v>
      </c>
      <c r="G9" s="134">
        <f>ROUND(IF(D$5=1,-0.5*D9*C9,-D9*C9),0)</f>
        <v>0</v>
      </c>
      <c r="H9" s="134">
        <f t="shared" si="0"/>
        <v>0</v>
      </c>
      <c r="J9" s="193">
        <f t="shared" si="1"/>
        <v>0</v>
      </c>
      <c r="O9" s="173">
        <v>0</v>
      </c>
      <c r="P9" s="193">
        <f>IF(D$5=1,-0.5*O9*C9,-O9*C9)</f>
        <v>0</v>
      </c>
    </row>
    <row r="10" spans="1:18" x14ac:dyDescent="0.35">
      <c r="A10" s="94">
        <v>5</v>
      </c>
      <c r="B10" s="94" t="s">
        <v>15</v>
      </c>
      <c r="C10" s="134"/>
      <c r="D10" s="161">
        <v>2.0500000000000001E-2</v>
      </c>
      <c r="F10" s="134">
        <f>+'Sch II 2023 Yr 1'!H10</f>
        <v>0</v>
      </c>
      <c r="G10" s="134">
        <f>ROUND(IF(D$5=1,-0.5*D10*C10,-D10*C10),0)</f>
        <v>0</v>
      </c>
      <c r="H10" s="134">
        <f t="shared" si="0"/>
        <v>0</v>
      </c>
      <c r="J10" s="193">
        <f t="shared" si="1"/>
        <v>0</v>
      </c>
      <c r="O10" s="173">
        <v>0</v>
      </c>
      <c r="P10" s="193">
        <f>IF(D$5=1,-0.5*O10*C10,-O10*C10)</f>
        <v>0</v>
      </c>
    </row>
    <row r="11" spans="1:18" x14ac:dyDescent="0.35">
      <c r="A11" s="94">
        <v>6</v>
      </c>
      <c r="B11" s="94" t="s">
        <v>54</v>
      </c>
      <c r="C11" s="175">
        <f>+'Schedule IV 2023 Monthly'!P6</f>
        <v>162314</v>
      </c>
      <c r="D11" s="174" t="s">
        <v>53</v>
      </c>
      <c r="F11" s="175">
        <f>+'Sch II 2023 Yr 1'!H11</f>
        <v>-1398</v>
      </c>
      <c r="G11" s="175">
        <f>P12</f>
        <v>-3444</v>
      </c>
      <c r="H11" s="175">
        <f t="shared" si="0"/>
        <v>-4842</v>
      </c>
      <c r="J11" s="195">
        <f t="shared" si="1"/>
        <v>157472</v>
      </c>
      <c r="O11" s="176">
        <v>0</v>
      </c>
      <c r="P11" s="195">
        <f>IF(D$5=1,-0.5*O11*C11,-O11*C11)</f>
        <v>0</v>
      </c>
    </row>
    <row r="12" spans="1:18" x14ac:dyDescent="0.35">
      <c r="C12" s="134">
        <f>SUM(C6:C11)</f>
        <v>6691501.563000001</v>
      </c>
      <c r="D12" s="134"/>
      <c r="F12" s="134">
        <f>SUM(F5:F11)</f>
        <v>-95633</v>
      </c>
      <c r="G12" s="134">
        <f>SUM(G5:G11)</f>
        <v>-202220</v>
      </c>
      <c r="H12" s="134">
        <f>SUM(H5:H11)</f>
        <v>-297853</v>
      </c>
      <c r="J12" s="193">
        <f>SUM(J6:J11)</f>
        <v>6393648.563000001</v>
      </c>
      <c r="O12" s="193"/>
      <c r="P12" s="194">
        <f>SUM(P5:P11)</f>
        <v>-3444</v>
      </c>
    </row>
    <row r="13" spans="1:18" x14ac:dyDescent="0.35">
      <c r="C13" s="134"/>
      <c r="D13" s="134"/>
      <c r="E13" s="134"/>
      <c r="F13" s="134"/>
      <c r="M13" s="191"/>
    </row>
    <row r="14" spans="1:18" x14ac:dyDescent="0.35">
      <c r="M14" s="191"/>
    </row>
    <row r="15" spans="1:18" x14ac:dyDescent="0.35">
      <c r="D15" s="191"/>
    </row>
    <row r="16" spans="1:18" x14ac:dyDescent="0.35">
      <c r="A16" s="171"/>
      <c r="B16" s="171"/>
      <c r="C16" s="171"/>
      <c r="D16" s="196" t="s">
        <v>26</v>
      </c>
      <c r="E16" s="171"/>
      <c r="F16" s="171"/>
      <c r="G16" s="197">
        <v>0</v>
      </c>
      <c r="H16" s="171"/>
      <c r="I16" s="171"/>
      <c r="J16" s="137"/>
      <c r="K16" s="196" t="s">
        <v>21</v>
      </c>
      <c r="L16" s="277" t="s">
        <v>33</v>
      </c>
      <c r="M16" s="277"/>
      <c r="N16" s="277"/>
      <c r="O16" s="277"/>
      <c r="P16" s="277"/>
      <c r="Q16" s="171"/>
      <c r="R16" s="196" t="s">
        <v>12</v>
      </c>
    </row>
    <row r="17" spans="1:18" x14ac:dyDescent="0.35">
      <c r="A17" s="171"/>
      <c r="B17" s="171"/>
      <c r="C17" s="196" t="s">
        <v>31</v>
      </c>
      <c r="D17" s="196" t="s">
        <v>14</v>
      </c>
      <c r="E17" s="196" t="s">
        <v>12</v>
      </c>
      <c r="F17" s="196" t="s">
        <v>12</v>
      </c>
      <c r="G17" s="196" t="s">
        <v>25</v>
      </c>
      <c r="H17" s="196" t="s">
        <v>29</v>
      </c>
      <c r="I17" s="171"/>
      <c r="J17" s="196"/>
      <c r="K17" s="196" t="s">
        <v>24</v>
      </c>
      <c r="L17" s="196"/>
      <c r="M17" s="196" t="s">
        <v>12</v>
      </c>
      <c r="N17" s="196" t="s">
        <v>25</v>
      </c>
      <c r="O17" s="196" t="s">
        <v>21</v>
      </c>
      <c r="P17" s="196"/>
      <c r="Q17" s="171"/>
      <c r="R17" s="196" t="s">
        <v>39</v>
      </c>
    </row>
    <row r="18" spans="1:18" x14ac:dyDescent="0.35">
      <c r="A18" s="171"/>
      <c r="B18" s="171"/>
      <c r="C18" s="198" t="s">
        <v>18</v>
      </c>
      <c r="D18" s="198" t="s">
        <v>27</v>
      </c>
      <c r="E18" s="198" t="s">
        <v>14</v>
      </c>
      <c r="F18" s="198" t="s">
        <v>28</v>
      </c>
      <c r="G18" s="198" t="s">
        <v>2</v>
      </c>
      <c r="H18" s="198" t="s">
        <v>30</v>
      </c>
      <c r="I18" s="171"/>
      <c r="J18" s="198" t="s">
        <v>17</v>
      </c>
      <c r="K18" s="198">
        <f>D5</f>
        <v>2</v>
      </c>
      <c r="L18" s="198" t="s">
        <v>19</v>
      </c>
      <c r="M18" s="198" t="s">
        <v>14</v>
      </c>
      <c r="N18" s="198" t="s">
        <v>13</v>
      </c>
      <c r="O18" s="198" t="s">
        <v>13</v>
      </c>
      <c r="P18" s="198" t="s">
        <v>20</v>
      </c>
      <c r="Q18" s="171"/>
      <c r="R18" s="198" t="s">
        <v>40</v>
      </c>
    </row>
    <row r="19" spans="1:18" x14ac:dyDescent="0.35">
      <c r="A19" s="171">
        <v>7</v>
      </c>
      <c r="B19" s="171" t="s">
        <v>45</v>
      </c>
      <c r="C19" s="180">
        <f t="shared" ref="C19:C24" si="2">C6</f>
        <v>5447273.830000001</v>
      </c>
      <c r="D19" s="123">
        <v>1</v>
      </c>
      <c r="E19" s="180">
        <f>ROUND(C19*-D19,0)-'Sch II 2023 Yr 1'!E19</f>
        <v>-2865389</v>
      </c>
      <c r="F19" s="180">
        <f>C19+E19+'Sch II 2023 Yr 1'!E19</f>
        <v>-0.16999999899417162</v>
      </c>
      <c r="G19" s="180">
        <f t="shared" ref="G19:G24" si="3">ROUND(F19*-$G$16,0)</f>
        <v>0</v>
      </c>
      <c r="H19" s="177">
        <f t="shared" ref="H19:H24" si="4">F19+G19</f>
        <v>-0.16999999899417162</v>
      </c>
      <c r="I19" s="171"/>
      <c r="J19" s="171">
        <v>20</v>
      </c>
      <c r="K19" s="199">
        <f>IFERROR(VLOOKUP(J19,'[1]Tax Rates'!$A$1:$AA$12,$K$18+1,FALSE),0)</f>
        <v>7.2190000000000004E-2</v>
      </c>
      <c r="L19" s="177">
        <f>+'Sch II 2023 Yr 1'!P19</f>
        <v>-2581885</v>
      </c>
      <c r="M19" s="200">
        <f t="shared" ref="M19:M24" si="5">E19</f>
        <v>-2865389</v>
      </c>
      <c r="N19" s="200">
        <f t="shared" ref="N19:N24" si="6">G19</f>
        <v>0</v>
      </c>
      <c r="O19" s="180">
        <f>ROUND(K19*-H19,0)</f>
        <v>0</v>
      </c>
      <c r="P19" s="177">
        <f t="shared" ref="P19:P24" si="7">SUM(L19:O19)</f>
        <v>-5447274</v>
      </c>
      <c r="Q19" s="171"/>
      <c r="R19" s="200">
        <f>C19+P19</f>
        <v>-0.16999999899417162</v>
      </c>
    </row>
    <row r="20" spans="1:18" x14ac:dyDescent="0.35">
      <c r="A20" s="171">
        <v>8</v>
      </c>
      <c r="B20" s="171" t="s">
        <v>0</v>
      </c>
      <c r="C20" s="178">
        <f t="shared" si="2"/>
        <v>411291.71</v>
      </c>
      <c r="D20" s="123">
        <v>1</v>
      </c>
      <c r="E20" s="180">
        <f>ROUND(C20*-D20,0)-'Sch II 2023 Yr 1'!E20</f>
        <v>-152233</v>
      </c>
      <c r="F20" s="180">
        <f>C20+E20+'Sch II 2023 Yr 1'!E20</f>
        <v>-0.28999999997904524</v>
      </c>
      <c r="G20" s="180">
        <f t="shared" si="3"/>
        <v>0</v>
      </c>
      <c r="H20" s="177">
        <f t="shared" si="4"/>
        <v>-0.28999999997904524</v>
      </c>
      <c r="I20" s="171"/>
      <c r="J20" s="171">
        <v>15</v>
      </c>
      <c r="K20" s="199">
        <f>IFERROR(VLOOKUP(J20,'[1]Tax Rates'!$A$1:$AA$12,$K$18+1,FALSE),0)</f>
        <v>9.5000000000000001E-2</v>
      </c>
      <c r="L20" s="177">
        <f>+'Sch II 2023 Yr 1'!P20</f>
        <v>-259059</v>
      </c>
      <c r="M20" s="200">
        <f t="shared" si="5"/>
        <v>-152233</v>
      </c>
      <c r="N20" s="200">
        <f t="shared" si="6"/>
        <v>0</v>
      </c>
      <c r="O20" s="180">
        <f>ROUND(K20*-H20,0)</f>
        <v>0</v>
      </c>
      <c r="P20" s="177">
        <f t="shared" si="7"/>
        <v>-411292</v>
      </c>
      <c r="Q20" s="171"/>
      <c r="R20" s="200">
        <f>C20+P20</f>
        <v>-0.28999999997904524</v>
      </c>
    </row>
    <row r="21" spans="1:18" x14ac:dyDescent="0.35">
      <c r="A21" s="171">
        <v>9</v>
      </c>
      <c r="B21" s="171" t="s">
        <v>1</v>
      </c>
      <c r="C21" s="178">
        <f t="shared" si="2"/>
        <v>670622.02300000004</v>
      </c>
      <c r="D21" s="123">
        <v>1</v>
      </c>
      <c r="E21" s="180">
        <f>ROUND(C21*-D21,0)-'Sch II 2023 Yr 1'!E21</f>
        <v>-411685</v>
      </c>
      <c r="F21" s="180">
        <f>C21+E21+'Sch II 2023 Yr 1'!E21</f>
        <v>2.3000000044703484E-2</v>
      </c>
      <c r="G21" s="178">
        <f t="shared" si="3"/>
        <v>0</v>
      </c>
      <c r="H21" s="177">
        <f t="shared" si="4"/>
        <v>2.3000000044703484E-2</v>
      </c>
      <c r="I21" s="171"/>
      <c r="J21" s="171">
        <v>20</v>
      </c>
      <c r="K21" s="199">
        <f>IFERROR(VLOOKUP(J21,'[1]Tax Rates'!$A$1:$AA$12,$K$18+1,FALSE),0)</f>
        <v>7.2190000000000004E-2</v>
      </c>
      <c r="L21" s="177">
        <f>+'Sch II 2023 Yr 1'!P21</f>
        <v>-258937</v>
      </c>
      <c r="M21" s="200">
        <f t="shared" si="5"/>
        <v>-411685</v>
      </c>
      <c r="N21" s="200">
        <f t="shared" si="6"/>
        <v>0</v>
      </c>
      <c r="O21" s="180">
        <f>ROUND(K21*-H21,0)</f>
        <v>0</v>
      </c>
      <c r="P21" s="177">
        <f t="shared" si="7"/>
        <v>-670622</v>
      </c>
      <c r="Q21" s="171"/>
      <c r="R21" s="200">
        <f>C21+P21</f>
        <v>2.3000000044703484E-2</v>
      </c>
    </row>
    <row r="22" spans="1:18" x14ac:dyDescent="0.35">
      <c r="A22" s="171">
        <v>10</v>
      </c>
      <c r="B22" s="171" t="s">
        <v>16</v>
      </c>
      <c r="C22" s="178">
        <f t="shared" si="2"/>
        <v>0</v>
      </c>
      <c r="D22" s="123">
        <v>0</v>
      </c>
      <c r="E22" s="180">
        <f>ROUND(C22*-D22,0)-'Sch II 2023 Yr 1'!E22</f>
        <v>0</v>
      </c>
      <c r="F22" s="180">
        <f>C22+E22+'Sch II 2023 Yr 1'!E22</f>
        <v>0</v>
      </c>
      <c r="G22" s="178">
        <f t="shared" si="3"/>
        <v>0</v>
      </c>
      <c r="H22" s="177">
        <f t="shared" si="4"/>
        <v>0</v>
      </c>
      <c r="I22" s="171"/>
      <c r="J22" s="171">
        <v>7</v>
      </c>
      <c r="K22" s="199">
        <f>IFERROR(VLOOKUP(J22,'[1]Tax Rates'!$A$1:$AA$12,$K$18+1,FALSE),0)</f>
        <v>0.24490000000000001</v>
      </c>
      <c r="L22" s="177">
        <f>+'Sch II 2023 Yr 1'!P22</f>
        <v>0</v>
      </c>
      <c r="M22" s="200">
        <f t="shared" si="5"/>
        <v>0</v>
      </c>
      <c r="N22" s="200">
        <f t="shared" si="6"/>
        <v>0</v>
      </c>
      <c r="O22" s="180">
        <f>ROUND(K22*-H22,0)</f>
        <v>0</v>
      </c>
      <c r="P22" s="177">
        <f t="shared" si="7"/>
        <v>0</v>
      </c>
      <c r="Q22" s="171"/>
      <c r="R22" s="200">
        <f>C22+P22</f>
        <v>0</v>
      </c>
    </row>
    <row r="23" spans="1:18" x14ac:dyDescent="0.35">
      <c r="A23" s="171">
        <v>11</v>
      </c>
      <c r="B23" s="171" t="s">
        <v>15</v>
      </c>
      <c r="C23" s="178">
        <f t="shared" si="2"/>
        <v>0</v>
      </c>
      <c r="D23" s="123">
        <v>0</v>
      </c>
      <c r="E23" s="180">
        <f>ROUND(C23*-D23,0)-'Sch II 2023 Yr 1'!E23</f>
        <v>0</v>
      </c>
      <c r="F23" s="180">
        <f>C23+E23+'Sch II 2023 Yr 1'!E23</f>
        <v>0</v>
      </c>
      <c r="G23" s="178">
        <f t="shared" si="3"/>
        <v>0</v>
      </c>
      <c r="H23" s="177">
        <f t="shared" si="4"/>
        <v>0</v>
      </c>
      <c r="I23" s="171"/>
      <c r="J23" s="171">
        <v>15</v>
      </c>
      <c r="K23" s="199">
        <f>IFERROR(VLOOKUP(J23,'[1]Tax Rates'!$A$1:$AA$12,$K$18+1,FALSE),0)</f>
        <v>9.5000000000000001E-2</v>
      </c>
      <c r="L23" s="177">
        <f>+'Sch II 2023 Yr 1'!P23</f>
        <v>0</v>
      </c>
      <c r="M23" s="200">
        <f t="shared" si="5"/>
        <v>0</v>
      </c>
      <c r="N23" s="200">
        <f t="shared" si="6"/>
        <v>0</v>
      </c>
      <c r="O23" s="180">
        <f>ROUND(K23*-H23,0)</f>
        <v>0</v>
      </c>
      <c r="P23" s="177">
        <f t="shared" si="7"/>
        <v>0</v>
      </c>
      <c r="Q23" s="171"/>
      <c r="R23" s="200">
        <f>C23+P23</f>
        <v>0</v>
      </c>
    </row>
    <row r="24" spans="1:18" x14ac:dyDescent="0.35">
      <c r="A24" s="171">
        <v>12</v>
      </c>
      <c r="B24" s="171" t="s">
        <v>54</v>
      </c>
      <c r="C24" s="201">
        <f t="shared" si="2"/>
        <v>162314</v>
      </c>
      <c r="D24" s="221">
        <v>1</v>
      </c>
      <c r="E24" s="201">
        <f>ROUND(C24*-D24,0)-'Sch II 2023 Yr 1'!E24</f>
        <v>-100594</v>
      </c>
      <c r="F24" s="201">
        <f>C24+E24+'Sch II 2023 Yr 1'!E24</f>
        <v>0</v>
      </c>
      <c r="G24" s="201">
        <f t="shared" si="3"/>
        <v>0</v>
      </c>
      <c r="H24" s="179">
        <f t="shared" si="4"/>
        <v>0</v>
      </c>
      <c r="I24" s="171"/>
      <c r="J24" s="202" t="s">
        <v>55</v>
      </c>
      <c r="K24" s="203" t="s">
        <v>55</v>
      </c>
      <c r="L24" s="179">
        <f>+'Sch II 2023 Yr 1'!P24</f>
        <v>-61720</v>
      </c>
      <c r="M24" s="204">
        <f t="shared" si="5"/>
        <v>-100594</v>
      </c>
      <c r="N24" s="205">
        <f t="shared" si="6"/>
        <v>0</v>
      </c>
      <c r="O24" s="201">
        <v>0</v>
      </c>
      <c r="P24" s="179">
        <f t="shared" si="7"/>
        <v>-162314</v>
      </c>
      <c r="Q24" s="171"/>
      <c r="R24" s="206" t="s">
        <v>55</v>
      </c>
    </row>
    <row r="25" spans="1:18" x14ac:dyDescent="0.35">
      <c r="A25" s="171"/>
      <c r="B25" s="171"/>
      <c r="C25" s="180">
        <f>SUM(C18:C24)</f>
        <v>6691501.563000001</v>
      </c>
      <c r="D25" s="171"/>
      <c r="E25" s="180">
        <f>SUM(E19:E24)</f>
        <v>-3529901</v>
      </c>
      <c r="F25" s="180">
        <f>SUM(F19:F24)</f>
        <v>-0.43699999892851338</v>
      </c>
      <c r="G25" s="180">
        <f>SUM(G19:G24)</f>
        <v>0</v>
      </c>
      <c r="H25" s="177">
        <f>SUM(H19:H24)</f>
        <v>-0.43699999892851338</v>
      </c>
      <c r="I25" s="171"/>
      <c r="J25" s="171"/>
      <c r="K25" s="171"/>
      <c r="L25" s="177">
        <f>SUM(L19:L24)</f>
        <v>-3161601</v>
      </c>
      <c r="M25" s="180">
        <f>SUM(M19:M24)</f>
        <v>-3529901</v>
      </c>
      <c r="N25" s="180">
        <f>SUM(N19:N24)</f>
        <v>0</v>
      </c>
      <c r="O25" s="180">
        <f>SUM(O19:O24)</f>
        <v>0</v>
      </c>
      <c r="P25" s="177">
        <f>SUM(P19:P24)</f>
        <v>-6691502</v>
      </c>
      <c r="Q25" s="171"/>
      <c r="R25" s="200">
        <f>SUM(R19:R24)</f>
        <v>-0.43699999892851338</v>
      </c>
    </row>
    <row r="26" spans="1:18" x14ac:dyDescent="0.35">
      <c r="A26" s="171"/>
      <c r="B26" s="171"/>
      <c r="C26" s="180"/>
      <c r="D26" s="171"/>
      <c r="E26" s="180"/>
      <c r="F26" s="180"/>
      <c r="G26" s="180"/>
      <c r="H26" s="177"/>
      <c r="I26" s="171"/>
      <c r="J26" s="177"/>
      <c r="K26" s="180"/>
      <c r="L26" s="180"/>
      <c r="M26" s="180"/>
      <c r="N26" s="177"/>
      <c r="O26" s="171"/>
      <c r="P26" s="171"/>
      <c r="Q26" s="171"/>
      <c r="R26" s="171"/>
    </row>
    <row r="27" spans="1:18" x14ac:dyDescent="0.3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</row>
    <row r="28" spans="1:18" x14ac:dyDescent="0.35">
      <c r="A28" s="171"/>
      <c r="B28" s="171"/>
      <c r="C28" s="171"/>
      <c r="D28" s="171"/>
      <c r="E28" s="180"/>
      <c r="F28" s="196" t="s">
        <v>46</v>
      </c>
      <c r="G28" s="196"/>
      <c r="H28" s="136"/>
      <c r="I28" s="171"/>
      <c r="J28" s="171"/>
      <c r="K28" s="171"/>
      <c r="L28" s="171"/>
      <c r="M28" s="171"/>
      <c r="N28" s="171"/>
      <c r="O28" s="171"/>
      <c r="P28" s="171"/>
      <c r="Q28" s="171"/>
      <c r="R28" s="171"/>
    </row>
    <row r="29" spans="1:18" x14ac:dyDescent="0.35">
      <c r="A29" s="171"/>
      <c r="B29" s="171"/>
      <c r="C29" s="171"/>
      <c r="D29" s="277" t="s">
        <v>35</v>
      </c>
      <c r="E29" s="277"/>
      <c r="F29" s="196" t="s">
        <v>37</v>
      </c>
      <c r="G29" s="196" t="s">
        <v>52</v>
      </c>
      <c r="H29" s="196" t="s">
        <v>36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x14ac:dyDescent="0.35">
      <c r="A30" s="171"/>
      <c r="B30" s="171"/>
      <c r="C30" s="171"/>
      <c r="D30" s="198" t="s">
        <v>31</v>
      </c>
      <c r="E30" s="198" t="s">
        <v>12</v>
      </c>
      <c r="F30" s="198" t="s">
        <v>38</v>
      </c>
      <c r="G30" s="198" t="s">
        <v>11</v>
      </c>
      <c r="H30" s="198" t="s">
        <v>3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x14ac:dyDescent="0.35">
      <c r="A31" s="171">
        <v>13</v>
      </c>
      <c r="B31" s="171" t="s">
        <v>45</v>
      </c>
      <c r="C31" s="171"/>
      <c r="D31" s="200">
        <f t="shared" ref="D31:D36" si="8">J6</f>
        <v>5202384.830000001</v>
      </c>
      <c r="E31" s="200">
        <f t="shared" ref="E31:E36" si="9">R19</f>
        <v>-0.16999999899417162</v>
      </c>
      <c r="F31" s="200">
        <f>E31-D31</f>
        <v>-5202385</v>
      </c>
      <c r="G31" s="136">
        <v>0.2495</v>
      </c>
      <c r="H31" s="200">
        <f>ROUND(F31*G31,0)</f>
        <v>-1297995</v>
      </c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1:18" x14ac:dyDescent="0.35">
      <c r="A32" s="171">
        <v>14</v>
      </c>
      <c r="B32" s="171" t="s">
        <v>0</v>
      </c>
      <c r="C32" s="171"/>
      <c r="D32" s="200">
        <f t="shared" si="8"/>
        <v>391985.71</v>
      </c>
      <c r="E32" s="200">
        <f t="shared" si="9"/>
        <v>-0.28999999997904524</v>
      </c>
      <c r="F32" s="200">
        <f>E32-D32</f>
        <v>-391986</v>
      </c>
      <c r="G32" s="136">
        <f>G31</f>
        <v>0.2495</v>
      </c>
      <c r="H32" s="200">
        <f t="shared" ref="H32:H36" si="10">ROUND(F32*G32,0)</f>
        <v>-97801</v>
      </c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 x14ac:dyDescent="0.35">
      <c r="A33" s="171">
        <v>15</v>
      </c>
      <c r="B33" s="171" t="s">
        <v>1</v>
      </c>
      <c r="C33" s="171"/>
      <c r="D33" s="200">
        <f t="shared" si="8"/>
        <v>641806.02300000004</v>
      </c>
      <c r="E33" s="200">
        <f t="shared" si="9"/>
        <v>2.3000000044703484E-2</v>
      </c>
      <c r="F33" s="200">
        <f>E33-D33</f>
        <v>-641806</v>
      </c>
      <c r="G33" s="136">
        <f>G31</f>
        <v>0.2495</v>
      </c>
      <c r="H33" s="200">
        <f t="shared" si="10"/>
        <v>-160131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</row>
    <row r="34" spans="1:18" x14ac:dyDescent="0.35">
      <c r="A34" s="171">
        <v>16</v>
      </c>
      <c r="B34" s="171" t="s">
        <v>16</v>
      </c>
      <c r="C34" s="171"/>
      <c r="D34" s="200">
        <f t="shared" si="8"/>
        <v>0</v>
      </c>
      <c r="E34" s="200">
        <f t="shared" si="9"/>
        <v>0</v>
      </c>
      <c r="F34" s="200">
        <f>E34-D34</f>
        <v>0</v>
      </c>
      <c r="G34" s="136">
        <f>G31</f>
        <v>0.2495</v>
      </c>
      <c r="H34" s="200">
        <f t="shared" si="10"/>
        <v>0</v>
      </c>
      <c r="I34" s="171"/>
      <c r="J34" s="171"/>
      <c r="K34" s="171"/>
      <c r="L34" s="171"/>
      <c r="M34" s="171"/>
      <c r="N34" s="171"/>
      <c r="O34" s="171"/>
      <c r="P34" s="171"/>
      <c r="Q34" s="171"/>
      <c r="R34" s="171"/>
    </row>
    <row r="35" spans="1:18" x14ac:dyDescent="0.35">
      <c r="A35" s="171">
        <v>17</v>
      </c>
      <c r="B35" s="171" t="s">
        <v>15</v>
      </c>
      <c r="C35" s="171"/>
      <c r="D35" s="200">
        <f t="shared" si="8"/>
        <v>0</v>
      </c>
      <c r="E35" s="200">
        <f t="shared" si="9"/>
        <v>0</v>
      </c>
      <c r="F35" s="200">
        <f>E35-D35</f>
        <v>0</v>
      </c>
      <c r="G35" s="136">
        <f>G31</f>
        <v>0.2495</v>
      </c>
      <c r="H35" s="200">
        <f t="shared" si="10"/>
        <v>0</v>
      </c>
      <c r="I35" s="171"/>
      <c r="J35" s="171"/>
      <c r="K35" s="171"/>
      <c r="L35" s="171"/>
      <c r="M35" s="171"/>
      <c r="N35" s="171"/>
      <c r="O35" s="171"/>
      <c r="P35" s="171"/>
      <c r="Q35" s="171"/>
      <c r="R35" s="171"/>
    </row>
    <row r="36" spans="1:18" x14ac:dyDescent="0.35">
      <c r="A36" s="171">
        <v>18</v>
      </c>
      <c r="B36" s="171" t="s">
        <v>54</v>
      </c>
      <c r="C36" s="171"/>
      <c r="D36" s="204">
        <f t="shared" si="8"/>
        <v>157472</v>
      </c>
      <c r="E36" s="206" t="str">
        <f t="shared" si="9"/>
        <v>NA</v>
      </c>
      <c r="F36" s="204">
        <f>-D36</f>
        <v>-157472</v>
      </c>
      <c r="G36" s="207">
        <f>G31</f>
        <v>0.2495</v>
      </c>
      <c r="H36" s="204">
        <f t="shared" si="10"/>
        <v>-39289</v>
      </c>
      <c r="I36" s="171"/>
      <c r="J36" s="171"/>
      <c r="K36" s="171"/>
      <c r="L36" s="171"/>
      <c r="M36" s="171"/>
      <c r="N36" s="171"/>
      <c r="O36" s="171"/>
      <c r="P36" s="171"/>
      <c r="Q36" s="171"/>
      <c r="R36" s="171"/>
    </row>
    <row r="37" spans="1:18" x14ac:dyDescent="0.35">
      <c r="A37" s="171"/>
      <c r="B37" s="171"/>
      <c r="C37" s="171"/>
      <c r="D37" s="200">
        <f>SUM(D31:D36)</f>
        <v>6393648.563000001</v>
      </c>
      <c r="E37" s="200">
        <f>SUM(E31:E36)</f>
        <v>-0.43699999892851338</v>
      </c>
      <c r="F37" s="200">
        <f>SUM(F31:F36)</f>
        <v>-6393649</v>
      </c>
      <c r="G37" s="171"/>
      <c r="H37" s="200">
        <f>SUM(H31:H36)</f>
        <v>-1595216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9" spans="1:18" x14ac:dyDescent="0.35">
      <c r="B39" s="193"/>
      <c r="D39" s="193"/>
    </row>
    <row r="40" spans="1:18" x14ac:dyDescent="0.35">
      <c r="A40" s="181"/>
      <c r="B40" s="171"/>
      <c r="C40" s="171"/>
      <c r="D40" s="171"/>
    </row>
    <row r="41" spans="1:18" x14ac:dyDescent="0.35">
      <c r="A41" s="181"/>
      <c r="C41" s="171"/>
      <c r="D41" s="171"/>
    </row>
  </sheetData>
  <mergeCells count="3">
    <mergeCell ref="F2:H2"/>
    <mergeCell ref="L16:P16"/>
    <mergeCell ref="D29:E29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E538-3E08-491E-B40A-DF5E73E43EFB}">
  <sheetPr>
    <pageSetUpPr fitToPage="1"/>
  </sheetPr>
  <dimension ref="A1:R41"/>
  <sheetViews>
    <sheetView zoomScaleNormal="100" workbookViewId="0">
      <selection activeCell="F30" sqref="F30"/>
    </sheetView>
  </sheetViews>
  <sheetFormatPr defaultColWidth="9.1796875" defaultRowHeight="14.5" x14ac:dyDescent="0.35"/>
  <cols>
    <col min="1" max="1" width="3" style="94" customWidth="1"/>
    <col min="2" max="2" width="18.54296875" style="94" bestFit="1" customWidth="1"/>
    <col min="3" max="3" width="11.1796875" style="94" bestFit="1" customWidth="1"/>
    <col min="4" max="4" width="13.7265625" style="94" bestFit="1" customWidth="1"/>
    <col min="5" max="5" width="14" style="94" bestFit="1" customWidth="1"/>
    <col min="6" max="6" width="12.7265625" style="94" customWidth="1"/>
    <col min="7" max="7" width="12.54296875" style="94" bestFit="1" customWidth="1"/>
    <col min="8" max="8" width="13.26953125" style="94" bestFit="1" customWidth="1"/>
    <col min="9" max="9" width="2.7265625" style="94" customWidth="1"/>
    <col min="10" max="10" width="10.7265625" style="94" customWidth="1"/>
    <col min="11" max="11" width="8.1796875" style="94" bestFit="1" customWidth="1"/>
    <col min="12" max="14" width="11.26953125" style="94" bestFit="1" customWidth="1"/>
    <col min="15" max="15" width="9.1796875" style="94" bestFit="1" customWidth="1"/>
    <col min="16" max="16" width="12.26953125" style="94" bestFit="1" customWidth="1"/>
    <col min="17" max="17" width="2.7265625" style="94" customWidth="1"/>
    <col min="18" max="18" width="15.26953125" style="94" bestFit="1" customWidth="1"/>
    <col min="19" max="16384" width="9.1796875" style="94"/>
  </cols>
  <sheetData>
    <row r="1" spans="1:18" x14ac:dyDescent="0.35">
      <c r="A1" s="132" t="s">
        <v>23</v>
      </c>
      <c r="B1" s="189"/>
      <c r="C1" s="132">
        <v>2023</v>
      </c>
      <c r="R1" s="190" t="s">
        <v>211</v>
      </c>
    </row>
    <row r="2" spans="1:18" x14ac:dyDescent="0.35">
      <c r="A2" s="132" t="s">
        <v>44</v>
      </c>
      <c r="D2" s="191"/>
      <c r="F2" s="276" t="s">
        <v>32</v>
      </c>
      <c r="G2" s="276"/>
      <c r="H2" s="276"/>
      <c r="R2" s="190" t="s">
        <v>235</v>
      </c>
    </row>
    <row r="3" spans="1:18" x14ac:dyDescent="0.35">
      <c r="D3" s="191" t="s">
        <v>34</v>
      </c>
      <c r="G3" s="191"/>
      <c r="J3" s="191" t="s">
        <v>31</v>
      </c>
    </row>
    <row r="4" spans="1:18" x14ac:dyDescent="0.35">
      <c r="C4" s="191">
        <v>2023</v>
      </c>
      <c r="D4" s="191" t="s">
        <v>22</v>
      </c>
      <c r="F4" s="191"/>
      <c r="G4" s="191" t="s">
        <v>2</v>
      </c>
      <c r="H4" s="191"/>
      <c r="J4" s="191" t="s">
        <v>39</v>
      </c>
      <c r="O4" s="191" t="s">
        <v>59</v>
      </c>
      <c r="P4" s="191" t="s">
        <v>59</v>
      </c>
    </row>
    <row r="5" spans="1:18" x14ac:dyDescent="0.35">
      <c r="C5" s="192" t="s">
        <v>18</v>
      </c>
      <c r="D5" s="192">
        <v>3</v>
      </c>
      <c r="F5" s="192" t="s">
        <v>19</v>
      </c>
      <c r="G5" s="192" t="s">
        <v>14</v>
      </c>
      <c r="H5" s="192" t="s">
        <v>20</v>
      </c>
      <c r="J5" s="192" t="s">
        <v>40</v>
      </c>
      <c r="O5" s="192" t="s">
        <v>11</v>
      </c>
      <c r="P5" s="192" t="s">
        <v>13</v>
      </c>
    </row>
    <row r="6" spans="1:18" x14ac:dyDescent="0.35">
      <c r="A6" s="94">
        <v>1</v>
      </c>
      <c r="B6" s="94" t="s">
        <v>45</v>
      </c>
      <c r="C6" s="134">
        <f>+'Schedule IV 2023 Monthly'!P19</f>
        <v>5447273.830000001</v>
      </c>
      <c r="D6" s="161">
        <f>('Sch II 2024 Yr 1'!D6+'Sch II 2025 Yr 2'!D6)/2</f>
        <v>3.015E-2</v>
      </c>
      <c r="F6" s="134">
        <f>+'Sch II 2023 Yr 2'!H6</f>
        <v>-244889</v>
      </c>
      <c r="G6" s="134">
        <f>ROUND(IF(D$5=1,-D6*C6,-D6*C6),0)</f>
        <v>-164235</v>
      </c>
      <c r="H6" s="134">
        <f t="shared" ref="H6:H11" si="0">SUM(F6:G6)</f>
        <v>-409124</v>
      </c>
      <c r="J6" s="193">
        <f t="shared" ref="J6:J11" si="1">C6+H6</f>
        <v>5038149.830000001</v>
      </c>
      <c r="O6" s="173">
        <v>1E-4</v>
      </c>
      <c r="P6" s="194">
        <f>ROUND(IF(D$5=1,-O6*C6,-O6*C6),0)</f>
        <v>-545</v>
      </c>
    </row>
    <row r="7" spans="1:18" x14ac:dyDescent="0.35">
      <c r="A7" s="94">
        <v>2</v>
      </c>
      <c r="B7" s="94" t="s">
        <v>0</v>
      </c>
      <c r="C7" s="134">
        <f>+'Schedule IV 2023 Monthly'!P22</f>
        <v>411291.71</v>
      </c>
      <c r="D7" s="161">
        <f>('Sch II 2024 Yr 1'!D7+'Sch II 2025 Yr 2'!D7)/2</f>
        <v>3.1150000000000001E-2</v>
      </c>
      <c r="F7" s="134">
        <f>+'Sch II 2023 Yr 2'!H7</f>
        <v>-19306</v>
      </c>
      <c r="G7" s="134">
        <f>ROUND(IF(D$5=1,-D7*C7,-D7*C7),0)</f>
        <v>-12812</v>
      </c>
      <c r="H7" s="134">
        <f t="shared" si="0"/>
        <v>-32118</v>
      </c>
      <c r="J7" s="193">
        <f t="shared" si="1"/>
        <v>379173.71</v>
      </c>
      <c r="O7" s="173">
        <v>2.0000000000000001E-4</v>
      </c>
      <c r="P7" s="193">
        <f>ROUND(IF(D$5=1,-O7*C7,-O7*C7),0)</f>
        <v>-82</v>
      </c>
    </row>
    <row r="8" spans="1:18" x14ac:dyDescent="0.35">
      <c r="A8" s="94">
        <v>3</v>
      </c>
      <c r="B8" s="94" t="s">
        <v>1</v>
      </c>
      <c r="C8" s="134">
        <f>+'Schedule IV 2023 Monthly'!P25</f>
        <v>670622.02300000004</v>
      </c>
      <c r="D8" s="161">
        <f>('Sch II 2024 Yr 1'!D8+'Sch II 2025 Yr 2'!D8)/2</f>
        <v>3.2199999999999999E-2</v>
      </c>
      <c r="F8" s="134">
        <f>+'Sch II 2023 Yr 2'!H8</f>
        <v>-28816</v>
      </c>
      <c r="G8" s="134">
        <f>ROUND(IF(D$5=1,-D8*C8,-D8*C8),0)</f>
        <v>-21594</v>
      </c>
      <c r="H8" s="134">
        <f t="shared" si="0"/>
        <v>-50410</v>
      </c>
      <c r="J8" s="193">
        <f t="shared" si="1"/>
        <v>620212.02300000004</v>
      </c>
      <c r="O8" s="173">
        <v>4.1999999999999997E-3</v>
      </c>
      <c r="P8" s="193">
        <f>ROUND(IF(D$5=1,-O8*C8,-O8*C8),0)</f>
        <v>-2817</v>
      </c>
    </row>
    <row r="9" spans="1:18" x14ac:dyDescent="0.35">
      <c r="A9" s="94">
        <v>4</v>
      </c>
      <c r="B9" s="94" t="s">
        <v>16</v>
      </c>
      <c r="C9" s="134"/>
      <c r="D9" s="161">
        <v>2.2499999999999999E-2</v>
      </c>
      <c r="F9" s="134">
        <f>+'Sch II 2023 Yr 1'!H9</f>
        <v>0</v>
      </c>
      <c r="G9" s="134">
        <f>ROUND(IF(D$5=1,-0.5*D9*C9,-D9*C9),0)</f>
        <v>0</v>
      </c>
      <c r="H9" s="134">
        <f t="shared" si="0"/>
        <v>0</v>
      </c>
      <c r="J9" s="193">
        <f t="shared" si="1"/>
        <v>0</v>
      </c>
      <c r="O9" s="173">
        <v>0</v>
      </c>
      <c r="P9" s="193">
        <f>IF(D$5=1,-0.5*O9*C9,-O9*C9)</f>
        <v>0</v>
      </c>
    </row>
    <row r="10" spans="1:18" x14ac:dyDescent="0.35">
      <c r="A10" s="94">
        <v>5</v>
      </c>
      <c r="B10" s="94" t="s">
        <v>15</v>
      </c>
      <c r="C10" s="134"/>
      <c r="D10" s="161">
        <v>2.0500000000000001E-2</v>
      </c>
      <c r="F10" s="134">
        <f>+'Sch II 2023 Yr 1'!H10</f>
        <v>0</v>
      </c>
      <c r="G10" s="134">
        <f>ROUND(IF(D$5=1,-0.5*D10*C10,-D10*C10),0)</f>
        <v>0</v>
      </c>
      <c r="H10" s="134">
        <f t="shared" si="0"/>
        <v>0</v>
      </c>
      <c r="J10" s="193">
        <f t="shared" si="1"/>
        <v>0</v>
      </c>
      <c r="O10" s="173">
        <v>0</v>
      </c>
      <c r="P10" s="193">
        <f>IF(D$5=1,-0.5*O10*C10,-O10*C10)</f>
        <v>0</v>
      </c>
    </row>
    <row r="11" spans="1:18" x14ac:dyDescent="0.35">
      <c r="A11" s="94">
        <v>6</v>
      </c>
      <c r="B11" s="94" t="s">
        <v>54</v>
      </c>
      <c r="C11" s="175">
        <f>+'Schedule IV 2023 Monthly'!P6</f>
        <v>162314</v>
      </c>
      <c r="D11" s="174" t="s">
        <v>53</v>
      </c>
      <c r="F11" s="175">
        <f>+'Sch II 2023 Yr 2'!H11</f>
        <v>-4842</v>
      </c>
      <c r="G11" s="175">
        <f>P12</f>
        <v>-3444</v>
      </c>
      <c r="H11" s="175">
        <f t="shared" si="0"/>
        <v>-8286</v>
      </c>
      <c r="J11" s="195">
        <f t="shared" si="1"/>
        <v>154028</v>
      </c>
      <c r="O11" s="176">
        <v>0</v>
      </c>
      <c r="P11" s="195">
        <f>IF(D$5=1,-0.5*O11*C11,-O11*C11)</f>
        <v>0</v>
      </c>
    </row>
    <row r="12" spans="1:18" x14ac:dyDescent="0.35">
      <c r="C12" s="134">
        <f>SUM(C6:C11)</f>
        <v>6691501.563000001</v>
      </c>
      <c r="D12" s="134"/>
      <c r="F12" s="134">
        <f>SUM(F5:F11)</f>
        <v>-297853</v>
      </c>
      <c r="G12" s="134">
        <f>SUM(G5:G11)</f>
        <v>-202085</v>
      </c>
      <c r="H12" s="134">
        <f>SUM(H5:H11)</f>
        <v>-499938</v>
      </c>
      <c r="J12" s="193">
        <f>SUM(J6:J11)</f>
        <v>6191563.563000001</v>
      </c>
      <c r="O12" s="193"/>
      <c r="P12" s="194">
        <f>SUM(P5:P11)</f>
        <v>-3444</v>
      </c>
    </row>
    <row r="13" spans="1:18" x14ac:dyDescent="0.35">
      <c r="C13" s="134"/>
      <c r="D13" s="134"/>
      <c r="E13" s="134"/>
      <c r="F13" s="134"/>
      <c r="M13" s="191"/>
    </row>
    <row r="14" spans="1:18" x14ac:dyDescent="0.35">
      <c r="M14" s="191"/>
    </row>
    <row r="15" spans="1:18" x14ac:dyDescent="0.35">
      <c r="D15" s="191"/>
    </row>
    <row r="16" spans="1:18" x14ac:dyDescent="0.35">
      <c r="A16" s="171"/>
      <c r="B16" s="171"/>
      <c r="C16" s="171"/>
      <c r="D16" s="196" t="s">
        <v>26</v>
      </c>
      <c r="E16" s="171"/>
      <c r="F16" s="171"/>
      <c r="G16" s="197">
        <v>0</v>
      </c>
      <c r="H16" s="171"/>
      <c r="I16" s="171"/>
      <c r="J16" s="137"/>
      <c r="K16" s="196" t="s">
        <v>21</v>
      </c>
      <c r="L16" s="277" t="s">
        <v>33</v>
      </c>
      <c r="M16" s="277"/>
      <c r="N16" s="277"/>
      <c r="O16" s="277"/>
      <c r="P16" s="277"/>
      <c r="Q16" s="171"/>
      <c r="R16" s="196" t="s">
        <v>12</v>
      </c>
    </row>
    <row r="17" spans="1:18" x14ac:dyDescent="0.35">
      <c r="A17" s="171"/>
      <c r="B17" s="171"/>
      <c r="C17" s="196" t="s">
        <v>31</v>
      </c>
      <c r="D17" s="196" t="s">
        <v>14</v>
      </c>
      <c r="E17" s="196" t="s">
        <v>12</v>
      </c>
      <c r="F17" s="196" t="s">
        <v>12</v>
      </c>
      <c r="G17" s="196" t="s">
        <v>25</v>
      </c>
      <c r="H17" s="196" t="s">
        <v>29</v>
      </c>
      <c r="I17" s="171"/>
      <c r="J17" s="196"/>
      <c r="K17" s="196" t="s">
        <v>24</v>
      </c>
      <c r="L17" s="196"/>
      <c r="M17" s="196" t="s">
        <v>12</v>
      </c>
      <c r="N17" s="196" t="s">
        <v>25</v>
      </c>
      <c r="O17" s="196" t="s">
        <v>21</v>
      </c>
      <c r="P17" s="196"/>
      <c r="Q17" s="171"/>
      <c r="R17" s="196" t="s">
        <v>39</v>
      </c>
    </row>
    <row r="18" spans="1:18" x14ac:dyDescent="0.35">
      <c r="A18" s="171"/>
      <c r="B18" s="171"/>
      <c r="C18" s="198" t="s">
        <v>18</v>
      </c>
      <c r="D18" s="198" t="s">
        <v>27</v>
      </c>
      <c r="E18" s="198" t="s">
        <v>14</v>
      </c>
      <c r="F18" s="198" t="s">
        <v>28</v>
      </c>
      <c r="G18" s="198" t="s">
        <v>2</v>
      </c>
      <c r="H18" s="198" t="s">
        <v>30</v>
      </c>
      <c r="I18" s="171"/>
      <c r="J18" s="198" t="s">
        <v>17</v>
      </c>
      <c r="K18" s="198">
        <f>D5</f>
        <v>3</v>
      </c>
      <c r="L18" s="198" t="s">
        <v>19</v>
      </c>
      <c r="M18" s="198" t="s">
        <v>14</v>
      </c>
      <c r="N18" s="198" t="s">
        <v>13</v>
      </c>
      <c r="O18" s="198" t="s">
        <v>13</v>
      </c>
      <c r="P18" s="198" t="s">
        <v>20</v>
      </c>
      <c r="Q18" s="171"/>
      <c r="R18" s="198" t="s">
        <v>40</v>
      </c>
    </row>
    <row r="19" spans="1:18" x14ac:dyDescent="0.35">
      <c r="A19" s="171">
        <v>7</v>
      </c>
      <c r="B19" s="171" t="s">
        <v>45</v>
      </c>
      <c r="C19" s="180">
        <f t="shared" ref="C19:C24" si="2">C6</f>
        <v>5447273.830000001</v>
      </c>
      <c r="D19" s="123">
        <v>1</v>
      </c>
      <c r="E19" s="180">
        <f>ROUND(C19*-D19,0)-'Sch II 2023 Yr 1'!E19-'Sch II 2023 Yr 2'!E19</f>
        <v>0</v>
      </c>
      <c r="F19" s="180">
        <f>C19+E19+'Sch II 2023 Yr 1'!E19+'Sch II 2023 Yr 2'!E19</f>
        <v>-0.16999999899417162</v>
      </c>
      <c r="G19" s="180">
        <f t="shared" ref="G19:G24" si="3">ROUND(F19*-$G$16,0)</f>
        <v>0</v>
      </c>
      <c r="H19" s="177">
        <f t="shared" ref="H19:H24" si="4">F19+G19</f>
        <v>-0.16999999899417162</v>
      </c>
      <c r="I19" s="171"/>
      <c r="J19" s="171">
        <v>20</v>
      </c>
      <c r="K19" s="199">
        <f>IFERROR(VLOOKUP(J19,'[1]Tax Rates'!$A$1:$AA$12,$K$18+1,FALSE),0)</f>
        <v>6.6769999999999996E-2</v>
      </c>
      <c r="L19" s="177">
        <f>+'Sch II 2023 Yr 2'!P19</f>
        <v>-5447274</v>
      </c>
      <c r="M19" s="200">
        <f t="shared" ref="M19:M24" si="5">E19</f>
        <v>0</v>
      </c>
      <c r="N19" s="200">
        <f t="shared" ref="N19:N24" si="6">G19</f>
        <v>0</v>
      </c>
      <c r="O19" s="180">
        <f>ROUND(K19*-H19,0)</f>
        <v>0</v>
      </c>
      <c r="P19" s="177">
        <f t="shared" ref="P19:P24" si="7">SUM(L19:O19)</f>
        <v>-5447274</v>
      </c>
      <c r="Q19" s="171"/>
      <c r="R19" s="200">
        <f>C19+P19</f>
        <v>-0.16999999899417162</v>
      </c>
    </row>
    <row r="20" spans="1:18" x14ac:dyDescent="0.35">
      <c r="A20" s="171">
        <v>8</v>
      </c>
      <c r="B20" s="171" t="s">
        <v>0</v>
      </c>
      <c r="C20" s="178">
        <f t="shared" si="2"/>
        <v>411291.71</v>
      </c>
      <c r="D20" s="123">
        <v>1</v>
      </c>
      <c r="E20" s="180">
        <f>ROUND(C20*-D20,0)-'Sch II 2023 Yr 1'!E20-'Sch II 2023 Yr 2'!E20</f>
        <v>0</v>
      </c>
      <c r="F20" s="180">
        <f>C20+E20+'Sch II 2023 Yr 1'!E20+'Sch II 2023 Yr 2'!E20</f>
        <v>-0.28999999997904524</v>
      </c>
      <c r="G20" s="180">
        <f t="shared" si="3"/>
        <v>0</v>
      </c>
      <c r="H20" s="177">
        <f t="shared" si="4"/>
        <v>-0.28999999997904524</v>
      </c>
      <c r="I20" s="171"/>
      <c r="J20" s="171">
        <v>15</v>
      </c>
      <c r="K20" s="199">
        <f>IFERROR(VLOOKUP(J20,'[1]Tax Rates'!$A$1:$AA$12,$K$18+1,FALSE),0)</f>
        <v>8.5500000000000007E-2</v>
      </c>
      <c r="L20" s="177">
        <f>+'Sch II 2023 Yr 2'!P20</f>
        <v>-411292</v>
      </c>
      <c r="M20" s="200">
        <f t="shared" si="5"/>
        <v>0</v>
      </c>
      <c r="N20" s="200">
        <f t="shared" si="6"/>
        <v>0</v>
      </c>
      <c r="O20" s="180">
        <f>ROUND(K20*-H20,0)</f>
        <v>0</v>
      </c>
      <c r="P20" s="177">
        <f t="shared" si="7"/>
        <v>-411292</v>
      </c>
      <c r="Q20" s="171"/>
      <c r="R20" s="200">
        <f>C20+P20</f>
        <v>-0.28999999997904524</v>
      </c>
    </row>
    <row r="21" spans="1:18" x14ac:dyDescent="0.35">
      <c r="A21" s="171">
        <v>9</v>
      </c>
      <c r="B21" s="171" t="s">
        <v>1</v>
      </c>
      <c r="C21" s="178">
        <f t="shared" si="2"/>
        <v>670622.02300000004</v>
      </c>
      <c r="D21" s="123">
        <v>1</v>
      </c>
      <c r="E21" s="180">
        <f>ROUND(C21*-D21,0)-'Sch II 2023 Yr 1'!E21-'Sch II 2023 Yr 2'!E21</f>
        <v>0</v>
      </c>
      <c r="F21" s="180">
        <f>C21+E21+'Sch II 2023 Yr 1'!E21+'Sch II 2023 Yr 2'!E21</f>
        <v>2.3000000044703484E-2</v>
      </c>
      <c r="G21" s="178">
        <f t="shared" si="3"/>
        <v>0</v>
      </c>
      <c r="H21" s="177">
        <f t="shared" si="4"/>
        <v>2.3000000044703484E-2</v>
      </c>
      <c r="I21" s="171"/>
      <c r="J21" s="171">
        <v>20</v>
      </c>
      <c r="K21" s="199">
        <f>IFERROR(VLOOKUP(J21,'[1]Tax Rates'!$A$1:$AA$12,$K$18+1,FALSE),0)</f>
        <v>6.6769999999999996E-2</v>
      </c>
      <c r="L21" s="177">
        <f>+'Sch II 2023 Yr 2'!P21</f>
        <v>-670622</v>
      </c>
      <c r="M21" s="200">
        <f t="shared" si="5"/>
        <v>0</v>
      </c>
      <c r="N21" s="200">
        <f t="shared" si="6"/>
        <v>0</v>
      </c>
      <c r="O21" s="180">
        <f>ROUND(K21*-H21,0)</f>
        <v>0</v>
      </c>
      <c r="P21" s="177">
        <f t="shared" si="7"/>
        <v>-670622</v>
      </c>
      <c r="Q21" s="171"/>
      <c r="R21" s="200">
        <f>C21+P21</f>
        <v>2.3000000044703484E-2</v>
      </c>
    </row>
    <row r="22" spans="1:18" x14ac:dyDescent="0.35">
      <c r="A22" s="171">
        <v>10</v>
      </c>
      <c r="B22" s="171" t="s">
        <v>16</v>
      </c>
      <c r="C22" s="178">
        <f t="shared" si="2"/>
        <v>0</v>
      </c>
      <c r="D22" s="123">
        <v>0</v>
      </c>
      <c r="E22" s="180">
        <f>ROUND(C22*-D22,0)-'Sch II 2023 Yr 1'!E22-'Sch II 2023 Yr 2'!E22</f>
        <v>0</v>
      </c>
      <c r="F22" s="180">
        <f>C22+E22+'Sch II 2023 Yr 1'!E22+'Sch II 2023 Yr 2'!E22</f>
        <v>0</v>
      </c>
      <c r="G22" s="178">
        <f t="shared" si="3"/>
        <v>0</v>
      </c>
      <c r="H22" s="177">
        <f t="shared" si="4"/>
        <v>0</v>
      </c>
      <c r="I22" s="171"/>
      <c r="J22" s="171">
        <v>7</v>
      </c>
      <c r="K22" s="199">
        <f>IFERROR(VLOOKUP(J22,'[1]Tax Rates'!$A$1:$AA$12,$K$18+1,FALSE),0)</f>
        <v>0.17491999999999999</v>
      </c>
      <c r="L22" s="177">
        <f>+'Sch II 2023 Yr 2'!P22</f>
        <v>0</v>
      </c>
      <c r="M22" s="200">
        <f t="shared" si="5"/>
        <v>0</v>
      </c>
      <c r="N22" s="200">
        <f t="shared" si="6"/>
        <v>0</v>
      </c>
      <c r="O22" s="180">
        <f>ROUND(K22*-H22,0)</f>
        <v>0</v>
      </c>
      <c r="P22" s="177">
        <f t="shared" si="7"/>
        <v>0</v>
      </c>
      <c r="Q22" s="171"/>
      <c r="R22" s="200">
        <f>C22+P22</f>
        <v>0</v>
      </c>
    </row>
    <row r="23" spans="1:18" x14ac:dyDescent="0.35">
      <c r="A23" s="171">
        <v>11</v>
      </c>
      <c r="B23" s="171" t="s">
        <v>15</v>
      </c>
      <c r="C23" s="178">
        <f t="shared" si="2"/>
        <v>0</v>
      </c>
      <c r="D23" s="123">
        <v>0</v>
      </c>
      <c r="E23" s="180">
        <f>ROUND(C23*-D23,0)-'Sch II 2023 Yr 1'!E23-'Sch II 2023 Yr 2'!E23</f>
        <v>0</v>
      </c>
      <c r="F23" s="180">
        <f>C23+E23+'Sch II 2023 Yr 1'!E23+'Sch II 2023 Yr 2'!E23</f>
        <v>0</v>
      </c>
      <c r="G23" s="178">
        <f t="shared" si="3"/>
        <v>0</v>
      </c>
      <c r="H23" s="177">
        <f t="shared" si="4"/>
        <v>0</v>
      </c>
      <c r="I23" s="171"/>
      <c r="J23" s="171">
        <v>15</v>
      </c>
      <c r="K23" s="199">
        <f>IFERROR(VLOOKUP(J23,'[1]Tax Rates'!$A$1:$AA$12,$K$18+1,FALSE),0)</f>
        <v>8.5500000000000007E-2</v>
      </c>
      <c r="L23" s="177">
        <f>+'Sch II 2023 Yr 2'!P23</f>
        <v>0</v>
      </c>
      <c r="M23" s="200">
        <f t="shared" si="5"/>
        <v>0</v>
      </c>
      <c r="N23" s="200">
        <f t="shared" si="6"/>
        <v>0</v>
      </c>
      <c r="O23" s="180">
        <f>ROUND(K23*-H23,0)</f>
        <v>0</v>
      </c>
      <c r="P23" s="177">
        <f t="shared" si="7"/>
        <v>0</v>
      </c>
      <c r="Q23" s="171"/>
      <c r="R23" s="200">
        <f>C23+P23</f>
        <v>0</v>
      </c>
    </row>
    <row r="24" spans="1:18" x14ac:dyDescent="0.35">
      <c r="A24" s="171">
        <v>12</v>
      </c>
      <c r="B24" s="171" t="s">
        <v>54</v>
      </c>
      <c r="C24" s="201">
        <f t="shared" si="2"/>
        <v>162314</v>
      </c>
      <c r="D24" s="221">
        <v>1</v>
      </c>
      <c r="E24" s="201">
        <f>ROUND(C24*-D24,0)-'Sch II 2023 Yr 1'!E24-'Sch II 2023 Yr 2'!E24</f>
        <v>0</v>
      </c>
      <c r="F24" s="180">
        <f>C24+E24+'Sch II 2023 Yr 1'!E24+'Sch II 2023 Yr 2'!E24</f>
        <v>0</v>
      </c>
      <c r="G24" s="201">
        <f t="shared" si="3"/>
        <v>0</v>
      </c>
      <c r="H24" s="179">
        <f t="shared" si="4"/>
        <v>0</v>
      </c>
      <c r="I24" s="171"/>
      <c r="J24" s="202" t="s">
        <v>55</v>
      </c>
      <c r="K24" s="203" t="s">
        <v>55</v>
      </c>
      <c r="L24" s="179">
        <f>+'Sch II 2023 Yr 2'!P24</f>
        <v>-162314</v>
      </c>
      <c r="M24" s="204">
        <f t="shared" si="5"/>
        <v>0</v>
      </c>
      <c r="N24" s="205">
        <f t="shared" si="6"/>
        <v>0</v>
      </c>
      <c r="O24" s="201">
        <v>0</v>
      </c>
      <c r="P24" s="179">
        <f t="shared" si="7"/>
        <v>-162314</v>
      </c>
      <c r="Q24" s="171"/>
      <c r="R24" s="206" t="s">
        <v>55</v>
      </c>
    </row>
    <row r="25" spans="1:18" x14ac:dyDescent="0.35">
      <c r="A25" s="171"/>
      <c r="B25" s="171"/>
      <c r="C25" s="180">
        <f>SUM(C18:C24)</f>
        <v>6691501.563000001</v>
      </c>
      <c r="D25" s="171"/>
      <c r="E25" s="180">
        <f>SUM(E19:E24)</f>
        <v>0</v>
      </c>
      <c r="F25" s="180">
        <f>SUM(F19:F24)</f>
        <v>-0.43699999892851338</v>
      </c>
      <c r="G25" s="180">
        <f>SUM(G19:G24)</f>
        <v>0</v>
      </c>
      <c r="H25" s="177">
        <f>SUM(H19:H24)</f>
        <v>-0.43699999892851338</v>
      </c>
      <c r="I25" s="171"/>
      <c r="J25" s="171"/>
      <c r="K25" s="171"/>
      <c r="L25" s="177">
        <f>SUM(L19:L24)</f>
        <v>-6691502</v>
      </c>
      <c r="M25" s="180">
        <f>SUM(M19:M24)</f>
        <v>0</v>
      </c>
      <c r="N25" s="180">
        <f>SUM(N19:N24)</f>
        <v>0</v>
      </c>
      <c r="O25" s="180">
        <f>SUM(O19:O24)</f>
        <v>0</v>
      </c>
      <c r="P25" s="177">
        <f>SUM(P19:P24)</f>
        <v>-6691502</v>
      </c>
      <c r="Q25" s="171"/>
      <c r="R25" s="200">
        <f>SUM(R19:R24)</f>
        <v>-0.43699999892851338</v>
      </c>
    </row>
    <row r="26" spans="1:18" x14ac:dyDescent="0.35">
      <c r="A26" s="171"/>
      <c r="B26" s="171"/>
      <c r="C26" s="180"/>
      <c r="D26" s="171"/>
      <c r="E26" s="180"/>
      <c r="F26" s="180"/>
      <c r="G26" s="180"/>
      <c r="H26" s="177"/>
      <c r="I26" s="171"/>
      <c r="J26" s="177"/>
      <c r="K26" s="180"/>
      <c r="L26" s="180"/>
      <c r="M26" s="180"/>
      <c r="N26" s="177"/>
      <c r="O26" s="171"/>
      <c r="P26" s="171"/>
      <c r="Q26" s="171"/>
      <c r="R26" s="171"/>
    </row>
    <row r="27" spans="1:18" x14ac:dyDescent="0.3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</row>
    <row r="28" spans="1:18" x14ac:dyDescent="0.35">
      <c r="A28" s="171"/>
      <c r="B28" s="171"/>
      <c r="C28" s="171"/>
      <c r="D28" s="171"/>
      <c r="E28" s="180"/>
      <c r="F28" s="196" t="s">
        <v>46</v>
      </c>
      <c r="G28" s="196"/>
      <c r="H28" s="136"/>
      <c r="I28" s="171"/>
      <c r="J28" s="171"/>
      <c r="K28" s="171"/>
      <c r="L28" s="171"/>
      <c r="M28" s="171"/>
      <c r="N28" s="171"/>
      <c r="O28" s="171"/>
      <c r="P28" s="171"/>
      <c r="Q28" s="171"/>
      <c r="R28" s="171"/>
    </row>
    <row r="29" spans="1:18" x14ac:dyDescent="0.35">
      <c r="A29" s="171"/>
      <c r="B29" s="171"/>
      <c r="C29" s="171"/>
      <c r="D29" s="277" t="s">
        <v>35</v>
      </c>
      <c r="E29" s="277"/>
      <c r="F29" s="196" t="s">
        <v>37</v>
      </c>
      <c r="G29" s="196" t="s">
        <v>52</v>
      </c>
      <c r="H29" s="196" t="s">
        <v>36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x14ac:dyDescent="0.35">
      <c r="A30" s="171"/>
      <c r="B30" s="171"/>
      <c r="C30" s="171"/>
      <c r="D30" s="198" t="s">
        <v>31</v>
      </c>
      <c r="E30" s="198" t="s">
        <v>12</v>
      </c>
      <c r="F30" s="198" t="s">
        <v>38</v>
      </c>
      <c r="G30" s="198" t="s">
        <v>11</v>
      </c>
      <c r="H30" s="198" t="s">
        <v>3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x14ac:dyDescent="0.35">
      <c r="A31" s="171">
        <v>13</v>
      </c>
      <c r="B31" s="171" t="s">
        <v>45</v>
      </c>
      <c r="C31" s="171"/>
      <c r="D31" s="200">
        <f t="shared" ref="D31:D36" si="8">J6</f>
        <v>5038149.830000001</v>
      </c>
      <c r="E31" s="200">
        <f t="shared" ref="E31:E36" si="9">R19</f>
        <v>-0.16999999899417162</v>
      </c>
      <c r="F31" s="200">
        <f>E31-D31</f>
        <v>-5038150</v>
      </c>
      <c r="G31" s="136">
        <v>0.2495</v>
      </c>
      <c r="H31" s="200">
        <f>ROUND(F31*G31,0)</f>
        <v>-1257018</v>
      </c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1:18" x14ac:dyDescent="0.35">
      <c r="A32" s="171">
        <v>14</v>
      </c>
      <c r="B32" s="171" t="s">
        <v>0</v>
      </c>
      <c r="C32" s="171"/>
      <c r="D32" s="200">
        <f t="shared" si="8"/>
        <v>379173.71</v>
      </c>
      <c r="E32" s="200">
        <f t="shared" si="9"/>
        <v>-0.28999999997904524</v>
      </c>
      <c r="F32" s="200">
        <f>E32-D32</f>
        <v>-379174</v>
      </c>
      <c r="G32" s="136">
        <f>G31</f>
        <v>0.2495</v>
      </c>
      <c r="H32" s="200">
        <f t="shared" ref="H32:H36" si="10">ROUND(F32*G32,0)</f>
        <v>-94604</v>
      </c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 x14ac:dyDescent="0.35">
      <c r="A33" s="171">
        <v>15</v>
      </c>
      <c r="B33" s="171" t="s">
        <v>1</v>
      </c>
      <c r="C33" s="171"/>
      <c r="D33" s="200">
        <f t="shared" si="8"/>
        <v>620212.02300000004</v>
      </c>
      <c r="E33" s="200">
        <f t="shared" si="9"/>
        <v>2.3000000044703484E-2</v>
      </c>
      <c r="F33" s="200">
        <f>E33-D33</f>
        <v>-620212</v>
      </c>
      <c r="G33" s="136">
        <f>G31</f>
        <v>0.2495</v>
      </c>
      <c r="H33" s="200">
        <f t="shared" si="10"/>
        <v>-154743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</row>
    <row r="34" spans="1:18" x14ac:dyDescent="0.35">
      <c r="A34" s="171">
        <v>16</v>
      </c>
      <c r="B34" s="171" t="s">
        <v>16</v>
      </c>
      <c r="C34" s="171"/>
      <c r="D34" s="200">
        <f t="shared" si="8"/>
        <v>0</v>
      </c>
      <c r="E34" s="200">
        <f t="shared" si="9"/>
        <v>0</v>
      </c>
      <c r="F34" s="200">
        <f>E34-D34</f>
        <v>0</v>
      </c>
      <c r="G34" s="136">
        <f>G31</f>
        <v>0.2495</v>
      </c>
      <c r="H34" s="200">
        <f t="shared" si="10"/>
        <v>0</v>
      </c>
      <c r="I34" s="171"/>
      <c r="J34" s="171"/>
      <c r="K34" s="171"/>
      <c r="L34" s="171"/>
      <c r="M34" s="171"/>
      <c r="N34" s="171"/>
      <c r="O34" s="171"/>
      <c r="P34" s="171"/>
      <c r="Q34" s="171"/>
      <c r="R34" s="171"/>
    </row>
    <row r="35" spans="1:18" x14ac:dyDescent="0.35">
      <c r="A35" s="171">
        <v>17</v>
      </c>
      <c r="B35" s="171" t="s">
        <v>15</v>
      </c>
      <c r="C35" s="171"/>
      <c r="D35" s="200">
        <f t="shared" si="8"/>
        <v>0</v>
      </c>
      <c r="E35" s="200">
        <f t="shared" si="9"/>
        <v>0</v>
      </c>
      <c r="F35" s="200">
        <f>E35-D35</f>
        <v>0</v>
      </c>
      <c r="G35" s="136">
        <f>G31</f>
        <v>0.2495</v>
      </c>
      <c r="H35" s="200">
        <f t="shared" si="10"/>
        <v>0</v>
      </c>
      <c r="I35" s="171"/>
      <c r="J35" s="171"/>
      <c r="K35" s="171"/>
      <c r="L35" s="171"/>
      <c r="M35" s="171"/>
      <c r="N35" s="171"/>
      <c r="O35" s="171"/>
      <c r="P35" s="171"/>
      <c r="Q35" s="171"/>
      <c r="R35" s="171"/>
    </row>
    <row r="36" spans="1:18" x14ac:dyDescent="0.35">
      <c r="A36" s="171">
        <v>18</v>
      </c>
      <c r="B36" s="171" t="s">
        <v>54</v>
      </c>
      <c r="C36" s="171"/>
      <c r="D36" s="204">
        <f t="shared" si="8"/>
        <v>154028</v>
      </c>
      <c r="E36" s="206" t="str">
        <f t="shared" si="9"/>
        <v>NA</v>
      </c>
      <c r="F36" s="204">
        <f>-D36</f>
        <v>-154028</v>
      </c>
      <c r="G36" s="207">
        <f>G31</f>
        <v>0.2495</v>
      </c>
      <c r="H36" s="204">
        <f t="shared" si="10"/>
        <v>-38430</v>
      </c>
      <c r="I36" s="171"/>
      <c r="J36" s="171"/>
      <c r="K36" s="171"/>
      <c r="L36" s="171"/>
      <c r="M36" s="171"/>
      <c r="N36" s="171"/>
      <c r="O36" s="171"/>
      <c r="P36" s="171"/>
      <c r="Q36" s="171"/>
      <c r="R36" s="171"/>
    </row>
    <row r="37" spans="1:18" x14ac:dyDescent="0.35">
      <c r="A37" s="171"/>
      <c r="B37" s="171"/>
      <c r="C37" s="171"/>
      <c r="D37" s="200">
        <f>SUM(D31:D36)</f>
        <v>6191563.563000001</v>
      </c>
      <c r="E37" s="200">
        <f>SUM(E31:E36)</f>
        <v>-0.43699999892851338</v>
      </c>
      <c r="F37" s="200">
        <f>SUM(F31:F36)</f>
        <v>-6191564</v>
      </c>
      <c r="G37" s="171"/>
      <c r="H37" s="200">
        <f>SUM(H31:H36)</f>
        <v>-1544795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9" spans="1:18" x14ac:dyDescent="0.35">
      <c r="B39" s="193"/>
      <c r="D39" s="193"/>
    </row>
    <row r="40" spans="1:18" x14ac:dyDescent="0.35">
      <c r="A40" s="181"/>
      <c r="B40" s="171"/>
      <c r="C40" s="171"/>
      <c r="D40" s="171"/>
    </row>
    <row r="41" spans="1:18" x14ac:dyDescent="0.35">
      <c r="A41" s="181"/>
      <c r="C41" s="171"/>
      <c r="D41" s="171"/>
    </row>
  </sheetData>
  <mergeCells count="3">
    <mergeCell ref="F2:H2"/>
    <mergeCell ref="L16:P16"/>
    <mergeCell ref="D29:E29"/>
  </mergeCells>
  <pageMargins left="0.7" right="0.7" top="0.75" bottom="0.75" header="0.3" footer="0.3"/>
  <pageSetup scale="6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17B3-C9D6-440E-827E-FB7F7FA78703}">
  <sheetPr>
    <tabColor theme="8" tint="0.39997558519241921"/>
  </sheetPr>
  <dimension ref="A1:R41"/>
  <sheetViews>
    <sheetView workbookViewId="0">
      <selection activeCell="J30" sqref="J30"/>
    </sheetView>
  </sheetViews>
  <sheetFormatPr defaultColWidth="9.1796875" defaultRowHeight="14.5" x14ac:dyDescent="0.35"/>
  <cols>
    <col min="1" max="1" width="3" style="94" customWidth="1"/>
    <col min="2" max="2" width="18.54296875" style="94" bestFit="1" customWidth="1"/>
    <col min="3" max="3" width="11.1796875" style="94" bestFit="1" customWidth="1"/>
    <col min="4" max="4" width="13.7265625" style="94" bestFit="1" customWidth="1"/>
    <col min="5" max="5" width="14" style="94" bestFit="1" customWidth="1"/>
    <col min="6" max="6" width="12.7265625" style="94" customWidth="1"/>
    <col min="7" max="7" width="12.54296875" style="94" bestFit="1" customWidth="1"/>
    <col min="8" max="8" width="13.26953125" style="94" bestFit="1" customWidth="1"/>
    <col min="9" max="9" width="2.7265625" style="94" customWidth="1"/>
    <col min="10" max="10" width="10.7265625" style="94" customWidth="1"/>
    <col min="11" max="11" width="8.1796875" style="94" bestFit="1" customWidth="1"/>
    <col min="12" max="14" width="11.26953125" style="94" bestFit="1" customWidth="1"/>
    <col min="15" max="15" width="9.1796875" style="94" bestFit="1"/>
    <col min="16" max="16" width="12.26953125" style="94" bestFit="1" customWidth="1"/>
    <col min="17" max="17" width="2.7265625" style="94" customWidth="1"/>
    <col min="18" max="18" width="15.26953125" style="94" bestFit="1" customWidth="1"/>
    <col min="19" max="16384" width="9.1796875" style="94"/>
  </cols>
  <sheetData>
    <row r="1" spans="1:18" x14ac:dyDescent="0.35">
      <c r="A1" s="132" t="s">
        <v>23</v>
      </c>
      <c r="B1" s="189"/>
      <c r="C1" s="132">
        <v>2023</v>
      </c>
      <c r="D1" s="226" t="s">
        <v>244</v>
      </c>
      <c r="R1" s="190" t="s">
        <v>211</v>
      </c>
    </row>
    <row r="2" spans="1:18" x14ac:dyDescent="0.35">
      <c r="A2" s="132" t="s">
        <v>44</v>
      </c>
      <c r="D2" s="191"/>
      <c r="F2" s="276" t="s">
        <v>32</v>
      </c>
      <c r="G2" s="276"/>
      <c r="H2" s="276"/>
      <c r="R2" s="190" t="s">
        <v>245</v>
      </c>
    </row>
    <row r="3" spans="1:18" x14ac:dyDescent="0.35">
      <c r="D3" s="191" t="s">
        <v>34</v>
      </c>
      <c r="G3" s="191"/>
      <c r="J3" s="191" t="s">
        <v>31</v>
      </c>
    </row>
    <row r="4" spans="1:18" x14ac:dyDescent="0.35">
      <c r="C4" s="191">
        <v>2023</v>
      </c>
      <c r="D4" s="191" t="s">
        <v>22</v>
      </c>
      <c r="F4" s="191"/>
      <c r="G4" s="191" t="s">
        <v>2</v>
      </c>
      <c r="H4" s="191"/>
      <c r="J4" s="191" t="s">
        <v>39</v>
      </c>
      <c r="O4" s="191" t="s">
        <v>59</v>
      </c>
      <c r="P4" s="191" t="s">
        <v>59</v>
      </c>
    </row>
    <row r="5" spans="1:18" x14ac:dyDescent="0.35">
      <c r="C5" s="192" t="s">
        <v>18</v>
      </c>
      <c r="D5" s="192">
        <v>4</v>
      </c>
      <c r="F5" s="192" t="s">
        <v>19</v>
      </c>
      <c r="G5" s="192" t="s">
        <v>14</v>
      </c>
      <c r="H5" s="192" t="s">
        <v>20</v>
      </c>
      <c r="J5" s="192" t="s">
        <v>40</v>
      </c>
      <c r="O5" s="192" t="s">
        <v>11</v>
      </c>
      <c r="P5" s="192" t="s">
        <v>13</v>
      </c>
    </row>
    <row r="6" spans="1:18" x14ac:dyDescent="0.35">
      <c r="A6" s="94">
        <v>1</v>
      </c>
      <c r="B6" s="94" t="s">
        <v>45</v>
      </c>
      <c r="C6" s="134">
        <f>+'Schedule IV 2023 Monthly'!P19</f>
        <v>5447273.830000001</v>
      </c>
      <c r="D6" s="225">
        <v>2.98E-2</v>
      </c>
      <c r="F6" s="134">
        <f>+'Sch II 2023 Yr 3'!H6</f>
        <v>-409124</v>
      </c>
      <c r="G6" s="134">
        <f>ROUND(IF(D$5=1,-D6*C6,-D6*C6),0)</f>
        <v>-162329</v>
      </c>
      <c r="H6" s="134">
        <f t="shared" ref="H6:H11" si="0">SUM(F6:G6)</f>
        <v>-571453</v>
      </c>
      <c r="J6" s="193">
        <f t="shared" ref="J6:J11" si="1">C6+H6</f>
        <v>4875820.830000001</v>
      </c>
      <c r="O6" s="173">
        <v>1E-4</v>
      </c>
      <c r="P6" s="194">
        <f>ROUND(IF(D$5=1,-O6*C6,-O6*C6),0)</f>
        <v>-545</v>
      </c>
    </row>
    <row r="7" spans="1:18" x14ac:dyDescent="0.35">
      <c r="A7" s="94">
        <v>2</v>
      </c>
      <c r="B7" s="94" t="s">
        <v>0</v>
      </c>
      <c r="C7" s="134">
        <f>+'Schedule IV 2023 Monthly'!P22</f>
        <v>411291.71</v>
      </c>
      <c r="D7" s="225">
        <v>3.3500000000000002E-2</v>
      </c>
      <c r="F7" s="134">
        <f>+'Sch II 2023 Yr 3'!H7</f>
        <v>-32118</v>
      </c>
      <c r="G7" s="134">
        <f>ROUND(IF(D$5=1,-D7*C7,-D7*C7),0)</f>
        <v>-13778</v>
      </c>
      <c r="H7" s="134">
        <f t="shared" si="0"/>
        <v>-45896</v>
      </c>
      <c r="J7" s="193">
        <f t="shared" si="1"/>
        <v>365395.71</v>
      </c>
      <c r="O7" s="173">
        <v>2.0000000000000001E-4</v>
      </c>
      <c r="P7" s="193">
        <f>ROUND(IF(D$5=1,-O7*C7,-O7*C7),0)</f>
        <v>-82</v>
      </c>
    </row>
    <row r="8" spans="1:18" x14ac:dyDescent="0.35">
      <c r="A8" s="94">
        <v>3</v>
      </c>
      <c r="B8" s="94" t="s">
        <v>1</v>
      </c>
      <c r="C8" s="134">
        <f>+'Schedule IV 2023 Monthly'!P25</f>
        <v>670622.02300000004</v>
      </c>
      <c r="D8" s="225">
        <v>3.3399999999999999E-2</v>
      </c>
      <c r="F8" s="134">
        <f>+'Sch II 2023 Yr 3'!H8</f>
        <v>-50410</v>
      </c>
      <c r="G8" s="134">
        <f>ROUND(IF(D$5=1,-D8*C8,-D8*C8),0)</f>
        <v>-22399</v>
      </c>
      <c r="H8" s="134">
        <f t="shared" si="0"/>
        <v>-72809</v>
      </c>
      <c r="J8" s="193">
        <f t="shared" si="1"/>
        <v>597813.02300000004</v>
      </c>
      <c r="O8" s="173">
        <v>4.1999999999999997E-3</v>
      </c>
      <c r="P8" s="193">
        <f>ROUND(IF(D$5=1,-O8*C8,-O8*C8),0)</f>
        <v>-2817</v>
      </c>
    </row>
    <row r="9" spans="1:18" x14ac:dyDescent="0.35">
      <c r="A9" s="94">
        <v>4</v>
      </c>
      <c r="B9" s="94" t="s">
        <v>16</v>
      </c>
      <c r="C9" s="134"/>
      <c r="D9" s="161">
        <v>2.2499999999999999E-2</v>
      </c>
      <c r="F9" s="134">
        <f>+'Sch II 2023 Yr 1'!H9</f>
        <v>0</v>
      </c>
      <c r="G9" s="134">
        <f>ROUND(IF(D$5=1,-0.5*D9*C9,-D9*C9),0)</f>
        <v>0</v>
      </c>
      <c r="H9" s="134">
        <f t="shared" si="0"/>
        <v>0</v>
      </c>
      <c r="J9" s="193">
        <f t="shared" si="1"/>
        <v>0</v>
      </c>
      <c r="O9" s="173">
        <v>0</v>
      </c>
      <c r="P9" s="193">
        <f>IF(D$5=1,-0.5*O9*C9,-O9*C9)</f>
        <v>0</v>
      </c>
    </row>
    <row r="10" spans="1:18" x14ac:dyDescent="0.35">
      <c r="A10" s="94">
        <v>5</v>
      </c>
      <c r="B10" s="94" t="s">
        <v>15</v>
      </c>
      <c r="C10" s="134"/>
      <c r="D10" s="161">
        <v>2.0500000000000001E-2</v>
      </c>
      <c r="F10" s="134">
        <f>+'Sch II 2023 Yr 1'!H10</f>
        <v>0</v>
      </c>
      <c r="G10" s="134">
        <f>ROUND(IF(D$5=1,-0.5*D10*C10,-D10*C10),0)</f>
        <v>0</v>
      </c>
      <c r="H10" s="134">
        <f t="shared" si="0"/>
        <v>0</v>
      </c>
      <c r="J10" s="193">
        <f t="shared" si="1"/>
        <v>0</v>
      </c>
      <c r="O10" s="173">
        <v>0</v>
      </c>
      <c r="P10" s="193">
        <f>IF(D$5=1,-0.5*O10*C10,-O10*C10)</f>
        <v>0</v>
      </c>
    </row>
    <row r="11" spans="1:18" x14ac:dyDescent="0.35">
      <c r="A11" s="94">
        <v>6</v>
      </c>
      <c r="B11" s="94" t="s">
        <v>54</v>
      </c>
      <c r="C11" s="175">
        <f>+'Schedule IV 2023 Monthly'!P6</f>
        <v>162314</v>
      </c>
      <c r="D11" s="174" t="s">
        <v>53</v>
      </c>
      <c r="F11" s="175">
        <f>+'Sch II 2023 Yr 3'!H11</f>
        <v>-8286</v>
      </c>
      <c r="G11" s="175">
        <f>P12</f>
        <v>-3444</v>
      </c>
      <c r="H11" s="175">
        <f t="shared" si="0"/>
        <v>-11730</v>
      </c>
      <c r="J11" s="195">
        <f t="shared" si="1"/>
        <v>150584</v>
      </c>
      <c r="O11" s="176">
        <v>0</v>
      </c>
      <c r="P11" s="195">
        <f>IF(D$5=1,-0.5*O11*C11,-O11*C11)</f>
        <v>0</v>
      </c>
    </row>
    <row r="12" spans="1:18" x14ac:dyDescent="0.35">
      <c r="C12" s="134">
        <f>SUM(C6:C11)</f>
        <v>6691501.563000001</v>
      </c>
      <c r="D12" s="134"/>
      <c r="F12" s="134">
        <f>SUM(F5:F11)</f>
        <v>-499938</v>
      </c>
      <c r="G12" s="134">
        <f>SUM(G5:G11)</f>
        <v>-201950</v>
      </c>
      <c r="H12" s="134">
        <f>SUM(H5:H11)</f>
        <v>-701888</v>
      </c>
      <c r="J12" s="193">
        <f>SUM(J6:J11)</f>
        <v>5989613.563000001</v>
      </c>
      <c r="O12" s="193"/>
      <c r="P12" s="194">
        <f>SUM(P5:P11)</f>
        <v>-3444</v>
      </c>
    </row>
    <row r="13" spans="1:18" x14ac:dyDescent="0.35">
      <c r="C13" s="134"/>
      <c r="D13" s="134"/>
      <c r="E13" s="134"/>
      <c r="F13" s="134"/>
      <c r="M13" s="191"/>
    </row>
    <row r="14" spans="1:18" x14ac:dyDescent="0.35">
      <c r="M14" s="191"/>
    </row>
    <row r="15" spans="1:18" x14ac:dyDescent="0.35">
      <c r="D15" s="191"/>
    </row>
    <row r="16" spans="1:18" x14ac:dyDescent="0.35">
      <c r="A16" s="171"/>
      <c r="B16" s="171"/>
      <c r="C16" s="171"/>
      <c r="D16" s="196" t="s">
        <v>26</v>
      </c>
      <c r="E16" s="171"/>
      <c r="F16" s="171"/>
      <c r="G16" s="197">
        <v>0</v>
      </c>
      <c r="H16" s="171"/>
      <c r="I16" s="171"/>
      <c r="J16" s="137"/>
      <c r="K16" s="196" t="s">
        <v>21</v>
      </c>
      <c r="L16" s="277" t="s">
        <v>33</v>
      </c>
      <c r="M16" s="277"/>
      <c r="N16" s="277"/>
      <c r="O16" s="277"/>
      <c r="P16" s="277"/>
      <c r="Q16" s="171"/>
      <c r="R16" s="196" t="s">
        <v>12</v>
      </c>
    </row>
    <row r="17" spans="1:18" x14ac:dyDescent="0.35">
      <c r="A17" s="171"/>
      <c r="B17" s="171"/>
      <c r="C17" s="196" t="s">
        <v>31</v>
      </c>
      <c r="D17" s="196" t="s">
        <v>14</v>
      </c>
      <c r="E17" s="196" t="s">
        <v>12</v>
      </c>
      <c r="F17" s="196" t="s">
        <v>12</v>
      </c>
      <c r="G17" s="196" t="s">
        <v>25</v>
      </c>
      <c r="H17" s="196" t="s">
        <v>29</v>
      </c>
      <c r="I17" s="171"/>
      <c r="J17" s="196"/>
      <c r="K17" s="196" t="s">
        <v>24</v>
      </c>
      <c r="L17" s="196"/>
      <c r="M17" s="196" t="s">
        <v>12</v>
      </c>
      <c r="N17" s="196" t="s">
        <v>25</v>
      </c>
      <c r="O17" s="196" t="s">
        <v>21</v>
      </c>
      <c r="P17" s="196"/>
      <c r="Q17" s="171"/>
      <c r="R17" s="196" t="s">
        <v>39</v>
      </c>
    </row>
    <row r="18" spans="1:18" x14ac:dyDescent="0.35">
      <c r="A18" s="171"/>
      <c r="B18" s="171"/>
      <c r="C18" s="198" t="s">
        <v>18</v>
      </c>
      <c r="D18" s="198" t="s">
        <v>27</v>
      </c>
      <c r="E18" s="198" t="s">
        <v>14</v>
      </c>
      <c r="F18" s="198" t="s">
        <v>28</v>
      </c>
      <c r="G18" s="198" t="s">
        <v>2</v>
      </c>
      <c r="H18" s="198" t="s">
        <v>30</v>
      </c>
      <c r="I18" s="171"/>
      <c r="J18" s="198" t="s">
        <v>17</v>
      </c>
      <c r="K18" s="198">
        <f>D5</f>
        <v>4</v>
      </c>
      <c r="L18" s="198" t="s">
        <v>19</v>
      </c>
      <c r="M18" s="198" t="s">
        <v>14</v>
      </c>
      <c r="N18" s="198" t="s">
        <v>13</v>
      </c>
      <c r="O18" s="198" t="s">
        <v>13</v>
      </c>
      <c r="P18" s="198" t="s">
        <v>20</v>
      </c>
      <c r="Q18" s="171"/>
      <c r="R18" s="198" t="s">
        <v>40</v>
      </c>
    </row>
    <row r="19" spans="1:18" x14ac:dyDescent="0.35">
      <c r="A19" s="171">
        <v>7</v>
      </c>
      <c r="B19" s="171" t="s">
        <v>45</v>
      </c>
      <c r="C19" s="180">
        <f t="shared" ref="C19:C24" si="2">C6</f>
        <v>5447273.830000001</v>
      </c>
      <c r="D19" s="123">
        <v>1</v>
      </c>
      <c r="E19" s="180">
        <f>ROUND(C19*-D19,0)-'Sch II 2023 Yr 1'!E19-'Sch II 2023 Yr 2'!E19</f>
        <v>0</v>
      </c>
      <c r="F19" s="180">
        <f>C19+E19+'Sch II 2023 Yr 1'!E19+'Sch II 2023 Yr 2'!E19</f>
        <v>-0.16999999899417162</v>
      </c>
      <c r="G19" s="180">
        <f t="shared" ref="G19:G24" si="3">ROUND(F19*-$G$16,0)</f>
        <v>0</v>
      </c>
      <c r="H19" s="177">
        <f t="shared" ref="H19:H24" si="4">F19+G19</f>
        <v>-0.16999999899417162</v>
      </c>
      <c r="I19" s="171"/>
      <c r="J19" s="171">
        <v>20</v>
      </c>
      <c r="K19" s="199">
        <f>IFERROR(VLOOKUP(J19,'[1]Tax Rates'!$A$1:$AA$12,$K$18+1,FALSE),0)</f>
        <v>6.1769999999999999E-2</v>
      </c>
      <c r="L19" s="177">
        <f>+'Sch II 2023 Yr 2'!P19</f>
        <v>-5447274</v>
      </c>
      <c r="M19" s="200">
        <f t="shared" ref="M19:M24" si="5">E19</f>
        <v>0</v>
      </c>
      <c r="N19" s="200">
        <f t="shared" ref="N19:N24" si="6">G19</f>
        <v>0</v>
      </c>
      <c r="O19" s="180">
        <f>ROUND(K19*-H19,0)</f>
        <v>0</v>
      </c>
      <c r="P19" s="177">
        <f t="shared" ref="P19:P24" si="7">SUM(L19:O19)</f>
        <v>-5447274</v>
      </c>
      <c r="Q19" s="171"/>
      <c r="R19" s="200">
        <f>C19+P19</f>
        <v>-0.16999999899417162</v>
      </c>
    </row>
    <row r="20" spans="1:18" x14ac:dyDescent="0.35">
      <c r="A20" s="171">
        <v>8</v>
      </c>
      <c r="B20" s="171" t="s">
        <v>0</v>
      </c>
      <c r="C20" s="178">
        <f t="shared" si="2"/>
        <v>411291.71</v>
      </c>
      <c r="D20" s="123">
        <v>1</v>
      </c>
      <c r="E20" s="180">
        <f>ROUND(C20*-D20,0)-'Sch II 2023 Yr 1'!E20-'Sch II 2023 Yr 2'!E20</f>
        <v>0</v>
      </c>
      <c r="F20" s="180">
        <f>C20+E20+'Sch II 2023 Yr 1'!E20+'Sch II 2023 Yr 2'!E20</f>
        <v>-0.28999999997904524</v>
      </c>
      <c r="G20" s="180">
        <f t="shared" si="3"/>
        <v>0</v>
      </c>
      <c r="H20" s="177">
        <f t="shared" si="4"/>
        <v>-0.28999999997904524</v>
      </c>
      <c r="I20" s="171"/>
      <c r="J20" s="171">
        <v>15</v>
      </c>
      <c r="K20" s="199">
        <f>IFERROR(VLOOKUP(J20,'[1]Tax Rates'!$A$1:$AA$12,$K$18+1,FALSE),0)</f>
        <v>7.6950000000000005E-2</v>
      </c>
      <c r="L20" s="177">
        <f>+'Sch II 2023 Yr 2'!P20</f>
        <v>-411292</v>
      </c>
      <c r="M20" s="200">
        <f t="shared" si="5"/>
        <v>0</v>
      </c>
      <c r="N20" s="200">
        <f t="shared" si="6"/>
        <v>0</v>
      </c>
      <c r="O20" s="180">
        <f>ROUND(K20*-H20,0)</f>
        <v>0</v>
      </c>
      <c r="P20" s="177">
        <f t="shared" si="7"/>
        <v>-411292</v>
      </c>
      <c r="Q20" s="171"/>
      <c r="R20" s="200">
        <f>C20+P20</f>
        <v>-0.28999999997904524</v>
      </c>
    </row>
    <row r="21" spans="1:18" x14ac:dyDescent="0.35">
      <c r="A21" s="171">
        <v>9</v>
      </c>
      <c r="B21" s="171" t="s">
        <v>1</v>
      </c>
      <c r="C21" s="178">
        <f t="shared" si="2"/>
        <v>670622.02300000004</v>
      </c>
      <c r="D21" s="123">
        <v>1</v>
      </c>
      <c r="E21" s="180">
        <f>ROUND(C21*-D21,0)-'Sch II 2023 Yr 1'!E21-'Sch II 2023 Yr 2'!E21</f>
        <v>0</v>
      </c>
      <c r="F21" s="180">
        <f>C21+E21+'Sch II 2023 Yr 1'!E21+'Sch II 2023 Yr 2'!E21</f>
        <v>2.3000000044703484E-2</v>
      </c>
      <c r="G21" s="178">
        <f t="shared" si="3"/>
        <v>0</v>
      </c>
      <c r="H21" s="177">
        <f t="shared" si="4"/>
        <v>2.3000000044703484E-2</v>
      </c>
      <c r="I21" s="171"/>
      <c r="J21" s="171">
        <v>20</v>
      </c>
      <c r="K21" s="199">
        <f>IFERROR(VLOOKUP(J21,'[1]Tax Rates'!$A$1:$AA$12,$K$18+1,FALSE),0)</f>
        <v>6.1769999999999999E-2</v>
      </c>
      <c r="L21" s="177">
        <f>+'Sch II 2023 Yr 2'!P21</f>
        <v>-670622</v>
      </c>
      <c r="M21" s="200">
        <f t="shared" si="5"/>
        <v>0</v>
      </c>
      <c r="N21" s="200">
        <f t="shared" si="6"/>
        <v>0</v>
      </c>
      <c r="O21" s="180">
        <f>ROUND(K21*-H21,0)</f>
        <v>0</v>
      </c>
      <c r="P21" s="177">
        <f t="shared" si="7"/>
        <v>-670622</v>
      </c>
      <c r="Q21" s="171"/>
      <c r="R21" s="200">
        <f>C21+P21</f>
        <v>2.3000000044703484E-2</v>
      </c>
    </row>
    <row r="22" spans="1:18" x14ac:dyDescent="0.35">
      <c r="A22" s="171">
        <v>10</v>
      </c>
      <c r="B22" s="171" t="s">
        <v>16</v>
      </c>
      <c r="C22" s="178">
        <f t="shared" si="2"/>
        <v>0</v>
      </c>
      <c r="D22" s="123">
        <v>0</v>
      </c>
      <c r="E22" s="180">
        <f>ROUND(C22*-D22,0)-'Sch II 2023 Yr 1'!E22-'Sch II 2023 Yr 2'!E22</f>
        <v>0</v>
      </c>
      <c r="F22" s="180">
        <f>C22+E22+'Sch II 2023 Yr 1'!E22+'Sch II 2023 Yr 2'!E22</f>
        <v>0</v>
      </c>
      <c r="G22" s="178">
        <f t="shared" si="3"/>
        <v>0</v>
      </c>
      <c r="H22" s="177">
        <f t="shared" si="4"/>
        <v>0</v>
      </c>
      <c r="I22" s="171"/>
      <c r="J22" s="171">
        <v>7</v>
      </c>
      <c r="K22" s="199">
        <f>IFERROR(VLOOKUP(J22,'[1]Tax Rates'!$A$1:$AA$12,$K$18+1,FALSE),0)</f>
        <v>0.12495000000000001</v>
      </c>
      <c r="L22" s="177">
        <f>+'Sch II 2023 Yr 2'!P22</f>
        <v>0</v>
      </c>
      <c r="M22" s="200">
        <f t="shared" si="5"/>
        <v>0</v>
      </c>
      <c r="N22" s="200">
        <f t="shared" si="6"/>
        <v>0</v>
      </c>
      <c r="O22" s="180">
        <f>ROUND(K22*-H22,0)</f>
        <v>0</v>
      </c>
      <c r="P22" s="177">
        <f t="shared" si="7"/>
        <v>0</v>
      </c>
      <c r="Q22" s="171"/>
      <c r="R22" s="200">
        <f>C22+P22</f>
        <v>0</v>
      </c>
    </row>
    <row r="23" spans="1:18" x14ac:dyDescent="0.35">
      <c r="A23" s="171">
        <v>11</v>
      </c>
      <c r="B23" s="171" t="s">
        <v>15</v>
      </c>
      <c r="C23" s="178">
        <f t="shared" si="2"/>
        <v>0</v>
      </c>
      <c r="D23" s="123">
        <v>0</v>
      </c>
      <c r="E23" s="180">
        <f>ROUND(C23*-D23,0)-'Sch II 2023 Yr 1'!E23-'Sch II 2023 Yr 2'!E23</f>
        <v>0</v>
      </c>
      <c r="F23" s="180">
        <f>C23+E23+'Sch II 2023 Yr 1'!E23+'Sch II 2023 Yr 2'!E23</f>
        <v>0</v>
      </c>
      <c r="G23" s="178">
        <f t="shared" si="3"/>
        <v>0</v>
      </c>
      <c r="H23" s="177">
        <f t="shared" si="4"/>
        <v>0</v>
      </c>
      <c r="I23" s="171"/>
      <c r="J23" s="171">
        <v>15</v>
      </c>
      <c r="K23" s="199">
        <f>IFERROR(VLOOKUP(J23,'[1]Tax Rates'!$A$1:$AA$12,$K$18+1,FALSE),0)</f>
        <v>7.6950000000000005E-2</v>
      </c>
      <c r="L23" s="177">
        <f>+'Sch II 2023 Yr 2'!P23</f>
        <v>0</v>
      </c>
      <c r="M23" s="200">
        <f t="shared" si="5"/>
        <v>0</v>
      </c>
      <c r="N23" s="200">
        <f t="shared" si="6"/>
        <v>0</v>
      </c>
      <c r="O23" s="180">
        <f>ROUND(K23*-H23,0)</f>
        <v>0</v>
      </c>
      <c r="P23" s="177">
        <f t="shared" si="7"/>
        <v>0</v>
      </c>
      <c r="Q23" s="171"/>
      <c r="R23" s="200">
        <f>C23+P23</f>
        <v>0</v>
      </c>
    </row>
    <row r="24" spans="1:18" x14ac:dyDescent="0.35">
      <c r="A24" s="171">
        <v>12</v>
      </c>
      <c r="B24" s="171" t="s">
        <v>54</v>
      </c>
      <c r="C24" s="201">
        <f t="shared" si="2"/>
        <v>162314</v>
      </c>
      <c r="D24" s="221">
        <v>1</v>
      </c>
      <c r="E24" s="201">
        <f>ROUND(C24*-D24,0)-'Sch II 2023 Yr 1'!E24-'Sch II 2023 Yr 2'!E24</f>
        <v>0</v>
      </c>
      <c r="F24" s="180">
        <f>C24+E24+'Sch II 2023 Yr 1'!E24+'Sch II 2023 Yr 2'!E24</f>
        <v>0</v>
      </c>
      <c r="G24" s="201">
        <f t="shared" si="3"/>
        <v>0</v>
      </c>
      <c r="H24" s="179">
        <f t="shared" si="4"/>
        <v>0</v>
      </c>
      <c r="I24" s="171"/>
      <c r="J24" s="202" t="s">
        <v>55</v>
      </c>
      <c r="K24" s="203" t="s">
        <v>55</v>
      </c>
      <c r="L24" s="179">
        <f>+'Sch II 2023 Yr 2'!P24</f>
        <v>-162314</v>
      </c>
      <c r="M24" s="204">
        <f t="shared" si="5"/>
        <v>0</v>
      </c>
      <c r="N24" s="205">
        <f t="shared" si="6"/>
        <v>0</v>
      </c>
      <c r="O24" s="201">
        <v>0</v>
      </c>
      <c r="P24" s="179">
        <f t="shared" si="7"/>
        <v>-162314</v>
      </c>
      <c r="Q24" s="171"/>
      <c r="R24" s="206" t="s">
        <v>55</v>
      </c>
    </row>
    <row r="25" spans="1:18" x14ac:dyDescent="0.35">
      <c r="A25" s="171"/>
      <c r="B25" s="171"/>
      <c r="C25" s="180">
        <f>SUM(C18:C24)</f>
        <v>6691501.563000001</v>
      </c>
      <c r="D25" s="171"/>
      <c r="E25" s="180">
        <f>SUM(E19:E24)</f>
        <v>0</v>
      </c>
      <c r="F25" s="180">
        <f>SUM(F19:F24)</f>
        <v>-0.43699999892851338</v>
      </c>
      <c r="G25" s="180">
        <f>SUM(G19:G24)</f>
        <v>0</v>
      </c>
      <c r="H25" s="177">
        <f>SUM(H19:H24)</f>
        <v>-0.43699999892851338</v>
      </c>
      <c r="I25" s="171"/>
      <c r="J25" s="171"/>
      <c r="K25" s="171"/>
      <c r="L25" s="177">
        <f>SUM(L19:L24)</f>
        <v>-6691502</v>
      </c>
      <c r="M25" s="180">
        <f>SUM(M19:M24)</f>
        <v>0</v>
      </c>
      <c r="N25" s="180">
        <f>SUM(N19:N24)</f>
        <v>0</v>
      </c>
      <c r="O25" s="180">
        <f>SUM(O19:O24)</f>
        <v>0</v>
      </c>
      <c r="P25" s="177">
        <f>SUM(P19:P24)</f>
        <v>-6691502</v>
      </c>
      <c r="Q25" s="171"/>
      <c r="R25" s="200">
        <f>SUM(R19:R24)</f>
        <v>-0.43699999892851338</v>
      </c>
    </row>
    <row r="26" spans="1:18" x14ac:dyDescent="0.35">
      <c r="A26" s="171"/>
      <c r="B26" s="171"/>
      <c r="C26" s="180"/>
      <c r="D26" s="171"/>
      <c r="E26" s="180"/>
      <c r="F26" s="180"/>
      <c r="G26" s="180"/>
      <c r="H26" s="177"/>
      <c r="I26" s="171"/>
      <c r="J26" s="177"/>
      <c r="K26" s="180"/>
      <c r="L26" s="180"/>
      <c r="M26" s="180"/>
      <c r="N26" s="177"/>
      <c r="O26" s="171"/>
      <c r="P26" s="171"/>
      <c r="Q26" s="171"/>
      <c r="R26" s="171"/>
    </row>
    <row r="27" spans="1:18" x14ac:dyDescent="0.3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</row>
    <row r="28" spans="1:18" x14ac:dyDescent="0.35">
      <c r="A28" s="171"/>
      <c r="B28" s="171"/>
      <c r="C28" s="171"/>
      <c r="D28" s="171"/>
      <c r="E28" s="180"/>
      <c r="F28" s="196" t="s">
        <v>46</v>
      </c>
      <c r="G28" s="196"/>
      <c r="H28" s="136"/>
      <c r="I28" s="171"/>
      <c r="J28" s="171"/>
      <c r="K28" s="171"/>
      <c r="L28" s="171"/>
      <c r="M28" s="171"/>
      <c r="N28" s="171"/>
      <c r="O28" s="171"/>
      <c r="P28" s="171"/>
      <c r="Q28" s="171"/>
      <c r="R28" s="171"/>
    </row>
    <row r="29" spans="1:18" x14ac:dyDescent="0.35">
      <c r="A29" s="171"/>
      <c r="B29" s="171"/>
      <c r="C29" s="171"/>
      <c r="D29" s="277" t="s">
        <v>35</v>
      </c>
      <c r="E29" s="277"/>
      <c r="F29" s="196" t="s">
        <v>37</v>
      </c>
      <c r="G29" s="196" t="s">
        <v>52</v>
      </c>
      <c r="H29" s="196" t="s">
        <v>36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x14ac:dyDescent="0.35">
      <c r="A30" s="171"/>
      <c r="B30" s="171"/>
      <c r="C30" s="171"/>
      <c r="D30" s="198" t="s">
        <v>31</v>
      </c>
      <c r="E30" s="198" t="s">
        <v>12</v>
      </c>
      <c r="F30" s="198" t="s">
        <v>38</v>
      </c>
      <c r="G30" s="198" t="s">
        <v>11</v>
      </c>
      <c r="H30" s="198" t="s">
        <v>3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x14ac:dyDescent="0.35">
      <c r="A31" s="171">
        <v>13</v>
      </c>
      <c r="B31" s="171" t="s">
        <v>45</v>
      </c>
      <c r="C31" s="171"/>
      <c r="D31" s="200">
        <f t="shared" ref="D31:D36" si="8">J6</f>
        <v>4875820.830000001</v>
      </c>
      <c r="E31" s="200">
        <f t="shared" ref="E31:E36" si="9">R19</f>
        <v>-0.16999999899417162</v>
      </c>
      <c r="F31" s="200">
        <f>E31-D31</f>
        <v>-4875821</v>
      </c>
      <c r="G31" s="136">
        <v>0.2495</v>
      </c>
      <c r="H31" s="200">
        <f>ROUND(F31*G31,0)</f>
        <v>-1216517</v>
      </c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1:18" x14ac:dyDescent="0.35">
      <c r="A32" s="171">
        <v>14</v>
      </c>
      <c r="B32" s="171" t="s">
        <v>0</v>
      </c>
      <c r="C32" s="171"/>
      <c r="D32" s="200">
        <f t="shared" si="8"/>
        <v>365395.71</v>
      </c>
      <c r="E32" s="200">
        <f t="shared" si="9"/>
        <v>-0.28999999997904524</v>
      </c>
      <c r="F32" s="200">
        <f>E32-D32</f>
        <v>-365396</v>
      </c>
      <c r="G32" s="136">
        <f>G31</f>
        <v>0.2495</v>
      </c>
      <c r="H32" s="200">
        <f t="shared" ref="H32:H36" si="10">ROUND(F32*G32,0)</f>
        <v>-91166</v>
      </c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 x14ac:dyDescent="0.35">
      <c r="A33" s="171">
        <v>15</v>
      </c>
      <c r="B33" s="171" t="s">
        <v>1</v>
      </c>
      <c r="C33" s="171"/>
      <c r="D33" s="200">
        <f t="shared" si="8"/>
        <v>597813.02300000004</v>
      </c>
      <c r="E33" s="200">
        <f t="shared" si="9"/>
        <v>2.3000000044703484E-2</v>
      </c>
      <c r="F33" s="200">
        <f>E33-D33</f>
        <v>-597813</v>
      </c>
      <c r="G33" s="136">
        <f>G31</f>
        <v>0.2495</v>
      </c>
      <c r="H33" s="200">
        <f t="shared" si="10"/>
        <v>-149154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</row>
    <row r="34" spans="1:18" x14ac:dyDescent="0.35">
      <c r="A34" s="171">
        <v>16</v>
      </c>
      <c r="B34" s="171" t="s">
        <v>16</v>
      </c>
      <c r="C34" s="171"/>
      <c r="D34" s="200">
        <f t="shared" si="8"/>
        <v>0</v>
      </c>
      <c r="E34" s="200">
        <f t="shared" si="9"/>
        <v>0</v>
      </c>
      <c r="F34" s="200">
        <f>E34-D34</f>
        <v>0</v>
      </c>
      <c r="G34" s="136">
        <f>G31</f>
        <v>0.2495</v>
      </c>
      <c r="H34" s="200">
        <f t="shared" si="10"/>
        <v>0</v>
      </c>
      <c r="I34" s="171"/>
      <c r="J34" s="171"/>
      <c r="K34" s="171"/>
      <c r="L34" s="171"/>
      <c r="M34" s="171"/>
      <c r="N34" s="171"/>
      <c r="O34" s="171"/>
      <c r="P34" s="171"/>
      <c r="Q34" s="171"/>
      <c r="R34" s="171"/>
    </row>
    <row r="35" spans="1:18" x14ac:dyDescent="0.35">
      <c r="A35" s="171">
        <v>17</v>
      </c>
      <c r="B35" s="171" t="s">
        <v>15</v>
      </c>
      <c r="C35" s="171"/>
      <c r="D35" s="200">
        <f t="shared" si="8"/>
        <v>0</v>
      </c>
      <c r="E35" s="200">
        <f t="shared" si="9"/>
        <v>0</v>
      </c>
      <c r="F35" s="200">
        <f>E35-D35</f>
        <v>0</v>
      </c>
      <c r="G35" s="136">
        <f>G31</f>
        <v>0.2495</v>
      </c>
      <c r="H35" s="200">
        <f t="shared" si="10"/>
        <v>0</v>
      </c>
      <c r="I35" s="171"/>
      <c r="J35" s="171"/>
      <c r="K35" s="171"/>
      <c r="L35" s="171"/>
      <c r="M35" s="171"/>
      <c r="N35" s="171"/>
      <c r="O35" s="171"/>
      <c r="P35" s="171"/>
      <c r="Q35" s="171"/>
      <c r="R35" s="171"/>
    </row>
    <row r="36" spans="1:18" x14ac:dyDescent="0.35">
      <c r="A36" s="171">
        <v>18</v>
      </c>
      <c r="B36" s="171" t="s">
        <v>54</v>
      </c>
      <c r="C36" s="171"/>
      <c r="D36" s="204">
        <f t="shared" si="8"/>
        <v>150584</v>
      </c>
      <c r="E36" s="206" t="str">
        <f t="shared" si="9"/>
        <v>NA</v>
      </c>
      <c r="F36" s="204">
        <f>-D36</f>
        <v>-150584</v>
      </c>
      <c r="G36" s="207">
        <f>G31</f>
        <v>0.2495</v>
      </c>
      <c r="H36" s="204">
        <f t="shared" si="10"/>
        <v>-37571</v>
      </c>
      <c r="I36" s="171"/>
      <c r="J36" s="171"/>
      <c r="K36" s="171"/>
      <c r="L36" s="171"/>
      <c r="M36" s="171"/>
      <c r="N36" s="171"/>
      <c r="O36" s="171"/>
      <c r="P36" s="171"/>
      <c r="Q36" s="171"/>
      <c r="R36" s="171"/>
    </row>
    <row r="37" spans="1:18" x14ac:dyDescent="0.35">
      <c r="A37" s="171"/>
      <c r="B37" s="171"/>
      <c r="C37" s="171"/>
      <c r="D37" s="200">
        <f>SUM(D31:D36)</f>
        <v>5989613.563000001</v>
      </c>
      <c r="E37" s="200">
        <f>SUM(E31:E36)</f>
        <v>-0.43699999892851338</v>
      </c>
      <c r="F37" s="200">
        <f>SUM(F31:F36)</f>
        <v>-5989614</v>
      </c>
      <c r="G37" s="171"/>
      <c r="H37" s="200">
        <f>SUM(H31:H36)</f>
        <v>-1494408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9" spans="1:18" x14ac:dyDescent="0.35">
      <c r="B39" s="193"/>
      <c r="D39" s="193"/>
    </row>
    <row r="40" spans="1:18" x14ac:dyDescent="0.35">
      <c r="A40" s="181"/>
      <c r="B40" s="171"/>
      <c r="C40" s="171"/>
      <c r="D40" s="171"/>
    </row>
    <row r="41" spans="1:18" x14ac:dyDescent="0.35">
      <c r="A41" s="181"/>
      <c r="C41" s="171"/>
      <c r="D41" s="171"/>
    </row>
  </sheetData>
  <mergeCells count="3">
    <mergeCell ref="F2:H2"/>
    <mergeCell ref="L16:P16"/>
    <mergeCell ref="D29:E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workbookViewId="0">
      <selection activeCell="C8" sqref="C8"/>
    </sheetView>
  </sheetViews>
  <sheetFormatPr defaultColWidth="9.1796875" defaultRowHeight="14.5" x14ac:dyDescent="0.35"/>
  <cols>
    <col min="1" max="1" width="14.453125" customWidth="1"/>
    <col min="2" max="2" width="18.54296875" bestFit="1" customWidth="1"/>
    <col min="3" max="4" width="12.7265625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12.7265625" customWidth="1"/>
    <col min="13" max="14" width="11.26953125" bestFit="1" customWidth="1"/>
    <col min="15" max="15" width="9.72656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2024</v>
      </c>
      <c r="R1" s="190" t="s">
        <v>236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233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2024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1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2024 Monthly'!Q14</f>
        <v>3051305.2415384618</v>
      </c>
      <c r="D6" s="161">
        <v>3.0499999999999999E-2</v>
      </c>
      <c r="F6" s="1">
        <v>0</v>
      </c>
      <c r="G6" s="13">
        <f>ROUND(IF(D$5=1,-D6*C6,-D6*C6),0)</f>
        <v>-93065</v>
      </c>
      <c r="H6" s="13">
        <f>SUM(F6:G6)</f>
        <v>-93065</v>
      </c>
      <c r="J6" s="5">
        <f>C6+H6</f>
        <v>2958240.2415384618</v>
      </c>
      <c r="O6" s="9">
        <v>1E-4</v>
      </c>
      <c r="P6" s="12">
        <f>ROUND(IF(D$5=1,-O6*C6,-O6*C6),0)</f>
        <v>-305</v>
      </c>
    </row>
    <row r="7" spans="1:18" x14ac:dyDescent="0.35">
      <c r="A7">
        <v>2</v>
      </c>
      <c r="B7" t="s">
        <v>0</v>
      </c>
      <c r="C7" s="1">
        <v>0</v>
      </c>
      <c r="D7" s="161">
        <v>2.8799999999999999E-2</v>
      </c>
      <c r="F7" s="1">
        <v>0</v>
      </c>
      <c r="G7" s="13">
        <f>ROUND(IF(D$5=1,-D7*C7,-D7*C7),0)</f>
        <v>0</v>
      </c>
      <c r="H7" s="13">
        <f>SUM(F7:G7)</f>
        <v>0</v>
      </c>
      <c r="J7" s="5">
        <f>C7+H7</f>
        <v>0</v>
      </c>
      <c r="O7" s="9">
        <v>2.0000000000000001E-4</v>
      </c>
      <c r="P7" s="12">
        <f>ROUND(IF(D$5=1,-O7*C7,-O7*C7),0)</f>
        <v>0</v>
      </c>
    </row>
    <row r="8" spans="1:18" x14ac:dyDescent="0.35">
      <c r="A8">
        <v>3</v>
      </c>
      <c r="B8" t="s">
        <v>1</v>
      </c>
      <c r="C8" s="1">
        <f>'Schedule IV 2024 Monthly'!Q17</f>
        <v>367190.51384615392</v>
      </c>
      <c r="D8" s="161">
        <v>3.1E-2</v>
      </c>
      <c r="F8" s="1">
        <v>0</v>
      </c>
      <c r="G8" s="13">
        <f>ROUND(IF(D$5=1,-D8*C8,-D8*C8),0)</f>
        <v>-11383</v>
      </c>
      <c r="H8" s="13">
        <f t="shared" ref="H8:H11" si="0">SUM(F8:G8)</f>
        <v>-11383</v>
      </c>
      <c r="J8" s="5">
        <f t="shared" ref="J8:J11" si="1">C8+H8</f>
        <v>355807.51384615392</v>
      </c>
      <c r="O8" s="9">
        <v>4.1999999999999997E-3</v>
      </c>
      <c r="P8" s="12">
        <f>ROUND(IF(D$5=1,-O8*C8,-O8*C8),0)</f>
        <v>-1542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2024 Monthly'!Q6</f>
        <v>96051.473076923052</v>
      </c>
      <c r="D11" s="4" t="s">
        <v>53</v>
      </c>
      <c r="F11" s="2">
        <v>0</v>
      </c>
      <c r="G11" s="14">
        <f>P12</f>
        <v>-1847</v>
      </c>
      <c r="H11" s="14">
        <f t="shared" si="0"/>
        <v>-1847</v>
      </c>
      <c r="J11" s="6">
        <f t="shared" si="1"/>
        <v>94204.473076923052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3514547.2284615384</v>
      </c>
      <c r="D12" s="13"/>
      <c r="F12" s="1">
        <f>SUM(F5:F11)</f>
        <v>0</v>
      </c>
      <c r="G12" s="13">
        <f>SUM(G5:G11)</f>
        <v>-106295</v>
      </c>
      <c r="H12" s="13">
        <f>SUM(H5:H11)</f>
        <v>-106295</v>
      </c>
      <c r="J12" s="5">
        <f>SUM(J6:J11)</f>
        <v>3408252.2284615384</v>
      </c>
      <c r="O12" s="5"/>
      <c r="P12" s="12">
        <f>SUM(P5:P11)</f>
        <v>-1847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1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>C6</f>
        <v>3051305.2415384618</v>
      </c>
      <c r="D19" s="136">
        <v>1</v>
      </c>
      <c r="E19" s="50">
        <f>ROUND(C19*-D19,0)</f>
        <v>-3051305</v>
      </c>
      <c r="F19" s="66">
        <f>C19+E19</f>
        <v>0.24153846176341176</v>
      </c>
      <c r="G19" s="66">
        <f>ROUND(F19*-$G$16,0)</f>
        <v>0</v>
      </c>
      <c r="H19" s="67">
        <f>F19+G19</f>
        <v>0.24153846176341176</v>
      </c>
      <c r="I19" s="36"/>
      <c r="J19" s="36">
        <v>20</v>
      </c>
      <c r="K19" s="68">
        <f>IFERROR(VLOOKUP(J19,'Tax Rates'!$A$1:$AA$12,$K$18+1,FALSE),0)</f>
        <v>3.7499999999999999E-2</v>
      </c>
      <c r="L19" s="69">
        <v>0</v>
      </c>
      <c r="M19" s="66">
        <f>E19</f>
        <v>-3051305</v>
      </c>
      <c r="N19" s="66">
        <f>G19</f>
        <v>0</v>
      </c>
      <c r="O19" s="50">
        <f>ROUND(K19*-H19,0)</f>
        <v>0</v>
      </c>
      <c r="P19" s="70">
        <f>SUM(L19:O19)</f>
        <v>-3051305</v>
      </c>
      <c r="Q19" s="36"/>
      <c r="R19" s="66">
        <f>C19+P19</f>
        <v>0.24153846176341176</v>
      </c>
    </row>
    <row r="20" spans="1:18" x14ac:dyDescent="0.35">
      <c r="A20" s="36">
        <v>8</v>
      </c>
      <c r="B20" s="36" t="s">
        <v>0</v>
      </c>
      <c r="C20" s="55">
        <f>+C7</f>
        <v>0</v>
      </c>
      <c r="D20" s="136">
        <v>1</v>
      </c>
      <c r="E20" s="50">
        <f>ROUND(C20*-D20,0)</f>
        <v>0</v>
      </c>
      <c r="F20" s="66">
        <f>C20+E20</f>
        <v>0</v>
      </c>
      <c r="G20" s="66">
        <f t="shared" ref="G20:G24" si="2">ROUND(F20*-$G$16,0)</f>
        <v>0</v>
      </c>
      <c r="H20" s="67">
        <f t="shared" ref="H20:H24" si="3">F20+G20</f>
        <v>0</v>
      </c>
      <c r="I20" s="36"/>
      <c r="J20" s="36">
        <v>15</v>
      </c>
      <c r="K20" s="68">
        <f>IFERROR(VLOOKUP(J20,'Tax Rates'!$A$1:$AA$12,$K$18+1,FALSE),0)</f>
        <v>0.05</v>
      </c>
      <c r="L20" s="69">
        <v>0</v>
      </c>
      <c r="M20" s="66">
        <f t="shared" ref="M20:M24" si="4">E20</f>
        <v>0</v>
      </c>
      <c r="N20" s="66">
        <f t="shared" ref="N20:N24" si="5">G20</f>
        <v>0</v>
      </c>
      <c r="O20" s="50">
        <f>ROUND(K20*-H20,0)</f>
        <v>0</v>
      </c>
      <c r="P20" s="70">
        <f t="shared" ref="P20:P24" si="6">SUM(L20:O20)</f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ref="C21:C23" si="7">C8</f>
        <v>367190.51384615392</v>
      </c>
      <c r="D21" s="136">
        <v>1</v>
      </c>
      <c r="E21" s="50">
        <f>ROUND(C21*-D21,0)</f>
        <v>-367191</v>
      </c>
      <c r="F21" s="66">
        <f>C21+E21</f>
        <v>-0.48615384608274326</v>
      </c>
      <c r="G21" s="66">
        <f t="shared" si="2"/>
        <v>0</v>
      </c>
      <c r="H21" s="67">
        <f t="shared" si="3"/>
        <v>-0.48615384608274326</v>
      </c>
      <c r="I21" s="36"/>
      <c r="J21" s="36">
        <v>20</v>
      </c>
      <c r="K21" s="68">
        <f>IFERROR(VLOOKUP(J21,'Tax Rates'!$A$1:$AA$12,$K$18+1,FALSE),0)</f>
        <v>3.7499999999999999E-2</v>
      </c>
      <c r="L21" s="69">
        <v>0</v>
      </c>
      <c r="M21" s="66">
        <f t="shared" si="4"/>
        <v>-367191</v>
      </c>
      <c r="N21" s="66">
        <f t="shared" si="5"/>
        <v>0</v>
      </c>
      <c r="O21" s="50">
        <f>ROUND(K21*-H21,0)</f>
        <v>0</v>
      </c>
      <c r="P21" s="70">
        <f t="shared" si="6"/>
        <v>-367191</v>
      </c>
      <c r="Q21" s="36"/>
      <c r="R21" s="66">
        <f>C21+P21</f>
        <v>-0.48615384608274326</v>
      </c>
    </row>
    <row r="22" spans="1:18" x14ac:dyDescent="0.35">
      <c r="A22" s="36">
        <v>10</v>
      </c>
      <c r="B22" s="36" t="s">
        <v>16</v>
      </c>
      <c r="C22" s="55">
        <f t="shared" si="7"/>
        <v>0</v>
      </c>
      <c r="D22" s="65">
        <v>0</v>
      </c>
      <c r="E22" s="50">
        <f t="shared" ref="E22:E24" si="8">ROUND(C22*-D22,0)</f>
        <v>0</v>
      </c>
      <c r="F22" s="66">
        <f>C22+E22</f>
        <v>0</v>
      </c>
      <c r="G22" s="66">
        <f t="shared" si="2"/>
        <v>0</v>
      </c>
      <c r="H22" s="67">
        <f t="shared" si="3"/>
        <v>0</v>
      </c>
      <c r="I22" s="36"/>
      <c r="J22" s="36">
        <v>7</v>
      </c>
      <c r="K22" s="68">
        <f>IFERROR(VLOOKUP(J22,'Tax Rates'!$A$1:$AA$12,$K$18+1,FALSE),0)</f>
        <v>0.1429</v>
      </c>
      <c r="L22" s="69">
        <v>0</v>
      </c>
      <c r="M22" s="66">
        <f t="shared" si="4"/>
        <v>0</v>
      </c>
      <c r="N22" s="66">
        <f t="shared" si="5"/>
        <v>0</v>
      </c>
      <c r="O22" s="50">
        <f>ROUND(K22*-H22,0)</f>
        <v>0</v>
      </c>
      <c r="P22" s="70">
        <f t="shared" si="6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7"/>
        <v>0</v>
      </c>
      <c r="D23" s="65">
        <v>0</v>
      </c>
      <c r="E23" s="50">
        <f t="shared" si="8"/>
        <v>0</v>
      </c>
      <c r="F23" s="66">
        <f>C23+E23</f>
        <v>0</v>
      </c>
      <c r="G23" s="66">
        <f t="shared" si="2"/>
        <v>0</v>
      </c>
      <c r="H23" s="67">
        <f t="shared" si="3"/>
        <v>0</v>
      </c>
      <c r="I23" s="36"/>
      <c r="J23" s="36">
        <v>15</v>
      </c>
      <c r="K23" s="68">
        <f>IFERROR(VLOOKUP(J23,'Tax Rates'!$A$1:$AA$12,$K$18+1,FALSE),0)</f>
        <v>0.05</v>
      </c>
      <c r="L23" s="69">
        <v>0</v>
      </c>
      <c r="M23" s="66">
        <f t="shared" si="4"/>
        <v>0</v>
      </c>
      <c r="N23" s="66">
        <f t="shared" si="5"/>
        <v>0</v>
      </c>
      <c r="O23" s="50">
        <f>ROUND(K23*-H23,0)</f>
        <v>0</v>
      </c>
      <c r="P23" s="70">
        <f t="shared" si="6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>+C11</f>
        <v>96051.473076923052</v>
      </c>
      <c r="D24" s="136">
        <v>1</v>
      </c>
      <c r="E24" s="52">
        <f t="shared" si="8"/>
        <v>-96051</v>
      </c>
      <c r="F24" s="71">
        <v>0</v>
      </c>
      <c r="G24" s="71">
        <f t="shared" si="2"/>
        <v>0</v>
      </c>
      <c r="H24" s="72">
        <f t="shared" si="3"/>
        <v>0</v>
      </c>
      <c r="I24" s="36"/>
      <c r="J24" s="29" t="s">
        <v>55</v>
      </c>
      <c r="K24" s="73" t="s">
        <v>55</v>
      </c>
      <c r="L24" s="74">
        <v>0</v>
      </c>
      <c r="M24" s="71">
        <f t="shared" si="4"/>
        <v>-96051</v>
      </c>
      <c r="N24" s="75">
        <f t="shared" si="5"/>
        <v>0</v>
      </c>
      <c r="O24" s="52">
        <v>0</v>
      </c>
      <c r="P24" s="76">
        <f t="shared" si="6"/>
        <v>-96051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3514547.2284615384</v>
      </c>
      <c r="D25" s="36"/>
      <c r="E25" s="50">
        <f>SUM(E19:E24)</f>
        <v>-3514547</v>
      </c>
      <c r="F25" s="50">
        <f>SUM(F19:F24)</f>
        <v>-0.2446153843193315</v>
      </c>
      <c r="G25" s="50">
        <f>SUM(G19:G24)</f>
        <v>0</v>
      </c>
      <c r="H25" s="70">
        <f>SUM(H19:H24)</f>
        <v>-0.2446153843193315</v>
      </c>
      <c r="I25" s="36"/>
      <c r="J25" s="36"/>
      <c r="K25" s="36"/>
      <c r="L25" s="70">
        <f>SUM(L19:L24)</f>
        <v>0</v>
      </c>
      <c r="M25" s="50">
        <f>SUM(M19:M24)</f>
        <v>-3514547</v>
      </c>
      <c r="N25" s="50">
        <f>SUM(N19:N24)</f>
        <v>0</v>
      </c>
      <c r="O25" s="50">
        <f>SUM(O19:O24)</f>
        <v>0</v>
      </c>
      <c r="P25" s="70">
        <f>SUM(P19:P24)</f>
        <v>-3514547</v>
      </c>
      <c r="Q25" s="36"/>
      <c r="R25" s="66">
        <f>SUM(R19:R24)</f>
        <v>-0.2446153843193315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>J6</f>
        <v>2958240.2415384618</v>
      </c>
      <c r="E31" s="66">
        <f>R19</f>
        <v>0.24153846176341176</v>
      </c>
      <c r="F31" s="66">
        <f>E31-D31</f>
        <v>-2958240</v>
      </c>
      <c r="G31" s="80">
        <v>0.2495</v>
      </c>
      <c r="H31" s="66">
        <f>ROUND(F31*G31,0)</f>
        <v>-738081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 t="shared" ref="D32:D36" si="9">J7</f>
        <v>0</v>
      </c>
      <c r="E32" s="66">
        <f t="shared" ref="E32:E36" si="10">R20</f>
        <v>0</v>
      </c>
      <c r="F32" s="66">
        <f>E32-D32</f>
        <v>0</v>
      </c>
      <c r="G32" s="79">
        <f>G31</f>
        <v>0.2495</v>
      </c>
      <c r="H32" s="66">
        <f t="shared" ref="H32:H36" si="11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9"/>
        <v>355807.51384615392</v>
      </c>
      <c r="E33" s="66">
        <f t="shared" si="10"/>
        <v>-0.48615384608274326</v>
      </c>
      <c r="F33" s="66">
        <f>E33-D33</f>
        <v>-355808</v>
      </c>
      <c r="G33" s="79">
        <f>G31</f>
        <v>0.2495</v>
      </c>
      <c r="H33" s="66">
        <f t="shared" si="11"/>
        <v>-88774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9"/>
        <v>0</v>
      </c>
      <c r="E34" s="66">
        <f t="shared" si="10"/>
        <v>0</v>
      </c>
      <c r="F34" s="66">
        <f>E34-D34</f>
        <v>0</v>
      </c>
      <c r="G34" s="79">
        <f>G31</f>
        <v>0.2495</v>
      </c>
      <c r="H34" s="66">
        <f t="shared" si="11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9"/>
        <v>0</v>
      </c>
      <c r="E35" s="66">
        <f t="shared" si="10"/>
        <v>0</v>
      </c>
      <c r="F35" s="66">
        <f>E35-D35</f>
        <v>0</v>
      </c>
      <c r="G35" s="79">
        <f>G31</f>
        <v>0.2495</v>
      </c>
      <c r="H35" s="66">
        <f t="shared" si="11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9"/>
        <v>94204.473076923052</v>
      </c>
      <c r="E36" s="77" t="str">
        <f t="shared" si="10"/>
        <v>NA</v>
      </c>
      <c r="F36" s="71">
        <f>-D36</f>
        <v>-94204.473076923052</v>
      </c>
      <c r="G36" s="81">
        <f>G31</f>
        <v>0.2495</v>
      </c>
      <c r="H36" s="71">
        <f t="shared" si="11"/>
        <v>-23504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3408252.2284615384</v>
      </c>
      <c r="E37" s="66">
        <f>SUM(E31:E36)</f>
        <v>-0.2446153843193315</v>
      </c>
      <c r="F37" s="66">
        <f>SUM(F31:F36)</f>
        <v>-3408252.4730769228</v>
      </c>
      <c r="G37" s="36"/>
      <c r="H37" s="66">
        <f>SUM(H31:H36)</f>
        <v>-850359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  <pageSetup scale="6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0"/>
  <sheetViews>
    <sheetView workbookViewId="0">
      <selection activeCell="C8" sqref="C8"/>
    </sheetView>
  </sheetViews>
  <sheetFormatPr defaultRowHeight="14.5" x14ac:dyDescent="0.35"/>
  <cols>
    <col min="1" max="1" width="14.453125" customWidth="1"/>
    <col min="2" max="2" width="18.54296875" bestFit="1" customWidth="1"/>
    <col min="3" max="4" width="12.7265625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12.7265625" customWidth="1"/>
    <col min="13" max="14" width="11.26953125" bestFit="1" customWidth="1"/>
    <col min="15" max="15" width="9.72656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2024</v>
      </c>
      <c r="R1" s="190" t="s">
        <v>236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234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2024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2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2024 Monthly'!P14</f>
        <v>7596219.4199999999</v>
      </c>
      <c r="D6" s="161">
        <f>('Sch II 2024 Yr 1'!D6+'Sch II 2025 Yr 2'!D6)/2</f>
        <v>3.015E-2</v>
      </c>
      <c r="F6" s="1">
        <f>'Sch II 2024 Yr 1'!H6</f>
        <v>-93065</v>
      </c>
      <c r="G6" s="13">
        <f>ROUND(IF(D$5=1,-0.5*D6*C6,-D6*C6),0)</f>
        <v>-229026</v>
      </c>
      <c r="H6" s="13">
        <f t="shared" ref="H6:H11" si="0">SUM(F6:G6)</f>
        <v>-322091</v>
      </c>
      <c r="J6" s="5">
        <f t="shared" ref="J6:J11" si="1">C6+H6</f>
        <v>7274128.4199999999</v>
      </c>
      <c r="O6" s="9">
        <v>1E-4</v>
      </c>
      <c r="P6" s="12">
        <f>ROUND(IF(D$5=1,-O6*C6,-O6*C6),0)</f>
        <v>-760</v>
      </c>
    </row>
    <row r="7" spans="1:18" x14ac:dyDescent="0.35">
      <c r="A7">
        <v>2</v>
      </c>
      <c r="B7" t="s">
        <v>0</v>
      </c>
      <c r="C7" s="1">
        <v>0</v>
      </c>
      <c r="D7" s="161">
        <f>('Sch II 2024 Yr 1'!D7+'Sch II 2025 Yr 2'!D7)/2</f>
        <v>3.1150000000000001E-2</v>
      </c>
      <c r="F7" s="1">
        <f>'Sch II 2024 Yr 1'!H7</f>
        <v>0</v>
      </c>
      <c r="G7" s="13">
        <f>ROUND(IF(D$5=1,-0.5*D7*C7,-D7*C7),0)</f>
        <v>0</v>
      </c>
      <c r="H7" s="13">
        <f t="shared" si="0"/>
        <v>0</v>
      </c>
      <c r="J7" s="5">
        <f t="shared" si="1"/>
        <v>0</v>
      </c>
      <c r="O7" s="9">
        <v>2.0000000000000001E-4</v>
      </c>
      <c r="P7" s="5">
        <f>ROUND(IF(D$5=1,-0.5*O7*C7,-O7*C7),0)</f>
        <v>0</v>
      </c>
    </row>
    <row r="8" spans="1:18" x14ac:dyDescent="0.35">
      <c r="A8">
        <v>3</v>
      </c>
      <c r="B8" t="s">
        <v>1</v>
      </c>
      <c r="C8" s="1">
        <f>'Schedule IV 2024 Monthly'!P17</f>
        <v>1155320.24</v>
      </c>
      <c r="D8" s="161">
        <f>('Sch II 2024 Yr 1'!D8+'Sch II 2025 Yr 2'!D8)/2</f>
        <v>3.2199999999999999E-2</v>
      </c>
      <c r="F8" s="1">
        <f>'Sch II 2024 Yr 1'!H8</f>
        <v>-11383</v>
      </c>
      <c r="G8" s="13">
        <f>ROUND(IF(D$5=1,-0.5*D8*C8,-D8*C8),0)</f>
        <v>-37201</v>
      </c>
      <c r="H8" s="13">
        <f t="shared" si="0"/>
        <v>-48584</v>
      </c>
      <c r="J8" s="5">
        <f t="shared" si="1"/>
        <v>1106736.24</v>
      </c>
      <c r="O8" s="9">
        <v>4.1999999999999997E-3</v>
      </c>
      <c r="P8" s="5">
        <f>ROUND(IF(D$5=1,-O8*C8,-O8*C8),0)</f>
        <v>-4852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f>'Sch II 2024 Yr 1'!H9</f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f>'Sch II 2024 Yr 1'!H10</f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2024 Monthly'!P6</f>
        <v>163543.90999999997</v>
      </c>
      <c r="D11" s="4" t="s">
        <v>53</v>
      </c>
      <c r="F11" s="2">
        <f>'Sch II 2024 Yr 1'!P12</f>
        <v>-1847</v>
      </c>
      <c r="G11" s="14">
        <f>P12</f>
        <v>-5612</v>
      </c>
      <c r="H11" s="14">
        <f t="shared" si="0"/>
        <v>-7459</v>
      </c>
      <c r="J11" s="6">
        <f t="shared" si="1"/>
        <v>156084.90999999997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8915083.5700000003</v>
      </c>
      <c r="D12" s="13"/>
      <c r="F12" s="1">
        <f>SUM(F5:F11)</f>
        <v>-106295</v>
      </c>
      <c r="G12" s="13">
        <f>SUM(G5:G11)</f>
        <v>-271839</v>
      </c>
      <c r="H12" s="13">
        <f>SUM(H5:H11)</f>
        <v>-378134</v>
      </c>
      <c r="J12" s="5">
        <f>SUM(J6:J11)</f>
        <v>8536949.5700000003</v>
      </c>
      <c r="O12" s="5"/>
      <c r="P12" s="12">
        <f>SUM(P5:P11)</f>
        <v>-5612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2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 t="shared" ref="C19:C24" si="2">C6</f>
        <v>7596219.4199999999</v>
      </c>
      <c r="D19" s="137">
        <v>1</v>
      </c>
      <c r="E19" s="50">
        <f>ROUND(C19*-D19,0)-'Sch II 2024 Yr 1'!E19</f>
        <v>-4544914</v>
      </c>
      <c r="F19" s="66">
        <f>C19+E19+'Sch II 2024 Yr 1'!E19</f>
        <v>0.41999999992549419</v>
      </c>
      <c r="G19" s="66">
        <f t="shared" ref="G19:G24" si="3">ROUND(F19*-$G$16,0)</f>
        <v>0</v>
      </c>
      <c r="H19" s="67">
        <f t="shared" ref="H19:H24" si="4">F19+G19</f>
        <v>0.41999999992549419</v>
      </c>
      <c r="I19" s="36"/>
      <c r="J19" s="36">
        <v>20</v>
      </c>
      <c r="K19" s="68">
        <f>IFERROR(VLOOKUP(J19,'Tax Rates'!$A$1:$AA$12,$K$18+1,FALSE),0)</f>
        <v>7.2190000000000004E-2</v>
      </c>
      <c r="L19" s="69">
        <f>+'Sch II 2024 Yr 1'!P19</f>
        <v>-3051305</v>
      </c>
      <c r="M19" s="66">
        <f t="shared" ref="M19:M21" si="5">E19</f>
        <v>-4544914</v>
      </c>
      <c r="N19" s="66">
        <f t="shared" ref="N19:N24" si="6">G19</f>
        <v>0</v>
      </c>
      <c r="O19" s="50">
        <f>ROUND(K19*-H19,0)</f>
        <v>0</v>
      </c>
      <c r="P19" s="70">
        <f t="shared" ref="P19:P24" si="7">SUM(L19:O19)</f>
        <v>-7596219</v>
      </c>
      <c r="Q19" s="36"/>
      <c r="R19" s="66">
        <f>C19+P19</f>
        <v>0.41999999992549419</v>
      </c>
    </row>
    <row r="20" spans="1:18" x14ac:dyDescent="0.35">
      <c r="A20" s="36">
        <v>8</v>
      </c>
      <c r="B20" s="36" t="s">
        <v>0</v>
      </c>
      <c r="C20" s="50">
        <f t="shared" si="2"/>
        <v>0</v>
      </c>
      <c r="D20" s="123">
        <v>0</v>
      </c>
      <c r="E20" s="50">
        <f>ROUND(C20*-D20,0)-'Sch II 2024 Yr 1'!E20</f>
        <v>0</v>
      </c>
      <c r="F20" s="66">
        <f>C20+E20+'Sch II 2024 Yr 1'!E20</f>
        <v>0</v>
      </c>
      <c r="G20" s="66">
        <f t="shared" si="3"/>
        <v>0</v>
      </c>
      <c r="H20" s="67">
        <f t="shared" si="4"/>
        <v>0</v>
      </c>
      <c r="I20" s="36"/>
      <c r="J20" s="36">
        <v>15</v>
      </c>
      <c r="K20" s="68">
        <f>IFERROR(VLOOKUP(J20,'Tax Rates'!$A$1:$AA$12,$K$18+1,FALSE),0)</f>
        <v>9.5000000000000001E-2</v>
      </c>
      <c r="L20" s="69">
        <f>+'Sch II 2024 Yr 1'!P20</f>
        <v>0</v>
      </c>
      <c r="M20" s="66">
        <f t="shared" si="5"/>
        <v>0</v>
      </c>
      <c r="N20" s="66">
        <f t="shared" si="6"/>
        <v>0</v>
      </c>
      <c r="O20" s="50">
        <f>ROUND(K20*-H20,0)</f>
        <v>0</v>
      </c>
      <c r="P20" s="70">
        <f t="shared" si="7"/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si="2"/>
        <v>1155320.24</v>
      </c>
      <c r="D21" s="138">
        <v>1</v>
      </c>
      <c r="E21" s="50">
        <f>ROUND(C21*-D21,0)-'Sch II 2024 Yr 1'!E21</f>
        <v>-788129</v>
      </c>
      <c r="F21" s="66">
        <f>C21+E21+'Sch II 2024 Yr 1'!E21</f>
        <v>0.23999999999068677</v>
      </c>
      <c r="G21" s="66">
        <f t="shared" si="3"/>
        <v>0</v>
      </c>
      <c r="H21" s="67">
        <f t="shared" si="4"/>
        <v>0.23999999999068677</v>
      </c>
      <c r="I21" s="36"/>
      <c r="J21" s="36">
        <v>20</v>
      </c>
      <c r="K21" s="68">
        <f>IFERROR(VLOOKUP(J21,'Tax Rates'!$A$1:$AA$12,$K$18+1,FALSE),0)</f>
        <v>7.2190000000000004E-2</v>
      </c>
      <c r="L21" s="69">
        <f>+'Sch II 2024 Yr 1'!P21</f>
        <v>-367191</v>
      </c>
      <c r="M21" s="66">
        <f t="shared" si="5"/>
        <v>-788129</v>
      </c>
      <c r="N21" s="66">
        <f t="shared" si="6"/>
        <v>0</v>
      </c>
      <c r="O21" s="50">
        <f>ROUND(K21*-H21,0)</f>
        <v>0</v>
      </c>
      <c r="P21" s="70">
        <f t="shared" si="7"/>
        <v>-1155320</v>
      </c>
      <c r="Q21" s="36"/>
      <c r="R21" s="66">
        <f>C21+P21</f>
        <v>0.23999999999068677</v>
      </c>
    </row>
    <row r="22" spans="1:18" x14ac:dyDescent="0.35">
      <c r="A22" s="36">
        <v>10</v>
      </c>
      <c r="B22" s="36" t="s">
        <v>16</v>
      </c>
      <c r="C22" s="55">
        <f t="shared" si="2"/>
        <v>0</v>
      </c>
      <c r="D22" s="65">
        <v>0</v>
      </c>
      <c r="E22" s="50">
        <f>ROUND(C22*-D22,0)-'Sch II 2024 Yr 1'!E22</f>
        <v>0</v>
      </c>
      <c r="F22" s="66">
        <f>C22+E22+'Sch II 2024 Yr 1'!E22</f>
        <v>0</v>
      </c>
      <c r="G22" s="66">
        <f t="shared" si="3"/>
        <v>0</v>
      </c>
      <c r="H22" s="67">
        <f t="shared" si="4"/>
        <v>0</v>
      </c>
      <c r="I22" s="36"/>
      <c r="J22" s="36">
        <v>7</v>
      </c>
      <c r="K22" s="68">
        <f>IFERROR(VLOOKUP(J22,'Tax Rates'!$A$1:$AA$12,$K$18+1,FALSE),0)</f>
        <v>0.24490000000000001</v>
      </c>
      <c r="L22" s="69">
        <f>+'Sch II 2024 Yr 1'!P22</f>
        <v>0</v>
      </c>
      <c r="M22" s="66">
        <f t="shared" ref="M22:M24" si="8">E22</f>
        <v>0</v>
      </c>
      <c r="N22" s="66">
        <f t="shared" si="6"/>
        <v>0</v>
      </c>
      <c r="O22" s="50">
        <f>ROUND(K22*-H22,0)</f>
        <v>0</v>
      </c>
      <c r="P22" s="70">
        <f t="shared" si="7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2"/>
        <v>0</v>
      </c>
      <c r="D23" s="65">
        <v>0</v>
      </c>
      <c r="E23" s="50">
        <f>ROUND(C23*-D23,0)-'Sch II 2024 Yr 1'!E23</f>
        <v>0</v>
      </c>
      <c r="F23" s="66">
        <f>C23+E23+'Sch II 2024 Yr 1'!E23</f>
        <v>0</v>
      </c>
      <c r="G23" s="66">
        <f t="shared" si="3"/>
        <v>0</v>
      </c>
      <c r="H23" s="67">
        <f t="shared" si="4"/>
        <v>0</v>
      </c>
      <c r="I23" s="36"/>
      <c r="J23" s="36">
        <v>15</v>
      </c>
      <c r="K23" s="68">
        <f>IFERROR(VLOOKUP(J23,'Tax Rates'!$A$1:$AA$12,$K$18+1,FALSE),0)</f>
        <v>9.5000000000000001E-2</v>
      </c>
      <c r="L23" s="69">
        <f>+'Sch II 2024 Yr 1'!P23</f>
        <v>0</v>
      </c>
      <c r="M23" s="66">
        <f t="shared" si="8"/>
        <v>0</v>
      </c>
      <c r="N23" s="66">
        <f t="shared" si="6"/>
        <v>0</v>
      </c>
      <c r="O23" s="50">
        <f>ROUND(K23*-H23,0)</f>
        <v>0</v>
      </c>
      <c r="P23" s="70">
        <f t="shared" si="7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 t="shared" si="2"/>
        <v>163543.90999999997</v>
      </c>
      <c r="D24" s="220">
        <v>1</v>
      </c>
      <c r="E24" s="52">
        <f>ROUND(C24*-D24,0)-'Sch II 2024 Yr 1'!E24</f>
        <v>-67493</v>
      </c>
      <c r="F24" s="71">
        <f>C24+E24+'Sch II 2024 Yr 1'!E24</f>
        <v>-9.0000000025611371E-2</v>
      </c>
      <c r="G24" s="71">
        <f t="shared" si="3"/>
        <v>0</v>
      </c>
      <c r="H24" s="72">
        <f t="shared" si="4"/>
        <v>-9.0000000025611371E-2</v>
      </c>
      <c r="I24" s="36"/>
      <c r="J24" s="29" t="s">
        <v>55</v>
      </c>
      <c r="K24" s="73" t="s">
        <v>55</v>
      </c>
      <c r="L24" s="74">
        <f>+'Sch II 2024 Yr 1'!P24</f>
        <v>-96051</v>
      </c>
      <c r="M24" s="71">
        <f t="shared" si="8"/>
        <v>-67493</v>
      </c>
      <c r="N24" s="75">
        <f t="shared" si="6"/>
        <v>0</v>
      </c>
      <c r="O24" s="52">
        <v>0</v>
      </c>
      <c r="P24" s="76">
        <f t="shared" si="7"/>
        <v>-163544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8915083.5700000003</v>
      </c>
      <c r="D25" s="36"/>
      <c r="E25" s="50">
        <f>SUM(E19:E24)</f>
        <v>-5400536</v>
      </c>
      <c r="F25" s="50">
        <f>SUM(F19:F24)</f>
        <v>0.5699999998905696</v>
      </c>
      <c r="G25" s="50">
        <f>SUM(G19:G24)</f>
        <v>0</v>
      </c>
      <c r="H25" s="70">
        <f>SUM(H19:H24)</f>
        <v>0.5699999998905696</v>
      </c>
      <c r="I25" s="36"/>
      <c r="J25" s="36"/>
      <c r="K25" s="36"/>
      <c r="L25" s="70">
        <f>SUM(L19:L24)</f>
        <v>-3514547</v>
      </c>
      <c r="M25" s="50">
        <f>SUM(M19:M24)</f>
        <v>-5400536</v>
      </c>
      <c r="N25" s="50">
        <f>SUM(N19:N24)</f>
        <v>0</v>
      </c>
      <c r="O25" s="50">
        <f>SUM(O19:O24)</f>
        <v>0</v>
      </c>
      <c r="P25" s="70">
        <f>SUM(P19:P24)</f>
        <v>-8915083</v>
      </c>
      <c r="Q25" s="36"/>
      <c r="R25" s="66">
        <f>SUM(R19:R24)</f>
        <v>0.65999999991618097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 t="shared" ref="D31:D36" si="9">J6</f>
        <v>7274128.4199999999</v>
      </c>
      <c r="E31" s="66">
        <f t="shared" ref="E31:E36" si="10">R19</f>
        <v>0.41999999992549419</v>
      </c>
      <c r="F31" s="66">
        <f>E31-D31</f>
        <v>-7274128</v>
      </c>
      <c r="G31" s="80">
        <v>0.2495</v>
      </c>
      <c r="H31" s="66">
        <f>ROUND(F31*G31,0)</f>
        <v>-1814895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 t="shared" si="9"/>
        <v>0</v>
      </c>
      <c r="E32" s="66">
        <f t="shared" si="10"/>
        <v>0</v>
      </c>
      <c r="F32" s="66">
        <f>E32-D32</f>
        <v>0</v>
      </c>
      <c r="G32" s="79">
        <f>G31</f>
        <v>0.2495</v>
      </c>
      <c r="H32" s="66">
        <f t="shared" ref="H32:H36" si="11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9"/>
        <v>1106736.24</v>
      </c>
      <c r="E33" s="66">
        <f t="shared" si="10"/>
        <v>0.23999999999068677</v>
      </c>
      <c r="F33" s="66">
        <f>E33-D33</f>
        <v>-1106736</v>
      </c>
      <c r="G33" s="79">
        <f>G31</f>
        <v>0.2495</v>
      </c>
      <c r="H33" s="66">
        <f t="shared" si="11"/>
        <v>-276131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9"/>
        <v>0</v>
      </c>
      <c r="E34" s="66">
        <f t="shared" si="10"/>
        <v>0</v>
      </c>
      <c r="F34" s="66">
        <f>E34-D34</f>
        <v>0</v>
      </c>
      <c r="G34" s="79">
        <f>G31</f>
        <v>0.2495</v>
      </c>
      <c r="H34" s="66">
        <f t="shared" si="11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9"/>
        <v>0</v>
      </c>
      <c r="E35" s="66">
        <f t="shared" si="10"/>
        <v>0</v>
      </c>
      <c r="F35" s="66">
        <f>E35-D35</f>
        <v>0</v>
      </c>
      <c r="G35" s="79">
        <f>G31</f>
        <v>0.2495</v>
      </c>
      <c r="H35" s="66">
        <f t="shared" si="11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9"/>
        <v>156084.90999999997</v>
      </c>
      <c r="E36" s="77" t="str">
        <f t="shared" si="10"/>
        <v>NA</v>
      </c>
      <c r="F36" s="71">
        <f>-D36</f>
        <v>-156084.90999999997</v>
      </c>
      <c r="G36" s="81">
        <f>G31</f>
        <v>0.2495</v>
      </c>
      <c r="H36" s="71">
        <f t="shared" si="11"/>
        <v>-38943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8536949.5700000003</v>
      </c>
      <c r="E37" s="66">
        <f>SUM(E31:E36)</f>
        <v>0.65999999991618097</v>
      </c>
      <c r="F37" s="66">
        <f>SUM(F31:F36)</f>
        <v>-8536948.9100000001</v>
      </c>
      <c r="G37" s="36"/>
      <c r="H37" s="66">
        <f>SUM(H31:H36)</f>
        <v>-2129969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  <pageSetup scale="6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3B4D-54DC-425A-9836-5E3D4727DF42}">
  <sheetPr>
    <tabColor theme="8" tint="0.39997558519241921"/>
  </sheetPr>
  <dimension ref="A1:R40"/>
  <sheetViews>
    <sheetView workbookViewId="0">
      <selection activeCell="H32" sqref="H32"/>
    </sheetView>
  </sheetViews>
  <sheetFormatPr defaultRowHeight="14.5" x14ac:dyDescent="0.35"/>
  <cols>
    <col min="1" max="1" width="14.453125" customWidth="1"/>
    <col min="2" max="2" width="18.54296875" bestFit="1" customWidth="1"/>
    <col min="3" max="3" width="12.7265625" customWidth="1"/>
    <col min="4" max="4" width="14" bestFit="1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12.7265625" customWidth="1"/>
    <col min="13" max="14" width="11.26953125" bestFit="1" customWidth="1"/>
    <col min="15" max="15" width="9.72656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2024</v>
      </c>
      <c r="D1" s="226" t="s">
        <v>244</v>
      </c>
      <c r="R1" s="190" t="s">
        <v>236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235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2024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3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2024 Monthly'!P14</f>
        <v>7596219.4199999999</v>
      </c>
      <c r="D6" s="225">
        <v>2.98E-2</v>
      </c>
      <c r="F6" s="1">
        <f>'Sch II 2024 Yr 2'!H6</f>
        <v>-322091</v>
      </c>
      <c r="G6" s="13">
        <f>ROUND(IF(D$5=1,-0.5*D6*C6,-D6*C6),0)</f>
        <v>-226367</v>
      </c>
      <c r="H6" s="13">
        <f t="shared" ref="H6:H11" si="0">SUM(F6:G6)</f>
        <v>-548458</v>
      </c>
      <c r="J6" s="5">
        <f t="shared" ref="J6:J11" si="1">C6+H6</f>
        <v>7047761.4199999999</v>
      </c>
      <c r="O6" s="9">
        <v>1E-4</v>
      </c>
      <c r="P6" s="12">
        <f>ROUND(IF(D$5=1,-O6*C6,-O6*C6),0)</f>
        <v>-760</v>
      </c>
    </row>
    <row r="7" spans="1:18" x14ac:dyDescent="0.35">
      <c r="A7">
        <v>2</v>
      </c>
      <c r="B7" t="s">
        <v>0</v>
      </c>
      <c r="C7" s="1">
        <v>0</v>
      </c>
      <c r="D7" s="225">
        <v>3.3500000000000002E-2</v>
      </c>
      <c r="F7" s="1">
        <f>'Sch II 2024 Yr 2'!H7</f>
        <v>0</v>
      </c>
      <c r="G7" s="13">
        <f>ROUND(IF(D$5=1,-0.5*D7*C7,-D7*C7),0)</f>
        <v>0</v>
      </c>
      <c r="H7" s="13">
        <f t="shared" si="0"/>
        <v>0</v>
      </c>
      <c r="J7" s="5">
        <f t="shared" si="1"/>
        <v>0</v>
      </c>
      <c r="O7" s="9">
        <v>2.0000000000000001E-4</v>
      </c>
      <c r="P7" s="5">
        <f>ROUND(IF(D$5=1,-0.5*O7*C7,-O7*C7),0)</f>
        <v>0</v>
      </c>
    </row>
    <row r="8" spans="1:18" x14ac:dyDescent="0.35">
      <c r="A8">
        <v>3</v>
      </c>
      <c r="B8" t="s">
        <v>1</v>
      </c>
      <c r="C8" s="1">
        <f>'Schedule IV 2024 Monthly'!P17</f>
        <v>1155320.24</v>
      </c>
      <c r="D8" s="225">
        <v>3.3399999999999999E-2</v>
      </c>
      <c r="F8" s="1">
        <f>'Sch II 2024 Yr 2'!H8</f>
        <v>-48584</v>
      </c>
      <c r="G8" s="13">
        <f>ROUND(IF(D$5=1,-0.5*D8*C8,-D8*C8),0)</f>
        <v>-38588</v>
      </c>
      <c r="H8" s="13">
        <f t="shared" si="0"/>
        <v>-87172</v>
      </c>
      <c r="J8" s="5">
        <f t="shared" si="1"/>
        <v>1068148.24</v>
      </c>
      <c r="O8" s="9">
        <v>4.1999999999999997E-3</v>
      </c>
      <c r="P8" s="5">
        <f>ROUND(IF(D$5=1,-O8*C8,-O8*C8),0)</f>
        <v>-4852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f>'Sch II 2024 Yr 2'!H9</f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f>'Sch II 2024 Yr 2'!H10</f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2024 Monthly'!P6</f>
        <v>163543.90999999997</v>
      </c>
      <c r="D11" s="4" t="s">
        <v>53</v>
      </c>
      <c r="F11" s="2">
        <f>'Sch II 2024 Yr 2'!H11</f>
        <v>-7459</v>
      </c>
      <c r="G11" s="14">
        <f>P12</f>
        <v>-5612</v>
      </c>
      <c r="H11" s="14">
        <f t="shared" si="0"/>
        <v>-13071</v>
      </c>
      <c r="J11" s="6">
        <f t="shared" si="1"/>
        <v>150472.90999999997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8915083.5700000003</v>
      </c>
      <c r="D12" s="13"/>
      <c r="F12" s="1">
        <f>SUM(F5:F11)</f>
        <v>-378134</v>
      </c>
      <c r="G12" s="13">
        <f>SUM(G5:G11)</f>
        <v>-270567</v>
      </c>
      <c r="H12" s="13">
        <f>SUM(H5:H11)</f>
        <v>-648701</v>
      </c>
      <c r="J12" s="5">
        <f>SUM(J6:J11)</f>
        <v>8266382.5700000003</v>
      </c>
      <c r="O12" s="5"/>
      <c r="P12" s="12">
        <f>SUM(P5:P11)</f>
        <v>-5612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3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 t="shared" ref="C19:C24" si="2">C6</f>
        <v>7596219.4199999999</v>
      </c>
      <c r="D19" s="137">
        <v>1</v>
      </c>
      <c r="E19" s="50">
        <f>ROUND(C19*-D19,0)-'Sch II 2024 Yr 1'!E19</f>
        <v>-4544914</v>
      </c>
      <c r="F19" s="66">
        <f>C19+E19+'Sch II 2024 Yr 1'!E19</f>
        <v>0.41999999992549419</v>
      </c>
      <c r="G19" s="66">
        <f t="shared" ref="G19:G24" si="3">ROUND(F19*-$G$16,0)</f>
        <v>0</v>
      </c>
      <c r="H19" s="67">
        <f t="shared" ref="H19:H24" si="4">F19+G19</f>
        <v>0.41999999992549419</v>
      </c>
      <c r="I19" s="36"/>
      <c r="J19" s="36">
        <v>20</v>
      </c>
      <c r="K19" s="68">
        <f>IFERROR(VLOOKUP(J19,'Tax Rates'!$A$1:$AA$12,$K$18+1,FALSE),0)</f>
        <v>6.6769999999999996E-2</v>
      </c>
      <c r="L19" s="69">
        <f>+'Sch II 2024 Yr 1'!P19</f>
        <v>-3051305</v>
      </c>
      <c r="M19" s="66">
        <f t="shared" ref="M19:M24" si="5">E19</f>
        <v>-4544914</v>
      </c>
      <c r="N19" s="66">
        <f t="shared" ref="N19:N24" si="6">G19</f>
        <v>0</v>
      </c>
      <c r="O19" s="50">
        <f>ROUND(K19*-H19,0)</f>
        <v>0</v>
      </c>
      <c r="P19" s="70">
        <f t="shared" ref="P19:P24" si="7">SUM(L19:O19)</f>
        <v>-7596219</v>
      </c>
      <c r="Q19" s="36"/>
      <c r="R19" s="66">
        <f>C19+P19</f>
        <v>0.41999999992549419</v>
      </c>
    </row>
    <row r="20" spans="1:18" x14ac:dyDescent="0.35">
      <c r="A20" s="36">
        <v>8</v>
      </c>
      <c r="B20" s="36" t="s">
        <v>0</v>
      </c>
      <c r="C20" s="50">
        <f t="shared" si="2"/>
        <v>0</v>
      </c>
      <c r="D20" s="123">
        <v>0</v>
      </c>
      <c r="E20" s="50">
        <f>ROUND(C20*-D20,0)-'Sch II 2024 Yr 1'!E20</f>
        <v>0</v>
      </c>
      <c r="F20" s="66">
        <f>C20+E20+'Sch II 2024 Yr 1'!E20</f>
        <v>0</v>
      </c>
      <c r="G20" s="66">
        <f t="shared" si="3"/>
        <v>0</v>
      </c>
      <c r="H20" s="67">
        <f t="shared" si="4"/>
        <v>0</v>
      </c>
      <c r="I20" s="36"/>
      <c r="J20" s="36">
        <v>15</v>
      </c>
      <c r="K20" s="68">
        <f>IFERROR(VLOOKUP(J20,'Tax Rates'!$A$1:$AA$12,$K$18+1,FALSE),0)</f>
        <v>8.5500000000000007E-2</v>
      </c>
      <c r="L20" s="69">
        <f>+'Sch II 2024 Yr 1'!P20</f>
        <v>0</v>
      </c>
      <c r="M20" s="66">
        <f t="shared" si="5"/>
        <v>0</v>
      </c>
      <c r="N20" s="66">
        <f t="shared" si="6"/>
        <v>0</v>
      </c>
      <c r="O20" s="50">
        <f>ROUND(K20*-H20,0)</f>
        <v>0</v>
      </c>
      <c r="P20" s="70">
        <f t="shared" si="7"/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si="2"/>
        <v>1155320.24</v>
      </c>
      <c r="D21" s="138">
        <v>1</v>
      </c>
      <c r="E21" s="50">
        <f>ROUND(C21*-D21,0)-'Sch II 2024 Yr 1'!E21</f>
        <v>-788129</v>
      </c>
      <c r="F21" s="66">
        <f>C21+E21+'Sch II 2024 Yr 1'!E21</f>
        <v>0.23999999999068677</v>
      </c>
      <c r="G21" s="66">
        <f t="shared" si="3"/>
        <v>0</v>
      </c>
      <c r="H21" s="67">
        <f t="shared" si="4"/>
        <v>0.23999999999068677</v>
      </c>
      <c r="I21" s="36"/>
      <c r="J21" s="36">
        <v>20</v>
      </c>
      <c r="K21" s="68">
        <f>IFERROR(VLOOKUP(J21,'Tax Rates'!$A$1:$AA$12,$K$18+1,FALSE),0)</f>
        <v>6.6769999999999996E-2</v>
      </c>
      <c r="L21" s="69">
        <f>+'Sch II 2024 Yr 1'!P21</f>
        <v>-367191</v>
      </c>
      <c r="M21" s="66">
        <f t="shared" si="5"/>
        <v>-788129</v>
      </c>
      <c r="N21" s="66">
        <f t="shared" si="6"/>
        <v>0</v>
      </c>
      <c r="O21" s="50">
        <f>ROUND(K21*-H21,0)</f>
        <v>0</v>
      </c>
      <c r="P21" s="70">
        <f t="shared" si="7"/>
        <v>-1155320</v>
      </c>
      <c r="Q21" s="36"/>
      <c r="R21" s="66">
        <f>C21+P21</f>
        <v>0.23999999999068677</v>
      </c>
    </row>
    <row r="22" spans="1:18" x14ac:dyDescent="0.35">
      <c r="A22" s="36">
        <v>10</v>
      </c>
      <c r="B22" s="36" t="s">
        <v>16</v>
      </c>
      <c r="C22" s="55">
        <f t="shared" si="2"/>
        <v>0</v>
      </c>
      <c r="D22" s="65">
        <v>0</v>
      </c>
      <c r="E22" s="50">
        <f>ROUND(C22*-D22,0)-'Sch II 2024 Yr 1'!E22</f>
        <v>0</v>
      </c>
      <c r="F22" s="66">
        <f>C22+E22+'Sch II 2024 Yr 1'!E22</f>
        <v>0</v>
      </c>
      <c r="G22" s="66">
        <f t="shared" si="3"/>
        <v>0</v>
      </c>
      <c r="H22" s="67">
        <f t="shared" si="4"/>
        <v>0</v>
      </c>
      <c r="I22" s="36"/>
      <c r="J22" s="36">
        <v>7</v>
      </c>
      <c r="K22" s="68">
        <f>IFERROR(VLOOKUP(J22,'Tax Rates'!$A$1:$AA$12,$K$18+1,FALSE),0)</f>
        <v>0.1749</v>
      </c>
      <c r="L22" s="69">
        <f>+'Sch II 2024 Yr 1'!P22</f>
        <v>0</v>
      </c>
      <c r="M22" s="66">
        <f t="shared" si="5"/>
        <v>0</v>
      </c>
      <c r="N22" s="66">
        <f t="shared" si="6"/>
        <v>0</v>
      </c>
      <c r="O22" s="50">
        <f>ROUND(K22*-H22,0)</f>
        <v>0</v>
      </c>
      <c r="P22" s="70">
        <f t="shared" si="7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2"/>
        <v>0</v>
      </c>
      <c r="D23" s="65">
        <v>0</v>
      </c>
      <c r="E23" s="50">
        <f>ROUND(C23*-D23,0)-'Sch II 2024 Yr 1'!E23</f>
        <v>0</v>
      </c>
      <c r="F23" s="66">
        <f>C23+E23+'Sch II 2024 Yr 1'!E23</f>
        <v>0</v>
      </c>
      <c r="G23" s="66">
        <f t="shared" si="3"/>
        <v>0</v>
      </c>
      <c r="H23" s="67">
        <f t="shared" si="4"/>
        <v>0</v>
      </c>
      <c r="I23" s="36"/>
      <c r="J23" s="36">
        <v>15</v>
      </c>
      <c r="K23" s="68">
        <f>IFERROR(VLOOKUP(J23,'Tax Rates'!$A$1:$AA$12,$K$18+1,FALSE),0)</f>
        <v>8.5500000000000007E-2</v>
      </c>
      <c r="L23" s="69">
        <f>+'Sch II 2024 Yr 1'!P23</f>
        <v>0</v>
      </c>
      <c r="M23" s="66">
        <f t="shared" si="5"/>
        <v>0</v>
      </c>
      <c r="N23" s="66">
        <f t="shared" si="6"/>
        <v>0</v>
      </c>
      <c r="O23" s="50">
        <f>ROUND(K23*-H23,0)</f>
        <v>0</v>
      </c>
      <c r="P23" s="70">
        <f t="shared" si="7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 t="shared" si="2"/>
        <v>163543.90999999997</v>
      </c>
      <c r="D24" s="220">
        <v>1</v>
      </c>
      <c r="E24" s="52">
        <f>ROUND(C24*-D24,0)-'Sch II 2024 Yr 1'!E24</f>
        <v>-67493</v>
      </c>
      <c r="F24" s="71">
        <f>C24+E24+'Sch II 2024 Yr 1'!E24</f>
        <v>-9.0000000025611371E-2</v>
      </c>
      <c r="G24" s="71">
        <f t="shared" si="3"/>
        <v>0</v>
      </c>
      <c r="H24" s="72">
        <f t="shared" si="4"/>
        <v>-9.0000000025611371E-2</v>
      </c>
      <c r="I24" s="36"/>
      <c r="J24" s="29" t="s">
        <v>55</v>
      </c>
      <c r="K24" s="73" t="s">
        <v>55</v>
      </c>
      <c r="L24" s="74">
        <f>+'Sch II 2024 Yr 1'!P24</f>
        <v>-96051</v>
      </c>
      <c r="M24" s="71">
        <f t="shared" si="5"/>
        <v>-67493</v>
      </c>
      <c r="N24" s="75">
        <f t="shared" si="6"/>
        <v>0</v>
      </c>
      <c r="O24" s="52">
        <v>0</v>
      </c>
      <c r="P24" s="76">
        <f t="shared" si="7"/>
        <v>-163544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8915083.5700000003</v>
      </c>
      <c r="D25" s="36"/>
      <c r="E25" s="50">
        <f>SUM(E19:E24)</f>
        <v>-5400536</v>
      </c>
      <c r="F25" s="50">
        <f>SUM(F19:F24)</f>
        <v>0.5699999998905696</v>
      </c>
      <c r="G25" s="50">
        <f>SUM(G19:G24)</f>
        <v>0</v>
      </c>
      <c r="H25" s="70">
        <f>SUM(H19:H24)</f>
        <v>0.5699999998905696</v>
      </c>
      <c r="I25" s="36"/>
      <c r="J25" s="36"/>
      <c r="K25" s="36"/>
      <c r="L25" s="70">
        <f>SUM(L19:L24)</f>
        <v>-3514547</v>
      </c>
      <c r="M25" s="50">
        <f>SUM(M19:M24)</f>
        <v>-5400536</v>
      </c>
      <c r="N25" s="50">
        <f>SUM(N19:N24)</f>
        <v>0</v>
      </c>
      <c r="O25" s="50">
        <f>SUM(O19:O24)</f>
        <v>0</v>
      </c>
      <c r="P25" s="70">
        <f>SUM(P19:P24)</f>
        <v>-8915083</v>
      </c>
      <c r="Q25" s="36"/>
      <c r="R25" s="66">
        <f>SUM(R19:R24)</f>
        <v>0.65999999991618097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 t="shared" ref="D31:D36" si="8">J6</f>
        <v>7047761.4199999999</v>
      </c>
      <c r="E31" s="66">
        <f t="shared" ref="E31:E36" si="9">R19</f>
        <v>0.41999999992549419</v>
      </c>
      <c r="F31" s="66">
        <f>E31-D31</f>
        <v>-7047761</v>
      </c>
      <c r="G31" s="80">
        <v>0.2495</v>
      </c>
      <c r="H31" s="66">
        <f>ROUND(F31*G31,0)</f>
        <v>-1758416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>J7</f>
        <v>0</v>
      </c>
      <c r="E32" s="66">
        <f t="shared" si="9"/>
        <v>0</v>
      </c>
      <c r="F32" s="66">
        <f>E32-D32</f>
        <v>0</v>
      </c>
      <c r="G32" s="79">
        <f>G31</f>
        <v>0.2495</v>
      </c>
      <c r="H32" s="66">
        <f t="shared" ref="H32:H36" si="10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8"/>
        <v>1068148.24</v>
      </c>
      <c r="E33" s="66">
        <f t="shared" si="9"/>
        <v>0.23999999999068677</v>
      </c>
      <c r="F33" s="66">
        <f>E33-D33</f>
        <v>-1068148</v>
      </c>
      <c r="G33" s="79">
        <f>G31</f>
        <v>0.2495</v>
      </c>
      <c r="H33" s="66">
        <f t="shared" si="10"/>
        <v>-266503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8"/>
        <v>0</v>
      </c>
      <c r="E34" s="66">
        <f t="shared" si="9"/>
        <v>0</v>
      </c>
      <c r="F34" s="66">
        <f>E34-D34</f>
        <v>0</v>
      </c>
      <c r="G34" s="79">
        <f>G31</f>
        <v>0.2495</v>
      </c>
      <c r="H34" s="66">
        <f t="shared" si="10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8"/>
        <v>0</v>
      </c>
      <c r="E35" s="66">
        <f t="shared" si="9"/>
        <v>0</v>
      </c>
      <c r="F35" s="66">
        <f>E35-D35</f>
        <v>0</v>
      </c>
      <c r="G35" s="79">
        <f>G31</f>
        <v>0.2495</v>
      </c>
      <c r="H35" s="66">
        <f t="shared" si="10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8"/>
        <v>150472.90999999997</v>
      </c>
      <c r="E36" s="77" t="str">
        <f t="shared" si="9"/>
        <v>NA</v>
      </c>
      <c r="F36" s="71">
        <f>-D36</f>
        <v>-150472.90999999997</v>
      </c>
      <c r="G36" s="81">
        <f>G31</f>
        <v>0.2495</v>
      </c>
      <c r="H36" s="71">
        <f t="shared" si="10"/>
        <v>-37543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8266382.5700000003</v>
      </c>
      <c r="E37" s="66">
        <f>SUM(E31:E36)</f>
        <v>0.65999999991618097</v>
      </c>
      <c r="F37" s="66">
        <f>SUM(F31:F36)</f>
        <v>-8266381.9100000001</v>
      </c>
      <c r="G37" s="36"/>
      <c r="H37" s="66">
        <f>SUM(H31:H36)</f>
        <v>-2062462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0"/>
  <sheetViews>
    <sheetView zoomScaleNormal="100" workbookViewId="0">
      <selection activeCell="C6" sqref="C6"/>
    </sheetView>
  </sheetViews>
  <sheetFormatPr defaultRowHeight="14.5" x14ac:dyDescent="0.35"/>
  <cols>
    <col min="1" max="1" width="14.453125" customWidth="1"/>
    <col min="2" max="2" width="18.54296875" bestFit="1" customWidth="1"/>
    <col min="3" max="4" width="12.7265625" customWidth="1"/>
    <col min="5" max="5" width="11.26953125" bestFit="1" customWidth="1"/>
    <col min="6" max="6" width="12.7265625" customWidth="1"/>
    <col min="7" max="7" width="12.453125" bestFit="1" customWidth="1"/>
    <col min="8" max="8" width="13.1796875" bestFit="1" customWidth="1"/>
    <col min="9" max="9" width="2.7265625" customWidth="1"/>
    <col min="10" max="10" width="10.7265625" customWidth="1"/>
    <col min="11" max="11" width="8.1796875" bestFit="1" customWidth="1"/>
    <col min="12" max="12" width="9.81640625" bestFit="1" customWidth="1"/>
    <col min="13" max="14" width="11.26953125" bestFit="1" customWidth="1"/>
    <col min="15" max="15" width="8.453125" bestFit="1" customWidth="1"/>
    <col min="16" max="16" width="11.26953125" bestFit="1" customWidth="1"/>
    <col min="17" max="17" width="2.7265625" customWidth="1"/>
    <col min="18" max="18" width="13.7265625" bestFit="1" customWidth="1"/>
  </cols>
  <sheetData>
    <row r="1" spans="1:18" x14ac:dyDescent="0.35">
      <c r="A1" s="15" t="s">
        <v>23</v>
      </c>
      <c r="B1" s="7">
        <v>2025</v>
      </c>
      <c r="R1" s="190" t="s">
        <v>237</v>
      </c>
    </row>
    <row r="2" spans="1:18" x14ac:dyDescent="0.35">
      <c r="A2" s="15" t="s">
        <v>44</v>
      </c>
      <c r="D2" s="10"/>
      <c r="F2" s="278" t="s">
        <v>32</v>
      </c>
      <c r="G2" s="278"/>
      <c r="H2" s="278"/>
      <c r="R2" s="190" t="s">
        <v>233</v>
      </c>
    </row>
    <row r="3" spans="1:18" x14ac:dyDescent="0.35">
      <c r="D3" s="11" t="s">
        <v>34</v>
      </c>
      <c r="G3" s="10"/>
      <c r="J3" s="11" t="s">
        <v>31</v>
      </c>
    </row>
    <row r="4" spans="1:18" x14ac:dyDescent="0.35">
      <c r="C4" s="11">
        <v>2025</v>
      </c>
      <c r="D4" s="11" t="s">
        <v>22</v>
      </c>
      <c r="F4" s="11"/>
      <c r="G4" s="11" t="s">
        <v>2</v>
      </c>
      <c r="H4" s="11"/>
      <c r="J4" s="11" t="s">
        <v>39</v>
      </c>
      <c r="O4" s="11" t="s">
        <v>59</v>
      </c>
      <c r="P4" s="11" t="s">
        <v>59</v>
      </c>
    </row>
    <row r="5" spans="1:18" x14ac:dyDescent="0.35">
      <c r="C5" s="105" t="s">
        <v>18</v>
      </c>
      <c r="D5" s="8">
        <v>1</v>
      </c>
      <c r="F5" s="105" t="s">
        <v>19</v>
      </c>
      <c r="G5" s="105" t="s">
        <v>14</v>
      </c>
      <c r="H5" s="105" t="s">
        <v>20</v>
      </c>
      <c r="J5" s="105" t="s">
        <v>40</v>
      </c>
      <c r="O5" s="105" t="s">
        <v>11</v>
      </c>
      <c r="P5" s="105" t="s">
        <v>13</v>
      </c>
    </row>
    <row r="6" spans="1:18" x14ac:dyDescent="0.35">
      <c r="A6">
        <v>1</v>
      </c>
      <c r="B6" t="s">
        <v>45</v>
      </c>
      <c r="C6" s="1">
        <f>'Schedule IV 2025'!H132*0.5</f>
        <v>3804646.4649999994</v>
      </c>
      <c r="D6" s="161">
        <f>('Sch II 2024 Yr 1'!D6+'Sch II 2025 Yr 2'!D6)/2</f>
        <v>3.015E-2</v>
      </c>
      <c r="F6" s="1">
        <v>0</v>
      </c>
      <c r="G6" s="13">
        <f>ROUND(IF(D$5=1,-D6*C6,-D6*C6),0)</f>
        <v>-114710</v>
      </c>
      <c r="H6" s="13">
        <f t="shared" ref="H6:H11" si="0">SUM(F6:G6)</f>
        <v>-114710</v>
      </c>
      <c r="J6" s="5">
        <f t="shared" ref="J6:J11" si="1">C6+H6</f>
        <v>3689936.4649999994</v>
      </c>
      <c r="O6" s="9">
        <v>1E-4</v>
      </c>
      <c r="P6" s="12">
        <f>ROUND(IF(D$5=1,-O6*C6,-O6*C6),0)</f>
        <v>-380</v>
      </c>
    </row>
    <row r="7" spans="1:18" x14ac:dyDescent="0.35">
      <c r="A7">
        <v>2</v>
      </c>
      <c r="B7" t="s">
        <v>0</v>
      </c>
      <c r="C7" s="1">
        <f>'Schedule IV 2025'!I132*0.05</f>
        <v>0</v>
      </c>
      <c r="D7" s="161">
        <f>('Sch II 2024 Yr 1'!D7+'Sch II 2025 Yr 2'!D7)/2</f>
        <v>3.1150000000000001E-2</v>
      </c>
      <c r="F7" s="1">
        <v>0</v>
      </c>
      <c r="G7" s="13">
        <f>ROUND(IF(D$5=1,-0.5*D7*C7,-D7*C7),0)</f>
        <v>0</v>
      </c>
      <c r="H7" s="13">
        <f t="shared" si="0"/>
        <v>0</v>
      </c>
      <c r="J7" s="5">
        <f t="shared" si="1"/>
        <v>0</v>
      </c>
      <c r="O7" s="9">
        <v>2.0000000000000001E-4</v>
      </c>
      <c r="P7" s="5">
        <f>ROUND(IF(D$5=1,-O7*C7,-O7*C7),0)</f>
        <v>0</v>
      </c>
    </row>
    <row r="8" spans="1:18" x14ac:dyDescent="0.35">
      <c r="A8">
        <v>3</v>
      </c>
      <c r="B8" t="s">
        <v>1</v>
      </c>
      <c r="C8" s="1">
        <f>'Schedule IV 2025'!J132*0.5</f>
        <v>390676.42499999999</v>
      </c>
      <c r="D8" s="161">
        <f>('Sch II 2024 Yr 1'!D8+'Sch II 2025 Yr 2'!D8)/2</f>
        <v>3.2199999999999999E-2</v>
      </c>
      <c r="F8" s="1">
        <v>0</v>
      </c>
      <c r="G8" s="13">
        <f>ROUND(IF(D$5=1,-D8*C8,-D8*C8),0)</f>
        <v>-12580</v>
      </c>
      <c r="H8" s="13">
        <f t="shared" si="0"/>
        <v>-12580</v>
      </c>
      <c r="J8" s="5">
        <f t="shared" si="1"/>
        <v>378096.42499999999</v>
      </c>
      <c r="O8" s="9">
        <v>4.1999999999999997E-3</v>
      </c>
      <c r="P8" s="5">
        <f>ROUND(IF(D$5=1,-O8*C8,-O8*C8),0)</f>
        <v>-1641</v>
      </c>
    </row>
    <row r="9" spans="1:18" x14ac:dyDescent="0.35">
      <c r="A9">
        <v>4</v>
      </c>
      <c r="B9" t="s">
        <v>16</v>
      </c>
      <c r="C9" s="1"/>
      <c r="D9" s="161">
        <v>2.2499999999999999E-2</v>
      </c>
      <c r="F9" s="1">
        <v>0</v>
      </c>
      <c r="G9" s="13">
        <f>ROUND(IF(D$5=1,-0.5*D9*C9,-D9*C9),0)</f>
        <v>0</v>
      </c>
      <c r="H9" s="13">
        <f t="shared" si="0"/>
        <v>0</v>
      </c>
      <c r="J9" s="5">
        <f t="shared" si="1"/>
        <v>0</v>
      </c>
      <c r="O9" s="9">
        <v>0</v>
      </c>
      <c r="P9" s="5">
        <f>IF(D$5=1,-0.5*O9*C9,-O9*C9)</f>
        <v>0</v>
      </c>
    </row>
    <row r="10" spans="1:18" x14ac:dyDescent="0.35">
      <c r="A10">
        <v>5</v>
      </c>
      <c r="B10" t="s">
        <v>15</v>
      </c>
      <c r="C10" s="1"/>
      <c r="D10" s="161">
        <v>2.0500000000000001E-2</v>
      </c>
      <c r="F10" s="1">
        <v>0</v>
      </c>
      <c r="G10" s="13">
        <f>ROUND(IF(D$5=1,-0.5*D10*C10,-D10*C10),0)</f>
        <v>0</v>
      </c>
      <c r="H10" s="13">
        <f t="shared" si="0"/>
        <v>0</v>
      </c>
      <c r="J10" s="5">
        <f t="shared" si="1"/>
        <v>0</v>
      </c>
      <c r="O10" s="9">
        <v>0</v>
      </c>
      <c r="P10" s="5">
        <f>IF(D$5=1,-0.5*O10*C10,-O10*C10)</f>
        <v>0</v>
      </c>
    </row>
    <row r="11" spans="1:18" x14ac:dyDescent="0.35">
      <c r="A11">
        <v>6</v>
      </c>
      <c r="B11" t="s">
        <v>54</v>
      </c>
      <c r="C11" s="2">
        <f>'Schedule IV 2025'!G132*0.5</f>
        <v>107500</v>
      </c>
      <c r="D11" s="4" t="s">
        <v>53</v>
      </c>
      <c r="F11" s="2">
        <v>0</v>
      </c>
      <c r="G11" s="14">
        <f>P12</f>
        <v>-2021</v>
      </c>
      <c r="H11" s="14">
        <f t="shared" si="0"/>
        <v>-2021</v>
      </c>
      <c r="J11" s="6">
        <f t="shared" si="1"/>
        <v>105479</v>
      </c>
      <c r="O11" s="16">
        <v>0</v>
      </c>
      <c r="P11" s="6">
        <f>IF(D$5=1,-0.5*O11*C11,-O11*C11)</f>
        <v>0</v>
      </c>
    </row>
    <row r="12" spans="1:18" x14ac:dyDescent="0.35">
      <c r="C12" s="13">
        <f>SUM(C6:C11)</f>
        <v>4302822.8899999997</v>
      </c>
      <c r="D12" s="13"/>
      <c r="F12" s="1">
        <f>SUM(F5:F11)</f>
        <v>0</v>
      </c>
      <c r="G12" s="13">
        <f>SUM(G5:G11)</f>
        <v>-129311</v>
      </c>
      <c r="H12" s="13">
        <f>SUM(H5:H11)</f>
        <v>-129311</v>
      </c>
      <c r="J12" s="5">
        <f>SUM(J6:J11)</f>
        <v>4173511.8899999992</v>
      </c>
      <c r="O12" s="5"/>
      <c r="P12" s="12">
        <f>SUM(P5:P11)</f>
        <v>-2021</v>
      </c>
    </row>
    <row r="13" spans="1:18" x14ac:dyDescent="0.35">
      <c r="C13" s="13"/>
      <c r="D13" s="13"/>
      <c r="E13" s="13"/>
      <c r="F13" s="13"/>
      <c r="M13" s="11"/>
    </row>
    <row r="14" spans="1:18" x14ac:dyDescent="0.35">
      <c r="M14" s="11"/>
    </row>
    <row r="15" spans="1:18" x14ac:dyDescent="0.35">
      <c r="D15" s="11"/>
    </row>
    <row r="16" spans="1:18" x14ac:dyDescent="0.35">
      <c r="A16" s="36"/>
      <c r="B16" s="36"/>
      <c r="C16" s="36"/>
      <c r="D16" s="58" t="s">
        <v>26</v>
      </c>
      <c r="E16" s="36"/>
      <c r="F16" s="36"/>
      <c r="G16" s="63">
        <v>0</v>
      </c>
      <c r="H16" s="36"/>
      <c r="I16" s="36"/>
      <c r="J16" s="64"/>
      <c r="K16" s="58" t="s">
        <v>21</v>
      </c>
      <c r="L16" s="279" t="s">
        <v>33</v>
      </c>
      <c r="M16" s="279"/>
      <c r="N16" s="279"/>
      <c r="O16" s="279"/>
      <c r="P16" s="279"/>
      <c r="Q16" s="36"/>
      <c r="R16" s="58" t="s">
        <v>12</v>
      </c>
    </row>
    <row r="17" spans="1:18" x14ac:dyDescent="0.35">
      <c r="A17" s="36"/>
      <c r="B17" s="36"/>
      <c r="C17" s="58" t="s">
        <v>31</v>
      </c>
      <c r="D17" s="58" t="s">
        <v>14</v>
      </c>
      <c r="E17" s="58" t="s">
        <v>12</v>
      </c>
      <c r="F17" s="58" t="s">
        <v>12</v>
      </c>
      <c r="G17" s="58" t="s">
        <v>25</v>
      </c>
      <c r="H17" s="58" t="s">
        <v>29</v>
      </c>
      <c r="I17" s="36"/>
      <c r="J17" s="58"/>
      <c r="K17" s="58" t="s">
        <v>24</v>
      </c>
      <c r="L17" s="58"/>
      <c r="M17" s="58" t="s">
        <v>12</v>
      </c>
      <c r="N17" s="58" t="s">
        <v>25</v>
      </c>
      <c r="O17" s="58" t="s">
        <v>21</v>
      </c>
      <c r="P17" s="58"/>
      <c r="Q17" s="36"/>
      <c r="R17" s="58" t="s">
        <v>39</v>
      </c>
    </row>
    <row r="18" spans="1:18" x14ac:dyDescent="0.35">
      <c r="A18" s="36"/>
      <c r="B18" s="36"/>
      <c r="C18" s="59" t="s">
        <v>18</v>
      </c>
      <c r="D18" s="59" t="s">
        <v>27</v>
      </c>
      <c r="E18" s="59" t="s">
        <v>14</v>
      </c>
      <c r="F18" s="59" t="s">
        <v>28</v>
      </c>
      <c r="G18" s="59" t="s">
        <v>2</v>
      </c>
      <c r="H18" s="59" t="s">
        <v>30</v>
      </c>
      <c r="I18" s="36"/>
      <c r="J18" s="59" t="s">
        <v>17</v>
      </c>
      <c r="K18" s="59">
        <f>D5</f>
        <v>1</v>
      </c>
      <c r="L18" s="59" t="s">
        <v>19</v>
      </c>
      <c r="M18" s="59" t="s">
        <v>14</v>
      </c>
      <c r="N18" s="59" t="s">
        <v>13</v>
      </c>
      <c r="O18" s="59" t="s">
        <v>13</v>
      </c>
      <c r="P18" s="59" t="s">
        <v>20</v>
      </c>
      <c r="Q18" s="36"/>
      <c r="R18" s="59" t="s">
        <v>40</v>
      </c>
    </row>
    <row r="19" spans="1:18" x14ac:dyDescent="0.35">
      <c r="A19" s="36">
        <v>7</v>
      </c>
      <c r="B19" s="36" t="s">
        <v>45</v>
      </c>
      <c r="C19" s="50">
        <f t="shared" ref="C19:C24" si="2">C6</f>
        <v>3804646.4649999994</v>
      </c>
      <c r="D19" s="137">
        <v>1</v>
      </c>
      <c r="E19" s="50">
        <f>ROUND(C19*-D19,0)</f>
        <v>-3804646</v>
      </c>
      <c r="F19" s="66">
        <f>C19+E19</f>
        <v>0.4649999993853271</v>
      </c>
      <c r="G19" s="66">
        <f t="shared" ref="G19:G24" si="3">ROUND(F19*-$G$16,0)</f>
        <v>0</v>
      </c>
      <c r="H19" s="67">
        <f t="shared" ref="H19:H24" si="4">F19+G19</f>
        <v>0.4649999993853271</v>
      </c>
      <c r="I19" s="36"/>
      <c r="J19" s="36">
        <v>20</v>
      </c>
      <c r="K19" s="68">
        <f>IFERROR(VLOOKUP(J19,'Tax Rates'!$A$1:$AA$12,$K$18+1,FALSE),0)</f>
        <v>3.7499999999999999E-2</v>
      </c>
      <c r="L19" s="69">
        <v>0</v>
      </c>
      <c r="M19" s="66">
        <f t="shared" ref="M19:M24" si="5">E19</f>
        <v>-3804646</v>
      </c>
      <c r="N19" s="66">
        <f t="shared" ref="N19:N24" si="6">G19</f>
        <v>0</v>
      </c>
      <c r="O19" s="50">
        <f>ROUND(K19*-H19,0)</f>
        <v>0</v>
      </c>
      <c r="P19" s="70">
        <f t="shared" ref="P19:P24" si="7">SUM(L19:O19)</f>
        <v>-3804646</v>
      </c>
      <c r="Q19" s="36"/>
      <c r="R19" s="66">
        <f>C19+P19</f>
        <v>0.4649999993853271</v>
      </c>
    </row>
    <row r="20" spans="1:18" x14ac:dyDescent="0.35">
      <c r="A20" s="36">
        <v>8</v>
      </c>
      <c r="B20" s="36" t="s">
        <v>0</v>
      </c>
      <c r="C20" s="55">
        <f t="shared" si="2"/>
        <v>0</v>
      </c>
      <c r="D20" s="137">
        <v>1</v>
      </c>
      <c r="E20" s="50">
        <f>ROUND(C20*-D20,0)</f>
        <v>0</v>
      </c>
      <c r="F20" s="66">
        <f>C20+E20</f>
        <v>0</v>
      </c>
      <c r="G20" s="66">
        <f t="shared" si="3"/>
        <v>0</v>
      </c>
      <c r="H20" s="67">
        <f t="shared" si="4"/>
        <v>0</v>
      </c>
      <c r="I20" s="36"/>
      <c r="J20" s="36">
        <v>15</v>
      </c>
      <c r="K20" s="68">
        <f>IFERROR(VLOOKUP(J20,'Tax Rates'!$A$1:$AA$12,$K$18+1,FALSE),0)</f>
        <v>0.05</v>
      </c>
      <c r="L20" s="69">
        <v>0</v>
      </c>
      <c r="M20" s="66">
        <f t="shared" si="5"/>
        <v>0</v>
      </c>
      <c r="N20" s="66">
        <f t="shared" si="6"/>
        <v>0</v>
      </c>
      <c r="O20" s="50">
        <f>ROUND(K20*-H20,0)</f>
        <v>0</v>
      </c>
      <c r="P20" s="70">
        <f t="shared" si="7"/>
        <v>0</v>
      </c>
      <c r="Q20" s="36"/>
      <c r="R20" s="66">
        <f>C20+P20</f>
        <v>0</v>
      </c>
    </row>
    <row r="21" spans="1:18" x14ac:dyDescent="0.35">
      <c r="A21" s="36">
        <v>9</v>
      </c>
      <c r="B21" s="36" t="s">
        <v>1</v>
      </c>
      <c r="C21" s="55">
        <f t="shared" si="2"/>
        <v>390676.42499999999</v>
      </c>
      <c r="D21" s="138">
        <v>1</v>
      </c>
      <c r="E21" s="50">
        <f>ROUND(C21*-D21,0)</f>
        <v>-390676</v>
      </c>
      <c r="F21" s="66">
        <f>C21+E21</f>
        <v>0.42499999998835847</v>
      </c>
      <c r="G21" s="66">
        <f t="shared" si="3"/>
        <v>0</v>
      </c>
      <c r="H21" s="67">
        <f t="shared" si="4"/>
        <v>0.42499999998835847</v>
      </c>
      <c r="I21" s="36"/>
      <c r="J21" s="36">
        <v>20</v>
      </c>
      <c r="K21" s="68">
        <f>IFERROR(VLOOKUP(J21,'Tax Rates'!$A$1:$AA$12,$K$18+1,FALSE),0)</f>
        <v>3.7499999999999999E-2</v>
      </c>
      <c r="L21" s="69">
        <v>0</v>
      </c>
      <c r="M21" s="66">
        <f t="shared" si="5"/>
        <v>-390676</v>
      </c>
      <c r="N21" s="66">
        <f t="shared" si="6"/>
        <v>0</v>
      </c>
      <c r="O21" s="50">
        <f>ROUND(K21*-H21,0)</f>
        <v>0</v>
      </c>
      <c r="P21" s="70">
        <f t="shared" si="7"/>
        <v>-390676</v>
      </c>
      <c r="Q21" s="36"/>
      <c r="R21" s="66">
        <f>C21+P21</f>
        <v>0.42499999998835847</v>
      </c>
    </row>
    <row r="22" spans="1:18" x14ac:dyDescent="0.35">
      <c r="A22" s="36">
        <v>10</v>
      </c>
      <c r="B22" s="36" t="s">
        <v>16</v>
      </c>
      <c r="C22" s="55">
        <f t="shared" si="2"/>
        <v>0</v>
      </c>
      <c r="D22" s="65">
        <v>0</v>
      </c>
      <c r="E22" s="50">
        <f t="shared" ref="E22:E24" si="8">ROUND(C22*-D22,0)</f>
        <v>0</v>
      </c>
      <c r="F22" s="66">
        <f>C22+E22</f>
        <v>0</v>
      </c>
      <c r="G22" s="66">
        <f t="shared" si="3"/>
        <v>0</v>
      </c>
      <c r="H22" s="67">
        <f t="shared" si="4"/>
        <v>0</v>
      </c>
      <c r="I22" s="36"/>
      <c r="J22" s="36">
        <v>7</v>
      </c>
      <c r="K22" s="68">
        <f>IFERROR(VLOOKUP(J22,'Tax Rates'!$A$1:$AA$12,$K$18+1,FALSE),0)</f>
        <v>0.1429</v>
      </c>
      <c r="L22" s="69">
        <v>0</v>
      </c>
      <c r="M22" s="66">
        <f t="shared" si="5"/>
        <v>0</v>
      </c>
      <c r="N22" s="66">
        <f t="shared" si="6"/>
        <v>0</v>
      </c>
      <c r="O22" s="50">
        <f>ROUND(K22*-H22,0)</f>
        <v>0</v>
      </c>
      <c r="P22" s="70">
        <f t="shared" si="7"/>
        <v>0</v>
      </c>
      <c r="Q22" s="36"/>
      <c r="R22" s="66">
        <f>C22+P22</f>
        <v>0</v>
      </c>
    </row>
    <row r="23" spans="1:18" x14ac:dyDescent="0.35">
      <c r="A23" s="36">
        <v>11</v>
      </c>
      <c r="B23" s="36" t="s">
        <v>15</v>
      </c>
      <c r="C23" s="55">
        <f t="shared" si="2"/>
        <v>0</v>
      </c>
      <c r="D23" s="65">
        <v>0</v>
      </c>
      <c r="E23" s="50">
        <f t="shared" si="8"/>
        <v>0</v>
      </c>
      <c r="F23" s="66">
        <f>C23+E23</f>
        <v>0</v>
      </c>
      <c r="G23" s="66">
        <f t="shared" si="3"/>
        <v>0</v>
      </c>
      <c r="H23" s="67">
        <f t="shared" si="4"/>
        <v>0</v>
      </c>
      <c r="I23" s="36"/>
      <c r="J23" s="36">
        <v>15</v>
      </c>
      <c r="K23" s="68">
        <f>IFERROR(VLOOKUP(J23,'Tax Rates'!$A$1:$AA$12,$K$18+1,FALSE),0)</f>
        <v>0.05</v>
      </c>
      <c r="L23" s="69">
        <v>0</v>
      </c>
      <c r="M23" s="66">
        <f t="shared" si="5"/>
        <v>0</v>
      </c>
      <c r="N23" s="66">
        <f t="shared" si="6"/>
        <v>0</v>
      </c>
      <c r="O23" s="50">
        <f>ROUND(K23*-H23,0)</f>
        <v>0</v>
      </c>
      <c r="P23" s="70">
        <f t="shared" si="7"/>
        <v>0</v>
      </c>
      <c r="Q23" s="36"/>
      <c r="R23" s="66">
        <f>C23+P23</f>
        <v>0</v>
      </c>
    </row>
    <row r="24" spans="1:18" x14ac:dyDescent="0.35">
      <c r="A24" s="36">
        <v>12</v>
      </c>
      <c r="B24" s="36" t="s">
        <v>54</v>
      </c>
      <c r="C24" s="52">
        <f t="shared" si="2"/>
        <v>107500</v>
      </c>
      <c r="D24" s="220">
        <v>1</v>
      </c>
      <c r="E24" s="52">
        <f t="shared" si="8"/>
        <v>-107500</v>
      </c>
      <c r="F24" s="71">
        <v>0</v>
      </c>
      <c r="G24" s="71">
        <f t="shared" si="3"/>
        <v>0</v>
      </c>
      <c r="H24" s="72">
        <f t="shared" si="4"/>
        <v>0</v>
      </c>
      <c r="I24" s="36"/>
      <c r="J24" s="29" t="s">
        <v>55</v>
      </c>
      <c r="K24" s="73" t="s">
        <v>55</v>
      </c>
      <c r="L24" s="74">
        <v>0</v>
      </c>
      <c r="M24" s="71">
        <f t="shared" si="5"/>
        <v>-107500</v>
      </c>
      <c r="N24" s="75">
        <f t="shared" si="6"/>
        <v>0</v>
      </c>
      <c r="O24" s="52">
        <v>0</v>
      </c>
      <c r="P24" s="76">
        <f t="shared" si="7"/>
        <v>-107500</v>
      </c>
      <c r="Q24" s="36"/>
      <c r="R24" s="77" t="s">
        <v>55</v>
      </c>
    </row>
    <row r="25" spans="1:18" x14ac:dyDescent="0.35">
      <c r="A25" s="36"/>
      <c r="B25" s="36"/>
      <c r="C25" s="50">
        <f>SUM(C18:C24)</f>
        <v>4302822.8899999997</v>
      </c>
      <c r="D25" s="36"/>
      <c r="E25" s="50">
        <f>SUM(E19:E24)</f>
        <v>-4302822</v>
      </c>
      <c r="F25" s="50">
        <f>SUM(F19:F24)</f>
        <v>0.88999999937368557</v>
      </c>
      <c r="G25" s="50">
        <f>SUM(G19:G24)</f>
        <v>0</v>
      </c>
      <c r="H25" s="70">
        <f>SUM(H19:H24)</f>
        <v>0.88999999937368557</v>
      </c>
      <c r="I25" s="36"/>
      <c r="J25" s="36"/>
      <c r="K25" s="36"/>
      <c r="L25" s="70">
        <f>SUM(L19:L24)</f>
        <v>0</v>
      </c>
      <c r="M25" s="50">
        <f>SUM(M19:M24)</f>
        <v>-4302822</v>
      </c>
      <c r="N25" s="50">
        <f>SUM(N19:N24)</f>
        <v>0</v>
      </c>
      <c r="O25" s="50">
        <f>SUM(O19:O24)</f>
        <v>0</v>
      </c>
      <c r="P25" s="70">
        <f>SUM(P19:P24)</f>
        <v>-4302822</v>
      </c>
      <c r="Q25" s="36"/>
      <c r="R25" s="66">
        <f>SUM(R19:R24)</f>
        <v>0.88999999937368557</v>
      </c>
    </row>
    <row r="26" spans="1:18" x14ac:dyDescent="0.35">
      <c r="A26" s="36"/>
      <c r="B26" s="36"/>
      <c r="C26" s="50"/>
      <c r="D26" s="36"/>
      <c r="E26" s="50"/>
      <c r="F26" s="50"/>
      <c r="G26" s="50"/>
      <c r="H26" s="70"/>
      <c r="I26" s="36"/>
      <c r="J26" s="70"/>
      <c r="K26" s="50"/>
      <c r="L26" s="50"/>
      <c r="M26" s="50"/>
      <c r="N26" s="70"/>
      <c r="O26" s="36"/>
      <c r="P26" s="36"/>
      <c r="Q26" s="36"/>
      <c r="R26" s="36"/>
    </row>
    <row r="27" spans="1:18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35">
      <c r="A28" s="36"/>
      <c r="B28" s="36"/>
      <c r="C28" s="36"/>
      <c r="D28" s="36"/>
      <c r="E28" s="50"/>
      <c r="F28" s="58" t="s">
        <v>46</v>
      </c>
      <c r="G28" s="78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35">
      <c r="A29" s="36"/>
      <c r="B29" s="36"/>
      <c r="C29" s="36"/>
      <c r="D29" s="279" t="s">
        <v>35</v>
      </c>
      <c r="E29" s="279"/>
      <c r="F29" s="58" t="s">
        <v>37</v>
      </c>
      <c r="G29" s="58" t="s">
        <v>52</v>
      </c>
      <c r="H29" s="58" t="s">
        <v>36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35">
      <c r="A30" s="36"/>
      <c r="B30" s="36"/>
      <c r="C30" s="36"/>
      <c r="D30" s="59" t="s">
        <v>31</v>
      </c>
      <c r="E30" s="59" t="s">
        <v>12</v>
      </c>
      <c r="F30" s="59" t="s">
        <v>38</v>
      </c>
      <c r="G30" s="59" t="s">
        <v>11</v>
      </c>
      <c r="H30" s="59" t="s">
        <v>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5">
      <c r="A31" s="36">
        <v>13</v>
      </c>
      <c r="B31" s="36" t="s">
        <v>45</v>
      </c>
      <c r="C31" s="36"/>
      <c r="D31" s="66">
        <f t="shared" ref="D31:D36" si="9">J6</f>
        <v>3689936.4649999994</v>
      </c>
      <c r="E31" s="66">
        <f t="shared" ref="E31:E36" si="10">R19</f>
        <v>0.4649999993853271</v>
      </c>
      <c r="F31" s="66">
        <f>E31-D31</f>
        <v>-3689936</v>
      </c>
      <c r="G31" s="80">
        <v>0.2495</v>
      </c>
      <c r="H31" s="66">
        <f>ROUND(F31*G31,0)</f>
        <v>-920639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35">
      <c r="A32" s="36">
        <v>14</v>
      </c>
      <c r="B32" s="36" t="s">
        <v>0</v>
      </c>
      <c r="C32" s="36"/>
      <c r="D32" s="66">
        <f t="shared" si="9"/>
        <v>0</v>
      </c>
      <c r="E32" s="66">
        <f t="shared" si="10"/>
        <v>0</v>
      </c>
      <c r="F32" s="66">
        <f>E32-D32</f>
        <v>0</v>
      </c>
      <c r="G32" s="79">
        <f>G31</f>
        <v>0.2495</v>
      </c>
      <c r="H32" s="66">
        <f t="shared" ref="H32:H36" si="11">ROUND(F32*G32,0)</f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35">
      <c r="A33" s="36">
        <v>15</v>
      </c>
      <c r="B33" s="36" t="s">
        <v>1</v>
      </c>
      <c r="C33" s="36"/>
      <c r="D33" s="66">
        <f t="shared" si="9"/>
        <v>378096.42499999999</v>
      </c>
      <c r="E33" s="66">
        <f t="shared" si="10"/>
        <v>0.42499999998835847</v>
      </c>
      <c r="F33" s="66">
        <f>E33-D33</f>
        <v>-378096</v>
      </c>
      <c r="G33" s="79">
        <f>G31</f>
        <v>0.2495</v>
      </c>
      <c r="H33" s="66">
        <f t="shared" si="11"/>
        <v>-94335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35">
      <c r="A34" s="36">
        <v>16</v>
      </c>
      <c r="B34" s="36" t="s">
        <v>16</v>
      </c>
      <c r="C34" s="36"/>
      <c r="D34" s="66">
        <f t="shared" si="9"/>
        <v>0</v>
      </c>
      <c r="E34" s="66">
        <f t="shared" si="10"/>
        <v>0</v>
      </c>
      <c r="F34" s="66">
        <f>E34-D34</f>
        <v>0</v>
      </c>
      <c r="G34" s="79">
        <f>G31</f>
        <v>0.2495</v>
      </c>
      <c r="H34" s="66">
        <f t="shared" si="11"/>
        <v>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35">
      <c r="A35" s="36">
        <v>17</v>
      </c>
      <c r="B35" s="36" t="s">
        <v>15</v>
      </c>
      <c r="C35" s="36"/>
      <c r="D35" s="66">
        <f t="shared" si="9"/>
        <v>0</v>
      </c>
      <c r="E35" s="66">
        <f t="shared" si="10"/>
        <v>0</v>
      </c>
      <c r="F35" s="66">
        <f>E35-D35</f>
        <v>0</v>
      </c>
      <c r="G35" s="79">
        <f>G31</f>
        <v>0.2495</v>
      </c>
      <c r="H35" s="66">
        <f t="shared" si="11"/>
        <v>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35">
      <c r="A36" s="36">
        <v>18</v>
      </c>
      <c r="B36" s="36" t="s">
        <v>54</v>
      </c>
      <c r="C36" s="36"/>
      <c r="D36" s="71">
        <f t="shared" si="9"/>
        <v>105479</v>
      </c>
      <c r="E36" s="77" t="str">
        <f t="shared" si="10"/>
        <v>NA</v>
      </c>
      <c r="F36" s="71">
        <f>-D36</f>
        <v>-105479</v>
      </c>
      <c r="G36" s="81">
        <f>G31</f>
        <v>0.2495</v>
      </c>
      <c r="H36" s="71">
        <f t="shared" si="11"/>
        <v>-26317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35">
      <c r="A37" s="36"/>
      <c r="B37" s="36"/>
      <c r="C37" s="36"/>
      <c r="D37" s="66">
        <f>SUM(D31:D36)</f>
        <v>4173511.8899999992</v>
      </c>
      <c r="E37" s="66">
        <f>SUM(E31:E36)</f>
        <v>0.88999999937368557</v>
      </c>
      <c r="F37" s="66">
        <f>SUM(F31:F36)</f>
        <v>-4173511</v>
      </c>
      <c r="G37" s="36"/>
      <c r="H37" s="66">
        <f>SUM(H31:H36)</f>
        <v>-1041291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9" spans="1:18" x14ac:dyDescent="0.35">
      <c r="A39" s="8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35">
      <c r="A40" s="8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</sheetData>
  <mergeCells count="3">
    <mergeCell ref="F2:H2"/>
    <mergeCell ref="L16:P16"/>
    <mergeCell ref="D29:E29"/>
  </mergeCells>
  <pageMargins left="0.7" right="0.7" top="0.75" bottom="0.75" header="0.3" footer="0.3"/>
  <pageSetup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8528136648D4D8968E5872081A263" ma:contentTypeVersion="17" ma:contentTypeDescription="Create a new document." ma:contentTypeScope="" ma:versionID="ee4736b27c23f66f2fa4d23f6c209d1b">
  <xsd:schema xmlns:xsd="http://www.w3.org/2001/XMLSchema" xmlns:xs="http://www.w3.org/2001/XMLSchema" xmlns:p="http://schemas.microsoft.com/office/2006/metadata/properties" xmlns:ns2="28d7d2f3-27e7-4f6a-8ecf-2b38431ddf24" xmlns:ns3="60286e02-0208-42e7-a153-a32c68c2dac1" targetNamespace="http://schemas.microsoft.com/office/2006/metadata/properties" ma:root="true" ma:fieldsID="d8d796fed4b282aa647d03f0bb4deb12" ns2:_="" ns3:_="">
    <xsd:import namespace="28d7d2f3-27e7-4f6a-8ecf-2b38431ddf24"/>
    <xsd:import namespace="60286e02-0208-42e7-a153-a32c68c2da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d2f3-27e7-4f6a-8ecf-2b38431dd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5a8831d-ba56-4e5a-b85b-be0866b5a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86e02-0208-42e7-a153-a32c68c2d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c56c64-b48f-41a0-b146-b55ea1c1370b}" ma:internalName="TaxCatchAll" ma:showField="CatchAllData" ma:web="60286e02-0208-42e7-a153-a32c68c2d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7d2f3-27e7-4f6a-8ecf-2b38431ddf24">
      <Terms xmlns="http://schemas.microsoft.com/office/infopath/2007/PartnerControls"/>
    </lcf76f155ced4ddcb4097134ff3c332f>
    <TaxCatchAll xmlns="60286e02-0208-42e7-a153-a32c68c2dac1" xsi:nil="true"/>
  </documentManagement>
</p:properties>
</file>

<file path=customXml/itemProps1.xml><?xml version="1.0" encoding="utf-8"?>
<ds:datastoreItem xmlns:ds="http://schemas.openxmlformats.org/officeDocument/2006/customXml" ds:itemID="{0931699B-4FE6-401A-BE04-BB0192DAF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7d2f3-27e7-4f6a-8ecf-2b38431ddf24"/>
    <ds:schemaRef ds:uri="60286e02-0208-42e7-a153-a32c68c2d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EA6FFA-2A45-44D0-89C8-C687A2CBE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5009F-3C0F-41D0-A129-3F48F41B6AB2}">
  <ds:schemaRefs>
    <ds:schemaRef ds:uri="http://schemas.microsoft.com/office/2006/metadata/properties"/>
    <ds:schemaRef ds:uri="http://schemas.microsoft.com/office/infopath/2007/PartnerControls"/>
    <ds:schemaRef ds:uri="28d7d2f3-27e7-4f6a-8ecf-2b38431ddf24"/>
    <ds:schemaRef ds:uri="60286e02-0208-42e7-a153-a32c68c2da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Sch I Summary</vt:lpstr>
      <vt:lpstr>Sch II 2023 Yr 1</vt:lpstr>
      <vt:lpstr>Sch II 2023 Yr 2</vt:lpstr>
      <vt:lpstr>Sch II 2023 Yr 3</vt:lpstr>
      <vt:lpstr>Sch II 2023 Yr 4</vt:lpstr>
      <vt:lpstr>Sch II 2024 Yr 1</vt:lpstr>
      <vt:lpstr>Sch II 2024 Yr 2</vt:lpstr>
      <vt:lpstr>Sch II 2024 Yr 3</vt:lpstr>
      <vt:lpstr>Sch II 2025 Yr 1</vt:lpstr>
      <vt:lpstr>Sch II 2025 Yr 2</vt:lpstr>
      <vt:lpstr>Sch II 2026 Yr 1</vt:lpstr>
      <vt:lpstr>Schedule III</vt:lpstr>
      <vt:lpstr>Schedule IV 2023 Monthly</vt:lpstr>
      <vt:lpstr>Schedule IV 2024 Monthly</vt:lpstr>
      <vt:lpstr>Schedule IV 2025</vt:lpstr>
      <vt:lpstr>Schedule IV 2026</vt:lpstr>
      <vt:lpstr>Schedule VI</vt:lpstr>
      <vt:lpstr>Schedule VII</vt:lpstr>
      <vt:lpstr>Schedule VIII</vt:lpstr>
      <vt:lpstr>Schedule IX</vt:lpstr>
      <vt:lpstr>Tax Rates</vt:lpstr>
      <vt:lpstr>'Schedule III'!Print_Area</vt:lpstr>
      <vt:lpstr>'Schedule IV 2025'!Print_Area</vt:lpstr>
      <vt:lpstr>'Schedule IV 2026'!Print_Area</vt:lpstr>
      <vt:lpstr>'Schedule IX'!Print_Area</vt:lpstr>
      <vt:lpstr>'Schedule IV 2025'!Print_Titles</vt:lpstr>
      <vt:lpstr>'Schedule IV 2026'!Print_Titles</vt:lpstr>
      <vt:lpstr>'Schedule IX'!Print_Titles</vt:lpstr>
      <vt:lpstr>'Schedule VI'!Print_Titles</vt:lpstr>
    </vt:vector>
  </TitlesOfParts>
  <Company>Delta Natural Gas Company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Wesolosky</dc:creator>
  <cp:lastModifiedBy>Monica H. Braun</cp:lastModifiedBy>
  <cp:lastPrinted>2025-10-08T14:45:36Z</cp:lastPrinted>
  <dcterms:created xsi:type="dcterms:W3CDTF">2010-04-18T23:26:28Z</dcterms:created>
  <dcterms:modified xsi:type="dcterms:W3CDTF">2025-10-15T00:46:25Z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2026 PRP Filing Estimate.xlsx</vt:lpwstr>
  </property>
  <property fmtid="{D5CDD505-2E9C-101B-9397-08002B2CF9AE}" pid="3" name="MediaServiceImageTags">
    <vt:lpwstr/>
  </property>
  <property fmtid="{D5CDD505-2E9C-101B-9397-08002B2CF9AE}" pid="4" name="ContentTypeId">
    <vt:lpwstr>0x0101002168528136648D4D8968E5872081A263</vt:lpwstr>
  </property>
</Properties>
</file>