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8DCC544B-D45C-4714-8940-40046DA571A6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8" l="1"/>
  <c r="E8" i="28"/>
  <c r="C44" i="11"/>
  <c r="C45" i="11"/>
  <c r="F17" i="11"/>
  <c r="F8" i="11"/>
  <c r="D8" i="11"/>
  <c r="F7" i="11"/>
  <c r="D7" i="11"/>
  <c r="I12" i="28"/>
  <c r="E12" i="28"/>
  <c r="K33" i="28"/>
  <c r="K20" i="28"/>
  <c r="K19" i="28"/>
  <c r="F12" i="4"/>
  <c r="F11" i="4"/>
  <c r="F7" i="4"/>
  <c r="C25" i="32"/>
  <c r="J11" i="15" l="1"/>
  <c r="J57" i="6" l="1"/>
  <c r="H25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l="1"/>
  <c r="F42" i="11"/>
  <c r="F56" i="8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<sst xmlns="http://schemas.openxmlformats.org/spreadsheetml/2006/main" count="641" uniqueCount="279">
  <si>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</si>
  <si>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</si>
  <si>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</si>
  <si>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</si>
  <si>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</si>
  <si>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</si>
  <si>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</si>
  <si>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</si>
  <si>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</si>
  <si>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</si>
  <si>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</si>
  <si>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</si>
  <si>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</si>
  <si>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</si>
  <si>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</si>
  <si>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</si>
  <si>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</si>
  <si>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</si>
  <si>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</si>
  <si>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</si>
  <si>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</si>
  <si>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</si>
  <si>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</si>
  <si>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</si>
  <si>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</si>
  <si>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</si>
  <si>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</si>
  <si>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</si>
  <si>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</si>
  <si>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</si>
  <si>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</si>
  <si>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</si>
  <si>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</si>
  <si>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</si>
  <si>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</si>
  <si>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</si>
  <si>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</si>
  <si>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</si>
  <si>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</si>
  <si>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</si>
  <si>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</si>
  <si>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</si>
  <si>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</si>
  <si>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</si>
  <si>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</si>
  <si>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</si>
  <si>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</si>
  <si>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</si>
  <si>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</si>
  <si>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</si>
  <si>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</si>
  <si>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</si>
  <si>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</si>
  <si>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</si>
  <si>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</si>
  <si>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</si>
  <si>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</si>
  <si>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</si>
  <si>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</si>
  <si>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</si>
  <si>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</si>
  <si>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</si>
  <si>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</si>
  <si>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</si>
  <si>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</si>
  <si>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</si>
  <si>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</si>
  <si>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</si>
  <si>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</si>
  <si>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</si>
  <si>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</si>
  <si>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</si>
  <si>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</si>
  <si>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</si>
  <si>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</si>
  <si>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</si>
  <si>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</si>
  <si>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</si>
  <si>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</si>
  <si>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</si>
  <si>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</si>
  <si>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</si>
  <si>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</si>
  <si>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</si>
  <si>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</si>
  <si>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</si>
  <si>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</si>
  <si>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</si>
  <si>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</si>
  <si>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</si>
  <si>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</si>
  <si>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</si>
  <si>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</si>
  <si>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</si>
  <si>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</si>
  <si>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</si>
  <si>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</si>
  <si>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</si>
  <si>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</si>
  <si>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</si>
  <si>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</si>
  <si>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</si>
  <si>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</si>
  <si>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</si>
  <si>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</si>
  <si>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</si>
  <si>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</si>
  <si>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</si>
  <si>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</si>
  <si>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</si>
  <si>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</si>
  <si>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</si>
  <si>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</si>
  <si>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</si>
  <si>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</si>
  <si>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</si>
  <si>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</si>
  <si>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</si>
  <si>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</si>
  <si>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</si>
  <si>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</si>
  <si>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</si>
  <si>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</si>
  <si>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</si>
  <si>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</si>
  <si>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</si>
  <si>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</si>
  <si>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</si>
  <si>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</si>
  <si>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</si>
  <si>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</si>
  <si>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</si>
  <si>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</si>
  <si>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</si>
  <si>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</si>
  <si>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</si>
  <si>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</si>
  <si>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</si>
  <si>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</si>
  <si>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</si>
  <si>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</si>
  <si>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</si>
  <si>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</si>
  <si>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</si>
  <si>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</si>
  <si>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</si>
  <si>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</si>
  <si>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</si>
  <si>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</si>
  <si>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</si>
  <si>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</si>
  <si>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</si>
  <si>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</si>
  <si>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</si>
  <si>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</si>
  <si>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</si>
  <si>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</si>
  <si>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</si>
  <si>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</si>
  <si>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</si>
  <si>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</si>
  <si>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</si>
  <si>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</si>
  <si>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</si>
  <si>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</si>
  <si>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</si>
  <si>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</si>
  <si>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</si>
  <si>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</si>
  <si>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</si>
  <si>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</si>
  <si>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</si>
  <si>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</si>
  <si>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</si>
  <si>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</si>
  <si>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</si>
  <si>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</si>
  <si>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</si>
  <si>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</si>
  <si>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</si>
  <si>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</si>
  <si>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</si>
  <si>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</si>
  <si>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</si>
  <si>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</si>
  <si>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</si>
  <si>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</si>
  <si>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</si>
  <si>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</si>
  <si>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</si>
  <si>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</si>
  <si>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</si>
  <si>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</si>
  <si>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</si>
  <si>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</si>
  <si>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</si>
  <si>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</si>
  <si>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</si>
  <si>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</si>
  <si>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</si>
  <si>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</si>
  <si>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</si>
  <si>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</si>
  <si>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</si>
  <si>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</si>
  <si>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</si>
  <si>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</si>
  <si>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</si>
  <si>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</si>
  <si>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</si>
  <si>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</si>
  <si>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</si>
  <si>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</si>
  <si>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</si>
  <si>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</si>
  <si>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</si>
  <si>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</si>
  <si>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</si>
  <si>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</si>
  <si>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</si>
  <si>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</si>
  <si>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</si>
  <si>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</si>
  <si>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</si>
  <si>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</si>
  <si>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</si>
  <si>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</si>
  <si>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</si>
  <si>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</si>
  <si>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</si>
  <si>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</si>
  <si>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</si>
  <si>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</si>
  <si>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</si>
  <si>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</si>
  <si>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</si>
  <si>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</si>
  <si>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</si>
  <si>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</si>
  <si>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</si>
  <si>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</si>
  <si>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</si>
  <si>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</si>
  <si>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</si>
  <si>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</si>
  <si>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</si>
  <si>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</si>
  <si>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</si>
  <si>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</si>
  <si>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</si>
  <si>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</si>
  <si>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</si>
  <si>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</si>
  <si>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</si>
  <si>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</si>
  <si>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</si>
  <si>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</si>
  <si>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</si>
  <si>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</si>
  <si>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</si>
  <si>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</si>
  <si>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</si>
  <si>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</si>
  <si>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</si>
  <si>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</si>
  <si>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</si>
  <si>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</si>
  <si>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</si>
  <si>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</si>
  <si>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</si>
  <si>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</si>
  <si>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</si>
  <si>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2408 file =</t>
  </si>
  <si>
    <r>
      <t xml:space="preserve">Data Input Aug 24 billing =Aug invoices = July </t>
    </r>
    <r>
      <rPr>
        <b/>
        <u val="singleAccounting"/>
        <sz val="11"/>
        <color theme="1"/>
        <rFont val="Calibri"/>
        <family val="2"/>
        <scheme val="minor"/>
      </rPr>
      <t>Flow  data= July Sales Volume</t>
    </r>
  </si>
  <si>
    <t>BB 2408</t>
  </si>
  <si>
    <t>July.24 Usage</t>
  </si>
  <si>
    <t>Prior Month = June Usage</t>
  </si>
  <si>
    <t>Petrol Delta (Trans &amp; Supply) DTH</t>
  </si>
  <si>
    <t>Jellico - Petrol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</si>
</sst>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27</xdr:col>
      <xdr:colOff>29350</xdr:colOff>
      <xdr:row>36</xdr:row>
      <xdr:rowOff>58115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91497B-B787-4340-62A6-CAD974A1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0"/>
          <a:ext cx="5553850" cy="6916115"/>
        </a:xfrm>
        <a:prstGeom prst="rect">
          <a:avLst/>
        </a:prstGeom>
      </xdr:spPr>
    </xdr:pic>
    <xdr:clientData/>
  </xdr:twoCellAnchor>
  <xdr:twoCellAnchor editAs="oneCell">
    <xdr:from>
      <xdr:col>17</xdr:col>
      <xdr:colOff>592666</xdr:colOff>
      <xdr:row>36</xdr:row>
      <xdr:rowOff>42334</xdr:rowOff>
    </xdr:from>
    <xdr:to>
      <xdr:col>27</xdr:col>
      <xdr:colOff>65341</xdr:colOff>
      <xdr:row>73</xdr:row>
      <xdr:rowOff>33791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4B67D4-B605-63E6-7212-E217E607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8333" y="6900334"/>
          <a:ext cx="5611008" cy="7039957"/>
        </a:xfrm>
        <a:prstGeom prst="rect">
          <a:avLst/>
        </a:prstGeom>
      </xdr:spPr>
    </xdr:pic>
    <xdr:clientData/>
  </xdr:twoCellAnchor>
  <xdr:twoCellAnchor editAs="oneCell">
    <xdr:from>
      <xdr:col>17</xdr:col>
      <xdr:colOff>560916</xdr:colOff>
      <xdr:row>73</xdr:row>
      <xdr:rowOff>31750</xdr:rowOff>
    </xdr:from>
    <xdr:to>
      <xdr:col>27</xdr:col>
      <xdr:colOff>52644</xdr:colOff>
      <xdr:row>99</xdr:row>
      <xdr:rowOff>80073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CEB6A0-88CE-DE43-1F8A-A9DEBEF5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6583" y="13938250"/>
          <a:ext cx="5630061" cy="5001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20</xdr:col>
      <xdr:colOff>11287</xdr:colOff>
      <xdr:row>79</xdr:row>
      <xdr:rowOff>96061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11AA77-58A3-4FC7-B22B-08A1E4C33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2622387" cy="58110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</xdr:row>
      <xdr:rowOff>0</xdr:rowOff>
    </xdr:from>
    <xdr:to>
      <xdr:col>25</xdr:col>
      <xdr:colOff>87489</xdr:colOff>
      <xdr:row>62</xdr:row>
      <xdr:rowOff>152794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4D624E-C971-40FF-BC67-927213D3F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201150"/>
          <a:ext cx="12641439" cy="2819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27</xdr:col>
      <xdr:colOff>449437</xdr:colOff>
      <xdr:row>30</xdr:row>
      <xdr:rowOff>57318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B9338-2593-4867-ABDE-D1109B8C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610100"/>
          <a:ext cx="12622387" cy="1200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90" zoomScaleNormal="90" zoomScalePageLayoutView="64" workbookViewId="0">
      <pane xSplit="4" ySplit="4" topLeftCell="E39" activePane="bottomRight" state="frozen"/>
      <selection pane="topRight" activeCell="E1" sqref="E1"/>
      <selection pane="bottomLeft" activeCell="A5" sqref="A5"/>
      <selection pane="bottomRight" activeCell="F67" sqref="F67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Aug 24 billing =Aug invoices = July Flow  data= July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246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11054.27</v>
      </c>
      <c r="G7" s="56"/>
      <c r="H7" s="79">
        <f>F7</f>
        <v>11054.27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7385.58</v>
      </c>
      <c r="G8" s="56"/>
      <c r="H8" s="79"/>
      <c r="I8" s="8"/>
      <c r="J8" s="79">
        <f>F8</f>
        <v>7385.58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645.54</v>
      </c>
      <c r="G9" s="56"/>
      <c r="H9" s="79"/>
      <c r="I9" s="8"/>
      <c r="J9" s="79"/>
      <c r="K9" s="8"/>
      <c r="L9" s="79"/>
      <c r="M9" s="8"/>
      <c r="N9" s="79">
        <f>F9</f>
        <v>645.54</v>
      </c>
      <c r="P9" s="79"/>
    </row>
    <row r="10" spans="1:16" x14ac:dyDescent="0.25">
      <c r="C10" t="s">
        <v>3</v>
      </c>
      <c r="F10" s="112">
        <v>86802.32</v>
      </c>
      <c r="G10" s="56"/>
      <c r="H10" s="79"/>
      <c r="I10" s="8"/>
      <c r="J10" s="79"/>
      <c r="K10" s="8"/>
      <c r="L10" s="79">
        <f>F10</f>
        <v>86802.32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871.26</v>
      </c>
      <c r="G13" s="56"/>
      <c r="H13" s="79">
        <f>F13</f>
        <v>871.26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455.33</v>
      </c>
      <c r="G14" s="56"/>
      <c r="H14" s="79"/>
      <c r="I14" s="8"/>
      <c r="J14" s="79">
        <f>F14</f>
        <v>455.33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484.73</v>
      </c>
      <c r="G15" s="56"/>
      <c r="H15" s="79"/>
      <c r="I15" s="8"/>
      <c r="J15" s="79"/>
      <c r="K15" s="8"/>
      <c r="L15" s="79"/>
      <c r="M15" s="8"/>
      <c r="N15" s="79">
        <f>F15</f>
        <v>484.73</v>
      </c>
      <c r="P15" s="79"/>
    </row>
    <row r="16" spans="1:16" x14ac:dyDescent="0.25">
      <c r="C16" t="s">
        <v>7</v>
      </c>
      <c r="F16" s="112">
        <v>25433.67</v>
      </c>
      <c r="G16" s="56"/>
      <c r="H16" s="79"/>
      <c r="I16" s="8"/>
      <c r="J16" s="79"/>
      <c r="K16" s="8"/>
      <c r="L16" s="79">
        <f>F16</f>
        <v>25433.67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9715.67</v>
      </c>
      <c r="G18" s="56"/>
      <c r="H18" s="79"/>
      <c r="I18" s="8"/>
      <c r="J18" s="79"/>
      <c r="K18" s="8"/>
      <c r="L18" s="79">
        <f>F18</f>
        <v>9715.67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253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247</v>
      </c>
      <c r="F21" s="112">
        <v>463.51</v>
      </c>
      <c r="G21" s="56"/>
      <c r="H21" s="79"/>
      <c r="I21" s="8"/>
      <c r="J21" s="79"/>
      <c r="K21" s="8"/>
      <c r="L21" s="79"/>
      <c r="M21" s="8"/>
      <c r="N21" s="79"/>
      <c r="P21" s="79">
        <f>+F21</f>
        <v>463.51</v>
      </c>
    </row>
    <row r="22" spans="2:16" x14ac:dyDescent="0.25">
      <c r="C22" t="s">
        <v>248</v>
      </c>
      <c r="F22" s="112">
        <v>1500.76</v>
      </c>
      <c r="G22" s="56"/>
      <c r="H22" s="79"/>
      <c r="I22" s="8"/>
      <c r="J22" s="79"/>
      <c r="K22" s="8"/>
      <c r="L22" s="79"/>
      <c r="M22" s="8"/>
      <c r="N22" s="79"/>
      <c r="P22" s="79">
        <f>+F22</f>
        <v>1500.76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329.71</v>
      </c>
      <c r="G25" s="56"/>
      <c r="H25" s="79">
        <f>F25</f>
        <v>329.71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309.85000000000002</v>
      </c>
      <c r="G26" s="56"/>
      <c r="H26" s="79"/>
      <c r="I26" s="8"/>
      <c r="J26" s="79">
        <f>F26</f>
        <v>309.85000000000002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1066.58</v>
      </c>
      <c r="G27" s="56"/>
      <c r="H27" s="79"/>
      <c r="I27" s="8"/>
      <c r="J27" s="79"/>
      <c r="K27" s="8"/>
      <c r="L27" s="79"/>
      <c r="M27" s="8"/>
      <c r="N27" s="79">
        <f>F27</f>
        <v>1066.58</v>
      </c>
      <c r="P27" s="79"/>
    </row>
    <row r="28" spans="2:16" x14ac:dyDescent="0.25">
      <c r="C28" t="s">
        <v>117</v>
      </c>
      <c r="F28" s="112">
        <v>1627.92</v>
      </c>
      <c r="G28" s="56"/>
      <c r="H28" s="79"/>
      <c r="I28" s="8"/>
      <c r="J28" s="79"/>
      <c r="K28" s="8"/>
      <c r="L28" s="79">
        <f>F28</f>
        <v>1627.92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3127.61</v>
      </c>
      <c r="G31" s="56"/>
      <c r="H31" s="79"/>
      <c r="I31" s="8"/>
      <c r="J31" s="79"/>
      <c r="K31" s="8"/>
      <c r="L31" s="79">
        <f>F31</f>
        <v>3127.61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249</v>
      </c>
      <c r="F34" s="112">
        <v>133.44</v>
      </c>
      <c r="G34" s="56"/>
      <c r="H34" s="79"/>
      <c r="I34" s="8"/>
      <c r="J34" s="79"/>
      <c r="K34" s="8"/>
      <c r="L34" s="79"/>
      <c r="M34" s="8"/>
      <c r="N34" s="79"/>
      <c r="P34" s="79">
        <f>+F34</f>
        <v>133.44</v>
      </c>
    </row>
    <row r="35" spans="2:16" x14ac:dyDescent="0.25">
      <c r="C35" t="s">
        <v>250</v>
      </c>
      <c r="F35" s="112">
        <v>50</v>
      </c>
      <c r="G35" s="56"/>
      <c r="H35" s="79"/>
      <c r="I35" s="8"/>
      <c r="J35" s="79"/>
      <c r="K35" s="8"/>
      <c r="L35" s="79"/>
      <c r="M35" s="8"/>
      <c r="N35" s="79"/>
      <c r="P35" s="79">
        <f>+F35</f>
        <v>50</v>
      </c>
    </row>
    <row r="36" spans="2:16" x14ac:dyDescent="0.25">
      <c r="C36" t="s">
        <v>119</v>
      </c>
      <c r="F36" s="112">
        <v>352.17</v>
      </c>
      <c r="G36" s="56"/>
      <c r="H36" s="79">
        <f>F36</f>
        <v>352.17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2661.54</v>
      </c>
      <c r="G39" s="56"/>
      <c r="H39" s="79"/>
      <c r="I39" s="8"/>
      <c r="J39" s="79"/>
      <c r="K39" s="8"/>
      <c r="L39" s="79">
        <f>F39</f>
        <v>2661.54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17945.5</v>
      </c>
      <c r="G42" s="56"/>
      <c r="H42" s="79">
        <f>F42</f>
        <v>17945.5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244.08</v>
      </c>
      <c r="G43" s="56"/>
      <c r="H43" s="79"/>
      <c r="I43" s="8"/>
      <c r="J43" s="79">
        <f>F43</f>
        <v>244.08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15044.1</v>
      </c>
      <c r="G45" s="56"/>
      <c r="H45" s="79"/>
      <c r="I45" s="8"/>
      <c r="J45" s="79"/>
      <c r="K45" s="8"/>
      <c r="L45" s="79">
        <f>F45</f>
        <v>15044.1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222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223</v>
      </c>
      <c r="F48" s="112">
        <v>66</v>
      </c>
      <c r="G48" s="56"/>
      <c r="H48" s="79">
        <f>F48</f>
        <v>66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224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225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226</v>
      </c>
      <c r="F51" s="112">
        <v>1928.5</v>
      </c>
      <c r="G51" s="56"/>
      <c r="H51" s="79"/>
      <c r="I51" s="8"/>
      <c r="J51" s="79"/>
      <c r="K51" s="8"/>
      <c r="L51" s="79">
        <f>F51</f>
        <v>1928.5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227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228</v>
      </c>
      <c r="F54" s="112">
        <v>2796.51</v>
      </c>
      <c r="G54" s="56"/>
      <c r="H54" s="79">
        <f>F54</f>
        <v>2796.51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229</v>
      </c>
      <c r="F55" s="112">
        <v>522.36</v>
      </c>
      <c r="G55" s="56"/>
      <c r="H55" s="79"/>
      <c r="I55" s="8"/>
      <c r="J55" s="79">
        <f>F55</f>
        <v>522.36</v>
      </c>
      <c r="K55" s="8"/>
      <c r="L55" s="79"/>
      <c r="M55" s="8"/>
      <c r="N55" s="79"/>
      <c r="P55" s="79"/>
    </row>
    <row r="56" spans="1:16" x14ac:dyDescent="0.25">
      <c r="C56" t="s">
        <v>230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231</v>
      </c>
      <c r="F57" s="112">
        <v>27494.12</v>
      </c>
      <c r="G57" s="56"/>
      <c r="H57" s="79"/>
      <c r="I57" s="8"/>
      <c r="J57" s="79"/>
      <c r="K57" s="8"/>
      <c r="L57" s="79">
        <f>F57</f>
        <v>27494.12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220953.44000000003</v>
      </c>
      <c r="G59" s="57"/>
      <c r="H59" s="113">
        <f>SUM(H7:H57)</f>
        <v>33415.42</v>
      </c>
      <c r="I59" s="23"/>
      <c r="J59" s="113">
        <f>SUM(J7:J57)</f>
        <v>9112.18</v>
      </c>
      <c r="K59" s="23"/>
      <c r="L59" s="113">
        <f>SUM(L7:L57)</f>
        <v>173835.44999999998</v>
      </c>
      <c r="M59" s="23"/>
      <c r="N59" s="113">
        <f>SUM(N7:N57)</f>
        <v>2442.6799999999998</v>
      </c>
      <c r="P59" s="113">
        <f>SUM(P7:P57)</f>
        <v>2147.71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236</v>
      </c>
      <c r="P62" t="s">
        <v>235</v>
      </c>
    </row>
    <row r="63" spans="1:16" x14ac:dyDescent="0.25">
      <c r="D63" s="16" t="s">
        <v>159</v>
      </c>
      <c r="F63" s="115">
        <v>34290.400000000001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314380.00439291057</v>
      </c>
      <c r="P63" s="60">
        <f>+L59+'Allocation Charges'!L21</f>
        <v>314380.00439291057</v>
      </c>
    </row>
    <row r="64" spans="1:16" x14ac:dyDescent="0.25">
      <c r="B64" s="16"/>
      <c r="D64" t="s">
        <v>155</v>
      </c>
      <c r="F64" s="102">
        <f>+F59</f>
        <v>220953.44000000003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72890</v>
      </c>
      <c r="P64" s="60">
        <f>+H59+'Allocation Charges'!H21</f>
        <v>72884.03185308192</v>
      </c>
    </row>
    <row r="65" spans="4:16" x14ac:dyDescent="0.25">
      <c r="D65" t="s">
        <v>156</v>
      </c>
      <c r="F65" s="102">
        <f>+'Allocation Charges'!F21</f>
        <v>203457.51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27546</v>
      </c>
      <c r="P65" s="60">
        <f>+J59+'Allocation Charges'!J21</f>
        <v>27542.030262886725</v>
      </c>
    </row>
    <row r="66" spans="4:16" x14ac:dyDescent="0.25">
      <c r="D66" t="s">
        <v>50</v>
      </c>
      <c r="F66" s="102">
        <f>SUM(F63:F65)</f>
        <v>458701.35000000003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7461</v>
      </c>
      <c r="P66" s="60">
        <f>+N59+'Allocation Charges'!N21</f>
        <v>7457.1734911207441</v>
      </c>
    </row>
    <row r="67" spans="4:16" x14ac:dyDescent="0.25">
      <c r="D67" s="16" t="s">
        <v>157</v>
      </c>
      <c r="F67" s="115">
        <v>458701.35</v>
      </c>
      <c r="G67" s="8"/>
      <c r="H67" s="6" t="s">
        <v>163</v>
      </c>
      <c r="I67" s="8"/>
      <c r="J67" s="8"/>
      <c r="K67" s="8"/>
      <c r="L67" s="8" t="s">
        <v>246</v>
      </c>
      <c r="M67" s="8"/>
      <c r="N67" s="60">
        <f>+'NC Hydro'!F14</f>
        <v>2147.71</v>
      </c>
      <c r="P67" s="60">
        <f>+P59</f>
        <v>2147.71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234</v>
      </c>
      <c r="M68" s="8"/>
      <c r="N68" s="60">
        <f>SUM(N63:N67)</f>
        <v>424424.7143929106</v>
      </c>
      <c r="P68" s="60">
        <f>SUM(P63:P67)</f>
        <v>424410.95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-13.764392910525203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I15" sqref="I15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219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219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259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259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H18" sqref="H18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271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269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238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270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270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209</v>
      </c>
    </row>
    <row r="13" spans="1:13" x14ac:dyDescent="0.25">
      <c r="I13"/>
      <c r="J13" t="s">
        <v>185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264</v>
      </c>
      <c r="T13" s="24" t="s">
        <v>232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T32" sqref="T32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Aug 24 billing =Aug invoices = July Flow  data= July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260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42950.27-SUM('Direct Charges'!F25:F28)</f>
        <v>39616.21</v>
      </c>
      <c r="G7" s="8"/>
      <c r="H7" s="79">
        <f>F7*R$4</f>
        <v>7796.4639838652729</v>
      </c>
      <c r="I7" s="8"/>
      <c r="J7" s="79">
        <f>F7*R$5</f>
        <v>3640.555293342712</v>
      </c>
      <c r="K7" s="8"/>
      <c r="L7" s="79">
        <f>F7*R$6</f>
        <v>27312.988115051423</v>
      </c>
      <c r="M7" s="8"/>
      <c r="N7" s="79">
        <f>F7*R$7</f>
        <v>866.20260774059261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10356.98</v>
      </c>
      <c r="G8" s="8"/>
      <c r="H8" s="79">
        <f t="shared" ref="H8:H19" si="0">F8*R$4</f>
        <v>2038.2520577211437</v>
      </c>
      <c r="I8" s="8"/>
      <c r="J8" s="79">
        <f>F8*R$5</f>
        <v>951.76086662617661</v>
      </c>
      <c r="K8" s="8"/>
      <c r="L8" s="79">
        <f>F8*R$6</f>
        <v>7140.5132305141069</v>
      </c>
      <c r="M8" s="8"/>
      <c r="N8" s="79">
        <f>F8*R$7</f>
        <v>226.4538451385724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93103.14</v>
      </c>
      <c r="G10" s="8"/>
      <c r="H10" s="79">
        <f>IF(N10=2000,(F10-N10)*(R4/(R8-R7)),(F10*R4))</f>
        <v>18322.683512500724</v>
      </c>
      <c r="I10" s="8"/>
      <c r="J10" s="83">
        <f>IF(N10=2000,(F10-N10)*(R5/(R8-R7)),(F10*R5))</f>
        <v>8555.7686904887578</v>
      </c>
      <c r="K10" s="8"/>
      <c r="L10" s="83">
        <f>IF(N10=2000,(F10-N10)*(R6/(R8-R7)),(F10*R6))</f>
        <v>64189.001327839505</v>
      </c>
      <c r="M10" s="8"/>
      <c r="N10" s="83">
        <f>IF((F10*R$7&lt;2000),(2000),F10*R$7)</f>
        <v>2035.6864691710157</v>
      </c>
      <c r="O10" s="8"/>
      <c r="P10" s="8"/>
      <c r="Q10" s="8"/>
      <c r="U10" s="73"/>
    </row>
    <row r="11" spans="1:21" x14ac:dyDescent="0.25">
      <c r="B11" t="s">
        <v>20</v>
      </c>
      <c r="F11" s="112">
        <f>10251.01-SUM('Direct Charges'!F34:F39)</f>
        <v>6858.88</v>
      </c>
      <c r="G11" s="8"/>
      <c r="H11" s="79">
        <f t="shared" si="0"/>
        <v>1349.8265202464811</v>
      </c>
      <c r="I11" s="8"/>
      <c r="J11" s="79">
        <f>F11*R$5</f>
        <v>630.30087659577896</v>
      </c>
      <c r="K11" s="8"/>
      <c r="L11" s="79">
        <f>F11*R$6</f>
        <v>4728.7842002696343</v>
      </c>
      <c r="M11" s="8"/>
      <c r="N11" s="79">
        <f>F11*R$7</f>
        <v>149.96840288810557</v>
      </c>
      <c r="O11" s="8"/>
      <c r="U11" s="73"/>
    </row>
    <row r="12" spans="1:21" x14ac:dyDescent="0.25">
      <c r="B12" t="s">
        <v>21</v>
      </c>
      <c r="F12" s="155">
        <f>36993.25-SUM('Direct Charges'!F42:F45)</f>
        <v>3513.739999999998</v>
      </c>
      <c r="G12" s="8"/>
      <c r="H12" s="79">
        <f t="shared" si="0"/>
        <v>691.5034870490324</v>
      </c>
      <c r="I12" s="8"/>
      <c r="J12" s="79">
        <f>F12*R$5</f>
        <v>322.89723717715589</v>
      </c>
      <c r="K12" s="8"/>
      <c r="L12" s="79">
        <f>F12*R$6</f>
        <v>2422.5118672225517</v>
      </c>
      <c r="M12" s="8"/>
      <c r="N12" s="79">
        <f>F12*R$7</f>
        <v>76.827408551257889</v>
      </c>
      <c r="O12" s="8"/>
    </row>
    <row r="13" spans="1:21" x14ac:dyDescent="0.25">
      <c r="B13" t="s">
        <v>25</v>
      </c>
      <c r="F13" s="112">
        <v>21142.61</v>
      </c>
      <c r="G13" s="8"/>
      <c r="H13" s="79">
        <f t="shared" si="0"/>
        <v>4160.8623689623455</v>
      </c>
      <c r="I13" s="8"/>
      <c r="J13" s="79">
        <f>F13*R$5</f>
        <v>1942.912781171661</v>
      </c>
      <c r="K13" s="8"/>
      <c r="L13" s="79">
        <f>F13*R$6</f>
        <v>14576.554790353934</v>
      </c>
      <c r="M13" s="8"/>
      <c r="N13" s="79">
        <f>F13*R$7</f>
        <v>462.28005951206165</v>
      </c>
      <c r="O13" s="8"/>
    </row>
    <row r="14" spans="1:21" x14ac:dyDescent="0.25">
      <c r="B14" t="s">
        <v>26</v>
      </c>
      <c r="F14" s="112">
        <v>0</v>
      </c>
      <c r="G14" s="8"/>
      <c r="H14" s="79">
        <f>F14*R$4</f>
        <v>0</v>
      </c>
      <c r="I14" s="8"/>
      <c r="J14" s="79">
        <f>F14*R$5</f>
        <v>0</v>
      </c>
      <c r="K14" s="8"/>
      <c r="L14" s="79">
        <f>F14*R$6</f>
        <v>0</v>
      </c>
      <c r="M14" s="8"/>
      <c r="N14" s="79">
        <f>F14*R$7</f>
        <v>0</v>
      </c>
      <c r="O14" s="8"/>
    </row>
    <row r="15" spans="1:21" x14ac:dyDescent="0.25">
      <c r="B15" t="s">
        <v>27</v>
      </c>
      <c r="F15" s="112">
        <v>17576.63</v>
      </c>
      <c r="G15" s="8"/>
      <c r="H15" s="79">
        <f>IF(N15=1000,(F15-N15)*(R4/(R8-R7)),(F15*R4))</f>
        <v>3335.2019126240748</v>
      </c>
      <c r="I15" s="8"/>
      <c r="J15" s="83">
        <f>IF(N15=1000,(F15-N15)*(R5/(R8-R7)),(F15*R5))</f>
        <v>1557.3710085107903</v>
      </c>
      <c r="K15" s="8"/>
      <c r="L15" s="83">
        <f>IF(N15=1000,(F15-N15)*(R6/(R8-R7)),(F15*R6))</f>
        <v>11684.057078865137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194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3738.23</v>
      </c>
      <c r="G18" s="8"/>
      <c r="H18" s="79">
        <f t="shared" si="0"/>
        <v>735.68308423255735</v>
      </c>
      <c r="I18" s="8"/>
      <c r="J18" s="79">
        <f>F18*R$5</f>
        <v>343.52687988660517</v>
      </c>
      <c r="K18" s="8"/>
      <c r="L18" s="79">
        <f>F18*R$6</f>
        <v>2577.28418648146</v>
      </c>
      <c r="M18" s="8"/>
      <c r="N18" s="79">
        <f>F18*R$7</f>
        <v>81.735849399377571</v>
      </c>
      <c r="O18" s="8"/>
    </row>
    <row r="19" spans="1:19" x14ac:dyDescent="0.25">
      <c r="B19" t="s">
        <v>30</v>
      </c>
      <c r="F19" s="112">
        <v>5275.08</v>
      </c>
      <c r="G19" s="8"/>
      <c r="H19" s="79">
        <f t="shared" si="0"/>
        <v>1038.1349258802904</v>
      </c>
      <c r="I19" s="8"/>
      <c r="J19" s="79">
        <f>F19*R$5</f>
        <v>484.75662908709023</v>
      </c>
      <c r="K19" s="8"/>
      <c r="L19" s="79">
        <f>F19*R$6</f>
        <v>3636.8495963128594</v>
      </c>
      <c r="M19" s="8"/>
      <c r="N19" s="79">
        <f>F19*R$7</f>
        <v>115.33884871976005</v>
      </c>
      <c r="O19" s="8"/>
      <c r="R19" t="s">
        <v>186</v>
      </c>
      <c r="S19" t="s">
        <v>184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40040.406413483484</v>
      </c>
      <c r="S20" s="55">
        <f>+H21-R20</f>
        <v>-571.79456040156219</v>
      </c>
    </row>
    <row r="21" spans="1:19" x14ac:dyDescent="0.25">
      <c r="F21" s="84">
        <f>SUM(F6:F19)</f>
        <v>203457.51</v>
      </c>
      <c r="G21" s="23"/>
      <c r="H21" s="84">
        <f>SUM(H6:H19)</f>
        <v>39468.611853081922</v>
      </c>
      <c r="I21" s="23"/>
      <c r="J21" s="84">
        <f>SUM(J6:J19)</f>
        <v>18429.850262886725</v>
      </c>
      <c r="K21" s="23"/>
      <c r="L21" s="84">
        <f>SUM(L6:L19)</f>
        <v>140544.55439291059</v>
      </c>
      <c r="M21" s="23"/>
      <c r="N21" s="84">
        <f>SUM(N6:N19)</f>
        <v>5014.4934911207438</v>
      </c>
      <c r="O21" s="23"/>
      <c r="P21" s="241" t="s">
        <v>11</v>
      </c>
      <c r="Q21" s="241"/>
      <c r="R21" s="149">
        <f>+F21*R5</f>
        <v>18696.84947148725</v>
      </c>
      <c r="S21" s="55">
        <f>+J21-R21</f>
        <v>-266.99920860052589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140271.68556881024</v>
      </c>
      <c r="S22" s="55">
        <f>+L21-R22</f>
        <v>272.86882410035469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4448.5685462190277</v>
      </c>
      <c r="S23" s="55">
        <f>+N21-R23</f>
        <v>565.92494490171612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203457.51</v>
      </c>
      <c r="S24" s="152">
        <f>SUM(S20:S23)</f>
        <v>-1.7280399333685637E-11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Aug 24 billing =Aug invoices = July Flow  data= July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260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86802.32</v>
      </c>
      <c r="G6" s="60"/>
      <c r="H6" s="85">
        <f>ROUNDUP(IF(N6=2500,(F6-L6-N6)*(Q4/(Q8-Q6-Q7)),(F6*R4)),0)</f>
        <v>45666</v>
      </c>
      <c r="I6" s="60"/>
      <c r="J6" s="222">
        <f>ROUNDUP(IF(SUM(H6,L6,N6,F6*R5)&gt;F6,((F6-L6-N6)*(Q5/(Q8-Q6-Q7))),(F6*R5)),0)</f>
        <v>27708</v>
      </c>
      <c r="K6" s="60"/>
      <c r="L6" s="85">
        <f>ROUNDUP(IF((F6*R$6&lt;2500),(2500),F6*R$6),0)</f>
        <v>5497</v>
      </c>
      <c r="M6" s="60"/>
      <c r="N6" s="85">
        <f>ROUNDUP(IF((F6*R$7&lt;2500),(2500),F6*R$7),0)</f>
        <v>7934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25433.67</v>
      </c>
      <c r="G7" s="60"/>
      <c r="H7" s="85">
        <f>ROUNDUP(F7*R$4,0)</f>
        <v>13381</v>
      </c>
      <c r="I7" s="60"/>
      <c r="J7" s="222">
        <f>ROUNDUP(F7*R$5,0)</f>
        <v>8119</v>
      </c>
      <c r="K7" s="60"/>
      <c r="L7" s="85">
        <f>ROUNDUP(F7*R$6,0)</f>
        <v>1611</v>
      </c>
      <c r="M7" s="60"/>
      <c r="N7" s="85">
        <f>ROUNDUP(F7*R$7,0)</f>
        <v>2325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9715.67</v>
      </c>
      <c r="G9" s="60"/>
      <c r="H9" s="85">
        <v>0</v>
      </c>
      <c r="I9" s="60"/>
      <c r="J9" s="222">
        <v>0</v>
      </c>
      <c r="K9" s="60"/>
      <c r="L9" s="85">
        <f>ROUNDUP(F9,0)</f>
        <v>9716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1627.92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27312.988115051423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28940.908115051425</v>
      </c>
      <c r="G13" s="60"/>
      <c r="H13" s="85">
        <f>ROUNDUP(F13*R$4,0)</f>
        <v>15226</v>
      </c>
      <c r="I13" s="60"/>
      <c r="J13" s="222">
        <f>ROUNDUP(F13*R$5,0)</f>
        <v>9239</v>
      </c>
      <c r="K13" s="60"/>
      <c r="L13" s="85">
        <f>ROUNDUP(F13*R$6,0)</f>
        <v>1833</v>
      </c>
      <c r="M13" s="60"/>
      <c r="N13" s="85">
        <f>ROUNDUP(F13*R$7,0)</f>
        <v>2646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3127.61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7140.5132305141069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10268.123230514107</v>
      </c>
      <c r="G17" s="60"/>
      <c r="H17" s="85">
        <f>ROUNDUP(F17*R$4,0)</f>
        <v>5402</v>
      </c>
      <c r="I17" s="60"/>
      <c r="J17" s="222">
        <f>ROUNDUP(F17*R$5,0)</f>
        <v>3278</v>
      </c>
      <c r="K17" s="60"/>
      <c r="L17" s="85">
        <f>ROUNDUP(F17*R$6,0)</f>
        <v>651</v>
      </c>
      <c r="M17" s="60"/>
      <c r="N17" s="85">
        <f>ROUNDUP(F17*R$7,0)</f>
        <v>939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64189.001327839505</v>
      </c>
      <c r="G19" s="60"/>
      <c r="H19" s="85">
        <f>ROUNDUP(F19*R$4,0)</f>
        <v>33769</v>
      </c>
      <c r="I19" s="60"/>
      <c r="J19" s="222">
        <f>ROUNDUP(F19*R$5,0)</f>
        <v>20490</v>
      </c>
      <c r="K19" s="60"/>
      <c r="L19" s="85">
        <f>ROUNDUP(F19*R$6,0)</f>
        <v>4065</v>
      </c>
      <c r="M19" s="60"/>
      <c r="N19" s="85">
        <f>ROUNDUP(F19*R$7,0)</f>
        <v>5867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2661.54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4728.7842002696343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7390.3242002696343</v>
      </c>
      <c r="G23" s="60"/>
      <c r="H23" s="85">
        <f>ROUNDUP(F23*R$4,0)</f>
        <v>3888</v>
      </c>
      <c r="I23" s="60"/>
      <c r="J23" s="222">
        <f>ROUNDUP(F23*R$5,0)</f>
        <v>2360</v>
      </c>
      <c r="K23" s="60"/>
      <c r="L23" s="85">
        <f>ROUNDUP(F23*R$6,0)</f>
        <v>468</v>
      </c>
      <c r="M23" s="60"/>
      <c r="N23" s="85">
        <f>ROUNDUP(F23*R$7,0)</f>
        <v>676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15044.1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2422.5118672225517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17466.611867222553</v>
      </c>
      <c r="G27" s="60"/>
      <c r="H27" s="85">
        <f>ROUNDUP(F27*R$4,0)</f>
        <v>9189</v>
      </c>
      <c r="I27" s="60"/>
      <c r="J27" s="222">
        <f>ROUNDUP(F27*R$5,0)</f>
        <v>5576</v>
      </c>
      <c r="K27" s="60"/>
      <c r="L27" s="85">
        <f>ROUNDUP(F27*R$6,0)</f>
        <v>1106</v>
      </c>
      <c r="M27" s="60"/>
      <c r="N27" s="85">
        <f>ROUNDUP(F27*R$7,0)</f>
        <v>1597</v>
      </c>
    </row>
    <row r="28" spans="2:22" x14ac:dyDescent="0.25">
      <c r="B28" t="s">
        <v>25</v>
      </c>
      <c r="F28" s="85">
        <f>'Allocation Charges'!L13</f>
        <v>14576.554790353934</v>
      </c>
      <c r="G28" s="60"/>
      <c r="H28" s="85">
        <f>ROUNDUP(F28*R$4,0)</f>
        <v>7669</v>
      </c>
      <c r="I28" s="60"/>
      <c r="J28" s="222">
        <f>ROUNDUP(F28*R$5,0)</f>
        <v>4653</v>
      </c>
      <c r="K28" s="60"/>
      <c r="L28" s="85">
        <f>ROUNDUP(F28*R$6,0)</f>
        <v>923</v>
      </c>
      <c r="M28" s="60"/>
      <c r="N28" s="85">
        <f>ROUNDUP(F28*R$7,0)</f>
        <v>1333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1928.5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0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1928.5</v>
      </c>
      <c r="G32" s="60"/>
      <c r="H32" s="85">
        <f>ROUNDUP(F32*R$4,0)</f>
        <v>1015</v>
      </c>
      <c r="I32" s="60"/>
      <c r="J32" s="222">
        <f>ROUNDUP(F32*R$5,0)</f>
        <v>616</v>
      </c>
      <c r="K32" s="60"/>
      <c r="L32" s="85">
        <f>ROUNDUP(F32*R$6,0)</f>
        <v>123</v>
      </c>
      <c r="M32" s="60"/>
      <c r="N32" s="85">
        <f>ROUNDUP(F32*R$7,0)</f>
        <v>177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27494.12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11684.057078865137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39178.177078865134</v>
      </c>
      <c r="G36" s="60"/>
      <c r="H36" s="85">
        <f>ROUNDUP(F36*R$4,0)</f>
        <v>20611</v>
      </c>
      <c r="I36" s="60"/>
      <c r="J36" s="222">
        <f>ROUNDUP(F36*R$5,0)</f>
        <v>12506</v>
      </c>
      <c r="K36" s="60"/>
      <c r="L36" s="85">
        <f>ROUNDUP(F36*R$6,0)</f>
        <v>2481</v>
      </c>
      <c r="M36" s="60"/>
      <c r="N36" s="85">
        <f>ROUNDUP(F36*R$7,0)</f>
        <v>3581</v>
      </c>
    </row>
    <row r="37" spans="1:17" x14ac:dyDescent="0.25">
      <c r="B37" t="s">
        <v>194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2577.28418648146</v>
      </c>
      <c r="G39" s="60"/>
      <c r="H39" s="85">
        <f>ROUNDUP(F39*R$4,0)</f>
        <v>1356</v>
      </c>
      <c r="I39" s="60"/>
      <c r="J39" s="222">
        <f>ROUNDUP(F39*R$5,0)</f>
        <v>823</v>
      </c>
      <c r="K39" s="60"/>
      <c r="L39" s="85">
        <f>ROUNDUP(F39*R$6,0)</f>
        <v>164</v>
      </c>
      <c r="M39" s="60"/>
      <c r="N39" s="85">
        <f>ROUNDUP(F39*R$7,0)</f>
        <v>236</v>
      </c>
    </row>
    <row r="40" spans="1:17" x14ac:dyDescent="0.25">
      <c r="B40" t="s">
        <v>30</v>
      </c>
      <c r="F40" s="85">
        <f>'Allocation Charges'!L19</f>
        <v>3636.8495963128594</v>
      </c>
      <c r="G40" s="60"/>
      <c r="H40" s="85">
        <f>ROUNDUP(F40*R$4,0)</f>
        <v>1914</v>
      </c>
      <c r="I40" s="60"/>
      <c r="J40" s="222">
        <f>ROUNDUP(F40*R$5,0)</f>
        <v>1161</v>
      </c>
      <c r="K40" s="60"/>
      <c r="L40" s="85">
        <f>ROUNDUP(F40*R$6,0)</f>
        <v>231</v>
      </c>
      <c r="M40" s="60"/>
      <c r="N40" s="85">
        <f>ROUNDUP(F40*R$7,0)</f>
        <v>333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314380.00439291057</v>
      </c>
      <c r="G42" s="60"/>
      <c r="H42" s="219">
        <f>SUM(H6:H41)</f>
        <v>160284</v>
      </c>
      <c r="I42" s="60"/>
      <c r="J42" s="219">
        <f>SUM(J6:J41)</f>
        <v>97256</v>
      </c>
      <c r="K42" s="60"/>
      <c r="L42" s="219">
        <f>SUM(L6:L41)</f>
        <v>29014</v>
      </c>
      <c r="M42" s="60"/>
      <c r="N42" s="219">
        <f>SUM(N6:N41)</f>
        <v>27853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11436</v>
      </c>
      <c r="G57" s="8"/>
      <c r="H57" s="85">
        <v>0</v>
      </c>
      <c r="I57" s="8"/>
      <c r="J57" s="222">
        <f>ROUNDUP('Commodity OK'!F24+'Commodity OK'!F25+'Commodity OK'!F26,0)</f>
        <v>11436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81327</v>
      </c>
      <c r="G58" s="120"/>
      <c r="H58" s="85">
        <f>ROUNDUP('Commodity OK'!Q6-H59,0)</f>
        <v>30320</v>
      </c>
      <c r="I58" s="120"/>
      <c r="J58" s="222">
        <f>ROUNDUP('Commodity OK'!Q8-J59-J57,0)</f>
        <v>14194</v>
      </c>
      <c r="K58" s="120"/>
      <c r="L58" s="222">
        <f>ROUNDUP('Commodity OK'!Q7-L59,0)</f>
        <v>8895</v>
      </c>
      <c r="M58" s="120"/>
      <c r="N58" s="222">
        <f>ROUNDUP('Commodity OK'!Q9-N59-N60,0)</f>
        <v>27918</v>
      </c>
    </row>
    <row r="59" spans="1:14" x14ac:dyDescent="0.25">
      <c r="A59" s="16"/>
      <c r="B59" t="s">
        <v>108</v>
      </c>
      <c r="F59" s="85">
        <f>SUM(H59:N59)</f>
        <v>6051</v>
      </c>
      <c r="G59" s="120"/>
      <c r="H59" s="85">
        <f>ROUNDUP(('Commodity OK'!F43-'Commodity OK'!F40)*'Commodity OK'!O6,0)</f>
        <v>1977</v>
      </c>
      <c r="I59" s="120"/>
      <c r="J59" s="222">
        <f>ROUNDUP(('Commodity OK'!F43-'Commodity OK'!F40)*'Commodity OK'!O8,0)</f>
        <v>1671</v>
      </c>
      <c r="K59" s="120"/>
      <c r="L59" s="222">
        <f>ROUNDUP(('Commodity OK'!F43-'Commodity OK'!F40)*'Commodity OK'!O7,0)</f>
        <v>580</v>
      </c>
      <c r="M59" s="120"/>
      <c r="N59" s="222">
        <f>ROUNDUP(('Commodity OK'!F43-'Commodity OK'!F40)*'Commodity OK'!O9,0)</f>
        <v>1823</v>
      </c>
    </row>
    <row r="60" spans="1:14" x14ac:dyDescent="0.25">
      <c r="A60" s="16"/>
      <c r="B60" t="s">
        <v>113</v>
      </c>
      <c r="F60" s="85">
        <f>SUM(H60:N60)</f>
        <v>41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41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98855</v>
      </c>
      <c r="G62" s="221"/>
      <c r="H62" s="219">
        <f>SUM(H57:H60)</f>
        <v>32297</v>
      </c>
      <c r="I62" s="221"/>
      <c r="J62" s="219">
        <f>SUM(J57:J60)</f>
        <v>27301</v>
      </c>
      <c r="K62" s="221"/>
      <c r="L62" s="219">
        <f>SUM(L57:L60)</f>
        <v>9475</v>
      </c>
      <c r="M62" s="221"/>
      <c r="N62" s="220">
        <f>SUM(N57:N60)</f>
        <v>29782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456139.52664245857</v>
      </c>
      <c r="G66" s="120"/>
      <c r="H66" s="219">
        <f>H53+H42+H62</f>
        <v>215156</v>
      </c>
      <c r="I66" s="120"/>
      <c r="J66" s="220">
        <f>J53+J42+J62</f>
        <v>138256</v>
      </c>
      <c r="K66" s="120"/>
      <c r="L66" s="220">
        <f>L53+L42+L62</f>
        <v>41209</v>
      </c>
      <c r="M66" s="120"/>
      <c r="N66" s="220">
        <f>N53+N42+N62</f>
        <v>61559</v>
      </c>
    </row>
    <row r="68" spans="4:14" x14ac:dyDescent="0.25">
      <c r="F68" s="6">
        <f>SUM(H66:N66)</f>
        <v>456180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opLeftCell="A27" zoomScaleNormal="100" workbookViewId="0">
      <selection activeCell="C44" sqref="C44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272</v>
      </c>
      <c r="G2" s="97"/>
      <c r="H2" s="97" t="s">
        <v>273</v>
      </c>
      <c r="I2" s="99"/>
      <c r="J2" s="54"/>
    </row>
    <row r="3" spans="2:21" x14ac:dyDescent="0.25">
      <c r="M3" s="101" t="s">
        <v>274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275</v>
      </c>
      <c r="N4" s="19"/>
      <c r="O4" s="19" t="s">
        <v>78</v>
      </c>
      <c r="P4" s="19"/>
      <c r="Q4" s="19" t="s">
        <v>79</v>
      </c>
      <c r="R4" s="19"/>
      <c r="S4" s="176" t="s">
        <v>276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262</v>
      </c>
      <c r="D6" s="88">
        <v>113</v>
      </c>
      <c r="E6" s="27"/>
      <c r="F6" s="214">
        <v>57.99</v>
      </c>
      <c r="H6" s="6">
        <f t="shared" ref="H6:H16" si="0">F6/D6</f>
        <v>0.51318584070796458</v>
      </c>
      <c r="K6" t="s">
        <v>33</v>
      </c>
      <c r="M6" s="132">
        <v>88754</v>
      </c>
      <c r="O6" s="25">
        <f>+M6/$M$11</f>
        <v>0.32670745264335826</v>
      </c>
      <c r="Q6" s="6">
        <f>O6*F45</f>
        <v>32296.296051637699</v>
      </c>
      <c r="S6" s="132">
        <v>78218</v>
      </c>
      <c r="U6" s="110" t="s">
        <v>152</v>
      </c>
    </row>
    <row r="7" spans="2:21" x14ac:dyDescent="0.25">
      <c r="C7" s="127" t="s">
        <v>141</v>
      </c>
      <c r="D7" s="88">
        <f>2323+235</f>
        <v>2558</v>
      </c>
      <c r="E7" s="27"/>
      <c r="F7" s="214">
        <f>974.56+1236</f>
        <v>2210.56</v>
      </c>
      <c r="H7" s="6">
        <f t="shared" si="0"/>
        <v>0.86417513682564506</v>
      </c>
      <c r="K7" t="s">
        <v>81</v>
      </c>
      <c r="M7" s="132">
        <v>26038</v>
      </c>
      <c r="O7" s="25">
        <f t="shared" ref="O7:O9" si="1">+M7/$M$11</f>
        <v>9.5847045225316757E-2</v>
      </c>
      <c r="Q7" s="6">
        <f>O7*F45</f>
        <v>9474.8513485875847</v>
      </c>
      <c r="S7" s="132">
        <v>3978</v>
      </c>
    </row>
    <row r="8" spans="2:21" x14ac:dyDescent="0.25">
      <c r="C8" s="127" t="s">
        <v>164</v>
      </c>
      <c r="D8" s="88">
        <f>858+279</f>
        <v>1137</v>
      </c>
      <c r="E8" s="27"/>
      <c r="F8" s="214">
        <f>582.73+1335.76</f>
        <v>1918.49</v>
      </c>
      <c r="H8" s="6">
        <f t="shared" si="0"/>
        <v>1.6873262972735268</v>
      </c>
      <c r="K8" t="s">
        <v>82</v>
      </c>
      <c r="M8" s="132">
        <v>75026</v>
      </c>
      <c r="O8" s="25">
        <f t="shared" si="1"/>
        <v>0.27617406924781529</v>
      </c>
      <c r="Q8" s="6">
        <f>O8*F45</f>
        <v>27300.875538794535</v>
      </c>
      <c r="S8" s="132">
        <v>79480</v>
      </c>
    </row>
    <row r="9" spans="2:21" x14ac:dyDescent="0.25">
      <c r="C9" s="127" t="s">
        <v>63</v>
      </c>
      <c r="D9" s="88">
        <v>7022</v>
      </c>
      <c r="E9" s="27"/>
      <c r="F9" s="214">
        <v>20686.97</v>
      </c>
      <c r="H9" s="6">
        <f t="shared" si="0"/>
        <v>2.946022500712048</v>
      </c>
      <c r="K9" t="s">
        <v>109</v>
      </c>
      <c r="M9" s="132">
        <v>81844</v>
      </c>
      <c r="O9" s="25">
        <f t="shared" si="1"/>
        <v>0.30127143288350966</v>
      </c>
      <c r="Q9" s="6">
        <f>O9*F45</f>
        <v>29781.847060980192</v>
      </c>
      <c r="S9" s="132">
        <v>76672</v>
      </c>
    </row>
    <row r="10" spans="2:21" x14ac:dyDescent="0.25">
      <c r="C10" s="127" t="s">
        <v>64</v>
      </c>
      <c r="D10" s="88">
        <v>38</v>
      </c>
      <c r="E10" s="27"/>
      <c r="F10" s="214">
        <v>-328.26</v>
      </c>
      <c r="H10" s="6">
        <f t="shared" si="0"/>
        <v>-8.6384210526315783</v>
      </c>
    </row>
    <row r="11" spans="2:21" x14ac:dyDescent="0.25">
      <c r="C11" s="127" t="s">
        <v>65</v>
      </c>
      <c r="D11" s="88">
        <v>15</v>
      </c>
      <c r="E11" s="27"/>
      <c r="F11" s="214">
        <v>153.16</v>
      </c>
      <c r="H11" s="6">
        <f t="shared" si="0"/>
        <v>10.210666666666667</v>
      </c>
      <c r="M11" s="28">
        <f>SUM(M6:M10)</f>
        <v>271662</v>
      </c>
      <c r="N11" s="32"/>
      <c r="O11" s="33">
        <f>SUM(O6:O9)</f>
        <v>1</v>
      </c>
      <c r="P11" s="32"/>
      <c r="Q11" s="30">
        <f>SUM(Q6:Q9)</f>
        <v>98853.87</v>
      </c>
      <c r="R11" s="32"/>
      <c r="S11" s="28">
        <f>SUM(S6:S10)</f>
        <v>238348</v>
      </c>
    </row>
    <row r="12" spans="2:21" x14ac:dyDescent="0.25">
      <c r="C12" s="127" t="s">
        <v>66</v>
      </c>
      <c r="D12" s="88">
        <v>901</v>
      </c>
      <c r="E12" s="27"/>
      <c r="F12" s="214">
        <v>762.98</v>
      </c>
      <c r="H12" s="6">
        <f t="shared" si="0"/>
        <v>0.84681465038845727</v>
      </c>
      <c r="K12" s="217"/>
    </row>
    <row r="13" spans="2:21" x14ac:dyDescent="0.25">
      <c r="C13" s="127" t="s">
        <v>67</v>
      </c>
      <c r="D13" s="88">
        <v>1541</v>
      </c>
      <c r="E13" s="27"/>
      <c r="F13" s="214">
        <v>2221.94</v>
      </c>
      <c r="H13" s="6">
        <f t="shared" si="0"/>
        <v>1.4418818948734589</v>
      </c>
      <c r="M13" t="s">
        <v>196</v>
      </c>
      <c r="Q13" s="6"/>
    </row>
    <row r="14" spans="2:21" x14ac:dyDescent="0.25">
      <c r="C14" s="127" t="s">
        <v>68</v>
      </c>
      <c r="D14" s="88">
        <v>55</v>
      </c>
      <c r="E14" s="27"/>
      <c r="F14" s="214">
        <v>556.70000000000005</v>
      </c>
      <c r="H14" s="6">
        <f t="shared" si="0"/>
        <v>10.121818181818183</v>
      </c>
      <c r="O14" t="s">
        <v>205</v>
      </c>
    </row>
    <row r="15" spans="2:21" x14ac:dyDescent="0.25">
      <c r="C15" s="127" t="s">
        <v>69</v>
      </c>
      <c r="D15" s="88">
        <v>571</v>
      </c>
      <c r="E15" s="27"/>
      <c r="F15" s="214">
        <v>1040.45</v>
      </c>
      <c r="H15" s="6">
        <f t="shared" si="0"/>
        <v>1.82215411558669</v>
      </c>
      <c r="O15" s="7" t="s">
        <v>201</v>
      </c>
      <c r="Q15" s="134">
        <v>87212.41</v>
      </c>
      <c r="S15" t="s">
        <v>212</v>
      </c>
    </row>
    <row r="16" spans="2:21" x14ac:dyDescent="0.25">
      <c r="C16" s="127" t="s">
        <v>70</v>
      </c>
      <c r="D16" s="88">
        <v>154</v>
      </c>
      <c r="E16" s="27"/>
      <c r="F16" s="214">
        <v>686.11</v>
      </c>
      <c r="H16" s="6">
        <f t="shared" si="0"/>
        <v>4.4552597402597405</v>
      </c>
      <c r="O16" s="7" t="s">
        <v>203</v>
      </c>
      <c r="Q16" s="102">
        <v>6249.26</v>
      </c>
      <c r="S16" t="s">
        <v>212</v>
      </c>
    </row>
    <row r="17" spans="3:24" x14ac:dyDescent="0.25">
      <c r="C17" s="127" t="s">
        <v>175</v>
      </c>
      <c r="D17" s="88">
        <v>85</v>
      </c>
      <c r="E17" s="27"/>
      <c r="F17" s="214">
        <f>494.7+2.29</f>
        <v>496.99</v>
      </c>
      <c r="H17" s="6">
        <f>F17/D17</f>
        <v>5.8469411764705885</v>
      </c>
      <c r="J17" s="6"/>
      <c r="O17" s="7" t="s">
        <v>204</v>
      </c>
      <c r="Q17" s="102">
        <v>2554.1999999999998</v>
      </c>
      <c r="S17" t="s">
        <v>212</v>
      </c>
    </row>
    <row r="18" spans="3:24" ht="15.75" thickBot="1" x14ac:dyDescent="0.3">
      <c r="C18" s="16" t="s">
        <v>162</v>
      </c>
      <c r="D18" s="28">
        <f>SUM(D6:D17)</f>
        <v>14190</v>
      </c>
      <c r="E18" s="31"/>
      <c r="F18" s="30">
        <f>SUM(F6:F17)</f>
        <v>30464.080000000005</v>
      </c>
      <c r="G18" s="20"/>
      <c r="H18" s="6">
        <f>F18/D18</f>
        <v>2.146869626497534</v>
      </c>
      <c r="I18" s="20"/>
      <c r="J18" s="6"/>
      <c r="M18" s="6"/>
      <c r="O18" s="6" t="s">
        <v>145</v>
      </c>
      <c r="Q18" s="104">
        <f>SUM(Q15:Q17)</f>
        <v>96015.87</v>
      </c>
      <c r="S18" t="s">
        <v>213</v>
      </c>
    </row>
    <row r="19" spans="3:24" ht="15.75" thickTop="1" x14ac:dyDescent="0.25">
      <c r="K19" s="6"/>
      <c r="M19" s="6"/>
      <c r="O19" s="6" t="s">
        <v>202</v>
      </c>
      <c r="Q19" s="6">
        <f>+F42</f>
        <v>2838</v>
      </c>
      <c r="S19" t="s">
        <v>213</v>
      </c>
      <c r="W19" s="6"/>
    </row>
    <row r="20" spans="3:24" x14ac:dyDescent="0.25">
      <c r="O20" s="6" t="s">
        <v>50</v>
      </c>
      <c r="Q20" s="173">
        <f>+Q18+Q19</f>
        <v>98853.87</v>
      </c>
      <c r="S20" t="s">
        <v>213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0</v>
      </c>
      <c r="S21" t="s">
        <v>213</v>
      </c>
    </row>
    <row r="22" spans="3:24" x14ac:dyDescent="0.25">
      <c r="Q22" s="6"/>
      <c r="X22" s="6"/>
    </row>
    <row r="23" spans="3:24" x14ac:dyDescent="0.25">
      <c r="C23" s="127" t="s">
        <v>206</v>
      </c>
      <c r="D23" s="88">
        <v>113</v>
      </c>
      <c r="F23" s="214">
        <v>362.84</v>
      </c>
      <c r="H23" s="6">
        <f t="shared" ref="H23:H26" si="2">F23/D23</f>
        <v>3.2109734513274333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268</v>
      </c>
      <c r="D25" s="88">
        <v>2087</v>
      </c>
      <c r="F25" s="63">
        <v>11436</v>
      </c>
      <c r="H25" s="6">
        <f t="shared" si="2"/>
        <v>5.4796358409199808</v>
      </c>
      <c r="Q25" s="6"/>
    </row>
    <row r="26" spans="3:24" x14ac:dyDescent="0.25">
      <c r="C26" t="s">
        <v>237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258</v>
      </c>
      <c r="D27" s="88">
        <v>4801</v>
      </c>
      <c r="F27" s="214">
        <v>12818.67</v>
      </c>
      <c r="H27" s="6">
        <f>F29/D29</f>
        <v>2.9603013910355487</v>
      </c>
      <c r="S27" s="6"/>
    </row>
    <row r="28" spans="3:24" x14ac:dyDescent="0.25">
      <c r="C28" s="127" t="s">
        <v>256</v>
      </c>
      <c r="D28" s="88">
        <v>465</v>
      </c>
      <c r="F28" s="214">
        <v>1288.05</v>
      </c>
      <c r="H28" s="6">
        <f>F28/D28</f>
        <v>2.77</v>
      </c>
      <c r="S28" s="6"/>
    </row>
    <row r="29" spans="3:24" x14ac:dyDescent="0.25">
      <c r="C29" s="127" t="s">
        <v>257</v>
      </c>
      <c r="D29" s="88">
        <v>1294</v>
      </c>
      <c r="F29" s="214">
        <v>3830.63</v>
      </c>
      <c r="H29" s="6">
        <f>F30/D30</f>
        <v>2.5953995433789956</v>
      </c>
      <c r="S29" s="6"/>
    </row>
    <row r="30" spans="3:24" x14ac:dyDescent="0.25">
      <c r="C30" s="127" t="s">
        <v>174</v>
      </c>
      <c r="D30" s="88">
        <v>1752</v>
      </c>
      <c r="F30" s="214">
        <v>4547.1400000000003</v>
      </c>
      <c r="H30" s="6">
        <f>F27/D27</f>
        <v>2.67</v>
      </c>
      <c r="O30" s="6"/>
      <c r="Q30" s="6"/>
    </row>
    <row r="31" spans="3:24" x14ac:dyDescent="0.25">
      <c r="C31" s="127" t="s">
        <v>261</v>
      </c>
      <c r="D31" s="88"/>
      <c r="F31" s="214"/>
      <c r="H31" s="6" t="e">
        <f>F31/D31</f>
        <v>#DIV/0!</v>
      </c>
    </row>
    <row r="32" spans="3:24" x14ac:dyDescent="0.25">
      <c r="C32" s="127" t="s">
        <v>245</v>
      </c>
      <c r="D32" s="88"/>
      <c r="F32" s="214"/>
      <c r="H32" s="6" t="e">
        <f>F32/D32</f>
        <v>#DIV/0!</v>
      </c>
    </row>
    <row r="33" spans="3:22" x14ac:dyDescent="0.25">
      <c r="C33" s="127" t="s">
        <v>110</v>
      </c>
      <c r="D33" s="88">
        <v>4319</v>
      </c>
      <c r="F33" s="214">
        <v>21767.759999999998</v>
      </c>
      <c r="H33" s="6">
        <f t="shared" ref="H33:H35" si="3">F33/D33</f>
        <v>5.04</v>
      </c>
    </row>
    <row r="34" spans="3:22" x14ac:dyDescent="0.25">
      <c r="C34" s="127" t="s">
        <v>244</v>
      </c>
      <c r="D34" s="88"/>
      <c r="F34" s="214"/>
      <c r="H34" s="6" t="e">
        <f t="shared" si="3"/>
        <v>#DIV/0!</v>
      </c>
    </row>
    <row r="35" spans="3:22" x14ac:dyDescent="0.25">
      <c r="C35" t="s">
        <v>189</v>
      </c>
      <c r="D35" s="88"/>
      <c r="F35" s="214">
        <v>6249.26</v>
      </c>
      <c r="H35" s="6" t="e">
        <f t="shared" si="3"/>
        <v>#DIV/0!</v>
      </c>
      <c r="J35" s="6"/>
    </row>
    <row r="36" spans="3:22" x14ac:dyDescent="0.25">
      <c r="D36" s="28">
        <f>SUM(D23:D35)</f>
        <v>14831</v>
      </c>
      <c r="E36" s="16"/>
      <c r="F36" s="89">
        <f>SUM(F23:F35)</f>
        <v>62300.35</v>
      </c>
      <c r="H36" s="6">
        <f>F36/D36</f>
        <v>4.2006843773177804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233</v>
      </c>
      <c r="K39" s="74" t="s">
        <v>136</v>
      </c>
    </row>
    <row r="40" spans="3:22" ht="15.75" thickBot="1" x14ac:dyDescent="0.3">
      <c r="C40" t="s">
        <v>111</v>
      </c>
      <c r="F40" s="214">
        <v>40.24</v>
      </c>
      <c r="Q40" s="6"/>
      <c r="S40" s="6"/>
    </row>
    <row r="41" spans="3:22" ht="15.75" thickBot="1" x14ac:dyDescent="0.3">
      <c r="C41" t="s">
        <v>75</v>
      </c>
      <c r="F41" s="109">
        <f>+D18*0.18</f>
        <v>2554.1999999999998</v>
      </c>
      <c r="J41" s="76" t="s">
        <v>191</v>
      </c>
      <c r="K41" s="74"/>
      <c r="S41" s="54"/>
    </row>
    <row r="42" spans="3:22" ht="15.75" thickBot="1" x14ac:dyDescent="0.3">
      <c r="C42" t="s">
        <v>135</v>
      </c>
      <c r="F42" s="6">
        <f>D18*0.2</f>
        <v>2838</v>
      </c>
      <c r="J42" s="76" t="s">
        <v>193</v>
      </c>
    </row>
    <row r="43" spans="3:22" x14ac:dyDescent="0.25">
      <c r="F43" s="30">
        <f>SUM(F39:F42)</f>
        <v>6089.44</v>
      </c>
      <c r="J43" s="162" t="s">
        <v>162</v>
      </c>
      <c r="K43" s="165" t="s">
        <v>192</v>
      </c>
      <c r="L43" s="163"/>
      <c r="M43" s="164" t="s">
        <v>50</v>
      </c>
    </row>
    <row r="44" spans="3:22" ht="15.75" thickBot="1" x14ac:dyDescent="0.3">
      <c r="C44" s="102">
        <f>87212.41+6249.26</f>
        <v>93461.67</v>
      </c>
      <c r="D44" s="117" t="s">
        <v>214</v>
      </c>
      <c r="J44" s="160">
        <f>+D18</f>
        <v>14190</v>
      </c>
      <c r="K44" s="147">
        <v>0.18</v>
      </c>
      <c r="L44" s="147"/>
      <c r="M44" s="161">
        <f>+J44*K44</f>
        <v>2554.1999999999998</v>
      </c>
      <c r="S44" s="54"/>
      <c r="T44" s="54"/>
      <c r="U44" s="54"/>
      <c r="V44" s="169"/>
    </row>
    <row r="45" spans="3:22" x14ac:dyDescent="0.25">
      <c r="C45" s="6">
        <f>+F18+F36+F39+F40</f>
        <v>93461.670000000013</v>
      </c>
      <c r="D45" s="15" t="s">
        <v>39</v>
      </c>
      <c r="E45" s="16"/>
      <c r="F45" s="173">
        <f>F18+F36+F43</f>
        <v>98853.87000000001</v>
      </c>
    </row>
    <row r="46" spans="3:22" x14ac:dyDescent="0.25">
      <c r="C46" s="6">
        <f>+C45-C44</f>
        <v>0</v>
      </c>
      <c r="F46" s="99">
        <f>F45-F42-F41</f>
        <v>93461.670000000013</v>
      </c>
      <c r="H46" s="177">
        <f>F46-F35</f>
        <v>87212.410000000018</v>
      </c>
      <c r="I46" s="177"/>
      <c r="J46" s="178" t="s">
        <v>207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27" zoomScaleNormal="100" workbookViewId="0">
      <selection activeCell="B55" sqref="B5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242</v>
      </c>
      <c r="F1" s="6" t="str">
        <f>+'Commodity OK'!H2</f>
        <v>Data Input Aug 24 billing =Aug invoices = July Flow  data= July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7386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456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309.85000000000002</v>
      </c>
      <c r="G11" s="6"/>
      <c r="J11" s="1"/>
    </row>
    <row r="12" spans="1:16" x14ac:dyDescent="0.25">
      <c r="C12" t="s">
        <v>38</v>
      </c>
      <c r="F12" s="6">
        <f>'Allocation Charges'!J7</f>
        <v>3640.555293342712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3951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952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8556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630.30087659577896</v>
      </c>
      <c r="G20" s="6"/>
    </row>
    <row r="21" spans="2:7" x14ac:dyDescent="0.25">
      <c r="D21" s="7" t="s">
        <v>39</v>
      </c>
      <c r="E21" s="36"/>
      <c r="F21" s="224">
        <f>ROUNDUP(F20+F19,0)</f>
        <v>826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244.08</v>
      </c>
      <c r="G23" s="6"/>
    </row>
    <row r="24" spans="2:7" x14ac:dyDescent="0.25">
      <c r="C24" t="s">
        <v>38</v>
      </c>
      <c r="F24" s="6">
        <f>'Allocation Charges'!J12</f>
        <v>322.89723717715589</v>
      </c>
      <c r="G24" s="6"/>
    </row>
    <row r="25" spans="2:7" x14ac:dyDescent="0.25">
      <c r="D25" s="7" t="s">
        <v>39</v>
      </c>
      <c r="E25" s="36"/>
      <c r="F25" s="224">
        <f>ROUNDUP(F24+F23,0)</f>
        <v>567</v>
      </c>
      <c r="G25" s="6"/>
    </row>
    <row r="26" spans="2:7" x14ac:dyDescent="0.25">
      <c r="B26" t="s">
        <v>25</v>
      </c>
      <c r="F26" s="85">
        <f>ROUNDUP('Allocation Charges'!J13,0)</f>
        <v>1943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0</v>
      </c>
      <c r="G29" s="6"/>
    </row>
    <row r="30" spans="2:7" x14ac:dyDescent="0.25">
      <c r="D30" s="7" t="s">
        <v>39</v>
      </c>
      <c r="E30" s="36"/>
      <c r="F30" s="224">
        <f>ROUNDUP(F29+F28,0)</f>
        <v>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522.36</v>
      </c>
      <c r="G32" s="6"/>
    </row>
    <row r="33" spans="1:7" x14ac:dyDescent="0.25">
      <c r="C33" t="s">
        <v>38</v>
      </c>
      <c r="F33" s="6">
        <f>'Allocation Charges'!J15</f>
        <v>1557.3710085107903</v>
      </c>
      <c r="G33" s="6"/>
    </row>
    <row r="34" spans="1:7" x14ac:dyDescent="0.25">
      <c r="D34" s="7" t="s">
        <v>39</v>
      </c>
      <c r="E34" s="36"/>
      <c r="F34" s="224">
        <f>ROUNDUP(F33+F32,0)</f>
        <v>2080</v>
      </c>
      <c r="G34" s="6"/>
    </row>
    <row r="35" spans="1:7" x14ac:dyDescent="0.25">
      <c r="B35" t="s">
        <v>194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344</v>
      </c>
      <c r="G37" s="6"/>
    </row>
    <row r="38" spans="1:7" x14ac:dyDescent="0.25">
      <c r="B38" t="s">
        <v>30</v>
      </c>
      <c r="F38" s="85">
        <f>ROUNDUP('Allocation Charges'!J19,0)</f>
        <v>485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27546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266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239</v>
      </c>
      <c r="F53" s="6">
        <f>ROUNDUP('Commodity TN KY'!I20,0)</f>
        <v>435</v>
      </c>
      <c r="H53" s="106">
        <f>'Commodity TN KY'!E15*'Commodity TN KY'!G20</f>
        <v>127.26517077484249</v>
      </c>
    </row>
    <row r="54" spans="1:8" x14ac:dyDescent="0.25">
      <c r="A54" s="16"/>
      <c r="B54" t="s">
        <v>278</v>
      </c>
      <c r="F54" s="6">
        <f>ROUNDUP('Commodity TN KY'!I27,0)</f>
        <v>1854</v>
      </c>
      <c r="H54" s="106">
        <f>+'Commodity TN KY'!E27</f>
        <v>403</v>
      </c>
    </row>
    <row r="55" spans="1:8" x14ac:dyDescent="0.25">
      <c r="A55" s="16"/>
      <c r="B55" t="s">
        <v>240</v>
      </c>
      <c r="F55" s="6">
        <f>ROUNDUP('Commodity TN KY'!I28,0)</f>
        <v>447</v>
      </c>
      <c r="H55" s="106">
        <f>+'Commodity TN KY'!E28</f>
        <v>362</v>
      </c>
    </row>
    <row r="56" spans="1:8" x14ac:dyDescent="0.25">
      <c r="F56" s="218">
        <f>SUM(F53:F55)</f>
        <v>2736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36005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zoomScaleNormal="100" workbookViewId="0">
      <selection activeCell="P50" sqref="P5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243</v>
      </c>
      <c r="F1" s="6" t="str">
        <f>+'Commodity OK'!H2</f>
        <v>Data Input Aug 24 billing =Aug invoices = July Flow  data= July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11055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872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329.71</v>
      </c>
      <c r="G11" s="6"/>
      <c r="J11" s="1"/>
    </row>
    <row r="12" spans="1:11" x14ac:dyDescent="0.25">
      <c r="C12" t="s">
        <v>38</v>
      </c>
      <c r="F12" s="60">
        <f>'Allocation Charges'!H7</f>
        <v>7796.4639838652729</v>
      </c>
      <c r="G12" s="6"/>
      <c r="J12" s="1"/>
    </row>
    <row r="13" spans="1:11" x14ac:dyDescent="0.25">
      <c r="D13" s="7" t="s">
        <v>39</v>
      </c>
      <c r="F13" s="86">
        <f>ROUNDUP(F11+F12,0)</f>
        <v>8127</v>
      </c>
      <c r="G13" s="6"/>
      <c r="J13" s="1"/>
    </row>
    <row r="14" spans="1:11" x14ac:dyDescent="0.25">
      <c r="B14" t="s">
        <v>15</v>
      </c>
      <c r="F14" s="83">
        <f>ROUNDUP('Allocation Charges'!H8,0)</f>
        <v>2039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18323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352.17</v>
      </c>
      <c r="G18" s="6"/>
    </row>
    <row r="19" spans="2:7" x14ac:dyDescent="0.25">
      <c r="C19" t="s">
        <v>38</v>
      </c>
      <c r="F19" s="60">
        <f>'Allocation Charges'!H11</f>
        <v>1349.8265202464811</v>
      </c>
      <c r="G19" s="6"/>
    </row>
    <row r="20" spans="2:7" x14ac:dyDescent="0.25">
      <c r="D20" s="7" t="s">
        <v>39</v>
      </c>
      <c r="F20" s="86">
        <f>ROUNDUP(F18+F19,0)</f>
        <v>1702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17945.5</v>
      </c>
      <c r="G22" s="6"/>
    </row>
    <row r="23" spans="2:7" x14ac:dyDescent="0.25">
      <c r="C23" t="s">
        <v>38</v>
      </c>
      <c r="F23" s="60">
        <f>'Allocation Charges'!H12</f>
        <v>691.5034870490324</v>
      </c>
      <c r="G23" s="6"/>
    </row>
    <row r="24" spans="2:7" x14ac:dyDescent="0.25">
      <c r="D24" s="7" t="s">
        <v>39</v>
      </c>
      <c r="F24" s="86">
        <f>ROUNDUP(F22+F23,0)</f>
        <v>18638</v>
      </c>
      <c r="G24" s="6"/>
    </row>
    <row r="25" spans="2:7" x14ac:dyDescent="0.25">
      <c r="B25" t="s">
        <v>25</v>
      </c>
      <c r="F25" s="83">
        <f>ROUNDUP('Allocation Charges'!H13,0)</f>
        <v>4161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66</v>
      </c>
      <c r="G27" s="6"/>
    </row>
    <row r="28" spans="2:7" x14ac:dyDescent="0.25">
      <c r="C28" t="s">
        <v>38</v>
      </c>
      <c r="F28" s="60">
        <f>'Allocation Charges'!H14</f>
        <v>0</v>
      </c>
      <c r="G28" s="6"/>
    </row>
    <row r="29" spans="2:7" x14ac:dyDescent="0.25">
      <c r="D29" s="7" t="s">
        <v>39</v>
      </c>
      <c r="F29" s="86">
        <f>ROUNDUP(F27+F28,0)</f>
        <v>66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2796.51</v>
      </c>
      <c r="G31" s="6"/>
    </row>
    <row r="32" spans="2:7" x14ac:dyDescent="0.25">
      <c r="C32" t="s">
        <v>38</v>
      </c>
      <c r="F32" s="60">
        <f>'Allocation Charges'!H15</f>
        <v>3335.2019126240748</v>
      </c>
      <c r="G32" s="6"/>
    </row>
    <row r="33" spans="1:10" x14ac:dyDescent="0.25">
      <c r="D33" s="7" t="s">
        <v>39</v>
      </c>
      <c r="F33" s="86">
        <f>ROUNDUP(F31+F32,0)</f>
        <v>6132</v>
      </c>
      <c r="G33" s="6"/>
    </row>
    <row r="34" spans="1:10" x14ac:dyDescent="0.25">
      <c r="B34" t="s">
        <v>194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736</v>
      </c>
      <c r="G36" s="6"/>
    </row>
    <row r="37" spans="1:10" x14ac:dyDescent="0.25">
      <c r="B37" t="s">
        <v>30</v>
      </c>
      <c r="F37" s="83">
        <f>ROUNDUP('Allocation Charges'!H19,0)</f>
        <v>1039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72890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45237</v>
      </c>
      <c r="H53" s="114">
        <f>'Commodity TN KY'!E15*'Commodity TN KY'!G19</f>
        <v>13260.734829225157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130377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16" zoomScaleNormal="100" workbookViewId="0">
      <selection activeCell="E28" sqref="E28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2408 file =</v>
      </c>
      <c r="J1" s="99"/>
      <c r="K1" s="100" t="str">
        <f>+'Commodity OK'!H2</f>
        <v>Data Input Aug 24 billing =Aug invoices = July Flow  data= July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190</v>
      </c>
      <c r="D6" s="48"/>
      <c r="E6" s="90" t="s">
        <v>211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2156</v>
      </c>
      <c r="F7" s="51"/>
      <c r="G7" s="49">
        <f t="shared" ref="G7:G14" si="0">I7/E7</f>
        <v>0.97179035250463819</v>
      </c>
      <c r="H7" s="49"/>
      <c r="I7" s="174">
        <v>2095.1799999999998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229+2156</f>
        <v>2385</v>
      </c>
      <c r="F8" s="48"/>
      <c r="G8" s="49">
        <f>I8/E8</f>
        <v>5.2348721174004194</v>
      </c>
      <c r="H8" s="49"/>
      <c r="I8" s="174">
        <f>1101.49+11383.68</f>
        <v>12485.17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188</v>
      </c>
      <c r="D9" s="48"/>
      <c r="E9" s="90">
        <v>5112</v>
      </c>
      <c r="F9" s="48"/>
      <c r="G9" s="49">
        <f t="shared" si="0"/>
        <v>2.7172007042253523</v>
      </c>
      <c r="H9" s="49"/>
      <c r="I9" s="174">
        <v>13890.33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200</v>
      </c>
      <c r="D10" s="48"/>
      <c r="E10" s="90" t="s">
        <v>138</v>
      </c>
      <c r="F10" s="48"/>
      <c r="G10" s="49" t="e">
        <f t="shared" si="0"/>
        <v>#VALUE!</v>
      </c>
      <c r="H10" s="49"/>
      <c r="I10" s="174"/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241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215</v>
      </c>
      <c r="D12" s="48"/>
      <c r="E12" s="90">
        <f>121+77</f>
        <v>198</v>
      </c>
      <c r="F12" s="48"/>
      <c r="G12" s="49">
        <f>I12/E12</f>
        <v>4.7671717171717169</v>
      </c>
      <c r="H12" s="49"/>
      <c r="I12" s="174">
        <f>505.51+438.39</f>
        <v>943.9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183</v>
      </c>
      <c r="D13" s="48"/>
      <c r="E13" s="90">
        <v>3537</v>
      </c>
      <c r="F13" s="48"/>
      <c r="G13" s="49">
        <f>I13/E13</f>
        <v>3.5500000000000003</v>
      </c>
      <c r="H13" s="49"/>
      <c r="I13" s="174">
        <v>12556.35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217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13388</v>
      </c>
      <c r="F15" s="48"/>
      <c r="G15" s="42">
        <f>I15/(E8+E13)</f>
        <v>7.7120786896318814</v>
      </c>
      <c r="H15" s="49"/>
      <c r="I15" s="175">
        <f>SUM(I6:I14)</f>
        <v>45670.93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62727</v>
      </c>
      <c r="F19" s="48"/>
      <c r="G19" s="45">
        <f>E19/E22</f>
        <v>0.99049408643749304</v>
      </c>
      <c r="H19" s="48"/>
      <c r="I19" s="167">
        <f>I15*G19</f>
        <v>45236.786087100692</v>
      </c>
      <c r="J19" s="48"/>
      <c r="K19" s="92">
        <f>2722+9852+14613</f>
        <v>27187</v>
      </c>
      <c r="L19" s="48"/>
      <c r="P19" t="s">
        <v>195</v>
      </c>
    </row>
    <row r="20" spans="1:25" x14ac:dyDescent="0.25">
      <c r="A20" s="48"/>
      <c r="B20" s="48"/>
      <c r="C20" s="41" t="s">
        <v>89</v>
      </c>
      <c r="D20" s="41"/>
      <c r="E20" s="92">
        <v>602</v>
      </c>
      <c r="F20" s="41"/>
      <c r="G20" s="45">
        <f>E20/E22</f>
        <v>9.5059135625069086E-3</v>
      </c>
      <c r="H20" s="41"/>
      <c r="I20" s="166">
        <f>I15*G20</f>
        <v>434.14391289930364</v>
      </c>
      <c r="J20" s="41"/>
      <c r="K20" s="92">
        <f>337+444+61</f>
        <v>842</v>
      </c>
      <c r="L20" s="48"/>
      <c r="P20" t="s">
        <v>208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63329</v>
      </c>
      <c r="F22" s="48"/>
      <c r="G22" s="45">
        <f>SUM(G19:G20)</f>
        <v>1</v>
      </c>
      <c r="H22" s="48"/>
      <c r="I22" s="154">
        <f>SUM(I19:I20)</f>
        <v>45670.929999999993</v>
      </c>
      <c r="J22" s="48"/>
      <c r="K22" s="38">
        <f>SUM(K19:K20)</f>
        <v>28029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187</v>
      </c>
      <c r="V26" s="67"/>
    </row>
    <row r="27" spans="1:25" x14ac:dyDescent="0.25">
      <c r="A27" s="48"/>
      <c r="B27" s="48"/>
      <c r="C27" s="48" t="s">
        <v>277</v>
      </c>
      <c r="D27" s="48"/>
      <c r="E27" s="93">
        <v>403</v>
      </c>
      <c r="F27" s="51"/>
      <c r="G27" s="49">
        <f>I27/E27</f>
        <v>4.5999999999999996</v>
      </c>
      <c r="H27" s="48"/>
      <c r="I27" s="157">
        <v>1853.8</v>
      </c>
      <c r="J27" s="48"/>
      <c r="K27" s="48"/>
      <c r="L27" s="48"/>
      <c r="P27" s="8">
        <f>I35+I20</f>
        <v>2734.1039128993039</v>
      </c>
      <c r="V27" s="27"/>
    </row>
    <row r="28" spans="1:25" x14ac:dyDescent="0.25">
      <c r="A28" s="48"/>
      <c r="B28" s="48"/>
      <c r="C28" s="48" t="s">
        <v>182</v>
      </c>
      <c r="D28" s="48"/>
      <c r="E28" s="90">
        <v>362</v>
      </c>
      <c r="F28" s="48"/>
      <c r="G28" s="49">
        <f>I28/E28</f>
        <v>1.2324861878453039</v>
      </c>
      <c r="H28" s="49"/>
      <c r="I28" s="158">
        <v>446.16</v>
      </c>
      <c r="J28" s="48"/>
      <c r="K28" s="48"/>
      <c r="L28" s="48"/>
      <c r="P28" s="134">
        <f>+E20+E33</f>
        <v>3878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2299.96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v>3276</v>
      </c>
      <c r="F33" s="48"/>
      <c r="G33" s="45">
        <f>E33/E35</f>
        <v>1</v>
      </c>
      <c r="H33" s="48"/>
      <c r="I33" s="49">
        <f>+I27+I28</f>
        <v>2299.96</v>
      </c>
      <c r="J33" s="48"/>
      <c r="K33" s="238">
        <f>947+2497+83</f>
        <v>3527</v>
      </c>
      <c r="L33" s="48"/>
      <c r="P33" t="s">
        <v>208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3276</v>
      </c>
      <c r="F35" s="48"/>
      <c r="G35" s="45">
        <f>G33</f>
        <v>1</v>
      </c>
      <c r="H35" s="48"/>
      <c r="I35" s="154">
        <f>I33</f>
        <v>2299.96</v>
      </c>
      <c r="J35" s="48"/>
      <c r="K35" s="38">
        <f>K33</f>
        <v>3527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45236.786087100692</v>
      </c>
      <c r="J38" s="184"/>
    </row>
    <row r="39" spans="1:25" x14ac:dyDescent="0.25">
      <c r="G39" s="185" t="s">
        <v>168</v>
      </c>
      <c r="I39" s="233">
        <f>+I20+I29</f>
        <v>2734.1039128993039</v>
      </c>
      <c r="J39" s="186"/>
      <c r="P39" s="6"/>
    </row>
    <row r="40" spans="1:25" ht="15.75" thickBot="1" x14ac:dyDescent="0.3">
      <c r="G40" s="185"/>
      <c r="I40" s="105">
        <f>SUM(I38:I39)</f>
        <v>47970.89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216</v>
      </c>
      <c r="I42" s="55"/>
      <c r="J42" s="186"/>
    </row>
    <row r="43" spans="1:25" x14ac:dyDescent="0.25">
      <c r="D43" s="16"/>
      <c r="E43" s="20"/>
      <c r="G43" s="185" t="s">
        <v>198</v>
      </c>
      <c r="I43" s="187">
        <v>14785.13</v>
      </c>
      <c r="J43" s="186"/>
    </row>
    <row r="44" spans="1:25" x14ac:dyDescent="0.25">
      <c r="G44" s="185" t="s">
        <v>199</v>
      </c>
      <c r="I44" s="187">
        <v>33185.760000000002</v>
      </c>
      <c r="J44" s="186"/>
    </row>
    <row r="45" spans="1:25" x14ac:dyDescent="0.25">
      <c r="G45" s="185" t="s">
        <v>197</v>
      </c>
      <c r="I45" s="187">
        <f>+I43+I44</f>
        <v>47970.89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210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topLeftCell="A10" zoomScaleNormal="100" workbookViewId="0">
      <selection activeCell="N7" sqref="N7:N1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2408 file =</v>
      </c>
      <c r="M2" s="54"/>
      <c r="N2" s="97" t="str">
        <f>+'Commodity OK'!H2</f>
        <v>Data Input Aug 24 billing =Aug invoices = July Flow  data= July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646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485</v>
      </c>
      <c r="I7" s="68" t="s">
        <v>151</v>
      </c>
      <c r="J7" s="90">
        <v>-91</v>
      </c>
      <c r="L7" s="49">
        <f t="shared" si="0"/>
        <v>1.68</v>
      </c>
      <c r="N7" s="91">
        <v>-152.88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650</v>
      </c>
      <c r="L8" s="49">
        <f t="shared" si="0"/>
        <v>4.7699999999999996</v>
      </c>
      <c r="N8" s="91">
        <v>3100.5</v>
      </c>
      <c r="P8" s="48"/>
    </row>
    <row r="9" spans="1:21" x14ac:dyDescent="0.25">
      <c r="B9" t="s">
        <v>14</v>
      </c>
      <c r="F9" s="226">
        <v>0</v>
      </c>
      <c r="I9" s="68" t="s">
        <v>255</v>
      </c>
      <c r="J9" s="90">
        <v>3504</v>
      </c>
      <c r="L9" s="49">
        <f>N9/J9</f>
        <v>3.0863242009132419</v>
      </c>
      <c r="N9" s="91">
        <v>10814.48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3504</v>
      </c>
      <c r="L10" s="49">
        <f>N10/J10</f>
        <v>0.24000000000000002</v>
      </c>
      <c r="N10" s="91">
        <v>840.96</v>
      </c>
      <c r="P10" s="171" t="s">
        <v>263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1066.58</v>
      </c>
      <c r="G11" s="6"/>
      <c r="I11" s="68" t="s">
        <v>147</v>
      </c>
      <c r="J11" s="108">
        <f>SUM(J6:J10)</f>
        <v>7567</v>
      </c>
      <c r="L11" s="72">
        <f t="shared" si="0"/>
        <v>1.929834809039249</v>
      </c>
      <c r="N11" s="213">
        <f>SUM(N6:N10)</f>
        <v>14603.059999999998</v>
      </c>
      <c r="P11" s="48"/>
    </row>
    <row r="12" spans="1:21" x14ac:dyDescent="0.25">
      <c r="C12" t="s">
        <v>38</v>
      </c>
      <c r="F12" s="226">
        <f>'Allocation Charges'!N7</f>
        <v>866.20260774059261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1933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227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55362</v>
      </c>
      <c r="K16" s="6"/>
      <c r="L16" s="45">
        <v>1</v>
      </c>
      <c r="M16" s="6"/>
      <c r="N16" s="49">
        <f>L16*N11</f>
        <v>14603.059999999998</v>
      </c>
      <c r="O16" s="6"/>
      <c r="P16" s="92">
        <v>224518</v>
      </c>
    </row>
    <row r="17" spans="2:18" x14ac:dyDescent="0.25">
      <c r="B17" t="s">
        <v>19</v>
      </c>
      <c r="F17" s="226">
        <f>ROUNDUP('Allocation Charges'!N10,0)</f>
        <v>2036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55362</v>
      </c>
      <c r="N18" s="71">
        <f>N16</f>
        <v>14603.059999999998</v>
      </c>
      <c r="P18" s="70">
        <f>P16</f>
        <v>224518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149.96840288810557</v>
      </c>
      <c r="G20" s="6"/>
      <c r="I20" t="s">
        <v>75</v>
      </c>
      <c r="L20" s="109">
        <f>+J10*0.18</f>
        <v>630.72</v>
      </c>
      <c r="M20" s="6"/>
      <c r="O20" s="6"/>
      <c r="P20" s="76" t="s">
        <v>191</v>
      </c>
      <c r="Q20" s="74"/>
    </row>
    <row r="21" spans="2:18" ht="15.75" thickBot="1" x14ac:dyDescent="0.3">
      <c r="D21" s="7" t="s">
        <v>39</v>
      </c>
      <c r="F21" s="227">
        <f>ROUNDUP(F19+F20,0)</f>
        <v>150</v>
      </c>
      <c r="G21" s="6"/>
      <c r="I21" t="s">
        <v>135</v>
      </c>
      <c r="L21" s="6">
        <f>J10*0.2</f>
        <v>700.80000000000007</v>
      </c>
      <c r="M21" s="6"/>
      <c r="O21" s="6"/>
      <c r="P21" s="76" t="s">
        <v>193</v>
      </c>
    </row>
    <row r="22" spans="2:18" x14ac:dyDescent="0.25">
      <c r="B22" t="s">
        <v>21</v>
      </c>
      <c r="F22" s="102"/>
      <c r="G22" s="6"/>
      <c r="L22" s="30">
        <f>SUM(L18:L21)</f>
        <v>1331.52</v>
      </c>
      <c r="M22" s="6"/>
      <c r="O22" s="6"/>
      <c r="P22" s="162" t="s">
        <v>162</v>
      </c>
      <c r="Q22" s="165" t="s">
        <v>192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3504</v>
      </c>
      <c r="Q23" s="147">
        <v>0.18</v>
      </c>
      <c r="R23" s="161">
        <f>+P23*Q23</f>
        <v>630.72</v>
      </c>
    </row>
    <row r="24" spans="2:18" x14ac:dyDescent="0.25">
      <c r="C24" t="s">
        <v>38</v>
      </c>
      <c r="F24" s="134">
        <f>'Allocation Charges'!N12</f>
        <v>76.827408551257889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323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463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0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0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194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82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116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7461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14604</v>
      </c>
    </row>
    <row r="55" spans="1:9" x14ac:dyDescent="0.25">
      <c r="A55" s="16"/>
      <c r="B55" t="s">
        <v>108</v>
      </c>
      <c r="F55" s="240">
        <f>ROUNDUP(L22,0)</f>
        <v>1332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15936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24762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4" sqref="H24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254</v>
      </c>
      <c r="F1" s="6" t="str">
        <f>+'Commodity OK'!H2</f>
        <v>Data Input Aug 24 billing =Aug invoices = July Flow  data= July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251</v>
      </c>
      <c r="I3" s="19"/>
      <c r="J3" s="19" t="s">
        <v>252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253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247</v>
      </c>
      <c r="F7" s="85">
        <f>+'Direct Charges'!P21</f>
        <v>463.51</v>
      </c>
      <c r="G7" s="60"/>
      <c r="H7" s="85">
        <f>ROUNDUP(F7,0)</f>
        <v>464</v>
      </c>
      <c r="I7" s="60"/>
      <c r="J7" s="222"/>
      <c r="K7" s="60"/>
    </row>
    <row r="8" spans="1:12" x14ac:dyDescent="0.25">
      <c r="C8" t="s">
        <v>248</v>
      </c>
      <c r="F8" s="85">
        <f>+'Direct Charges'!P22</f>
        <v>1500.76</v>
      </c>
      <c r="G8" s="60"/>
      <c r="H8" s="85"/>
      <c r="I8" s="60"/>
      <c r="J8" s="85">
        <f>ROUNDUP(F8,0)</f>
        <v>1501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249</v>
      </c>
      <c r="F11" s="85">
        <f>+'Direct Charges'!F34</f>
        <v>133.44</v>
      </c>
      <c r="G11" s="60"/>
      <c r="H11" s="85">
        <f>ROUNDUP(F11,0)</f>
        <v>134</v>
      </c>
      <c r="I11" s="60"/>
      <c r="J11" s="222"/>
      <c r="K11" s="60"/>
    </row>
    <row r="12" spans="1:12" x14ac:dyDescent="0.25">
      <c r="C12" t="s">
        <v>250</v>
      </c>
      <c r="F12" s="85">
        <f>+'Direct Charges'!F35</f>
        <v>50</v>
      </c>
      <c r="G12" s="60"/>
      <c r="H12" s="85"/>
      <c r="I12" s="60"/>
      <c r="J12" s="85">
        <f>ROUNDUP(F12,0)</f>
        <v>50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2147.71</v>
      </c>
      <c r="G14" s="120"/>
      <c r="H14" s="219">
        <f>SUM(H7:H13)</f>
        <v>598</v>
      </c>
      <c r="I14" s="120"/>
      <c r="J14" s="219">
        <f>SUM(J7:J13)</f>
        <v>1551</v>
      </c>
      <c r="K14" s="120"/>
    </row>
    <row r="16" spans="1:12" x14ac:dyDescent="0.25">
      <c r="F16" s="6">
        <f>SUM(H14:K14)</f>
        <v>2149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2024-12-17T21:38:56Z</cp:lastPrinted>
  <dcterms:created xsi:type="dcterms:W3CDTF">2013-02-08T00:44:54Z</dcterms:created>
  <dcterms:modified xsi:type="dcterms:W3CDTF">2024-12-17T21:50:45Z</dcterms:modified>
</cp:coreProperties>
</file>