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CBDBF126-9BB3-4753-B52F-98EE2060F509}" xr6:coauthVersionLast="47" xr6:coauthVersionMax="47" xr10:uidLastSave="{00000000-0000-0000-0000-000000000000}"/>
  <bookViews>
    <workbookView xWindow="-120" yWindow="-120" windowWidth="29040" windowHeight="15720" tabRatio="837" activeTab="8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4" l="1"/>
  <c r="I8" i="28"/>
  <c r="E8" i="28"/>
  <c r="I27" i="28"/>
  <c r="E27" i="28"/>
  <c r="C44" i="11"/>
  <c r="F7" i="11"/>
  <c r="D7" i="11"/>
  <c r="F8" i="11"/>
  <c r="D8" i="11"/>
  <c r="F17" i="11"/>
  <c r="I12" i="28"/>
  <c r="E12" i="28"/>
  <c r="E33" i="28"/>
  <c r="K33" i="28"/>
  <c r="E20" i="28"/>
  <c r="E19" i="28"/>
  <c r="K20" i="28"/>
  <c r="K19" i="28"/>
  <c r="F12" i="4"/>
  <c r="F7" i="4"/>
  <c r="C25" i="32"/>
  <c r="J11" i="15" l="1"/>
  <c r="J57" i="6" l="1"/>
  <c r="H25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C27" i="35" s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E29" i="35"/>
  <c r="C29" i="35" l="1"/>
  <c r="G29" i="35" s="1"/>
  <c r="G20" i="35"/>
  <c r="G3" i="35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D26" i="32" l="1"/>
  <c r="D25" i="32"/>
  <c r="I10" i="33"/>
  <c r="J8" i="33"/>
  <c r="J10" i="33" s="1"/>
  <c r="G15" i="32"/>
  <c r="I8" i="32"/>
  <c r="J8" i="32" s="1"/>
  <c r="H8" i="36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R20" i="4"/>
  <c r="F66" i="1" l="1"/>
  <c r="F68" i="1" s="1"/>
  <c r="L57" i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l="1"/>
  <c r="F42" i="11"/>
  <c r="F56" i="8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C45" i="11" s="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<sst xmlns="http://schemas.openxmlformats.org/spreadsheetml/2006/main" count="641" uniqueCount="279">
  <si>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</si>
  <si>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</si>
  <si>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</si>
  <si>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</si>
  <si>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</si>
  <si>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</si>
  <si>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</si>
  <si>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</si>
  <si>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</si>
  <si>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</si>
  <si>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</si>
  <si>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</si>
  <si>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</si>
  <si>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</si>
  <si>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</si>
  <si>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</si>
  <si>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</si>
  <si>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</si>
  <si>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</si>
  <si>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</si>
  <si>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</si>
  <si>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</si>
  <si>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</si>
  <si>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</si>
  <si>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</si>
  <si>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</si>
  <si>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</si>
  <si>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</si>
  <si>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</si>
  <si>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</si>
  <si>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</si>
  <si>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</si>
  <si>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</si>
  <si>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</si>
  <si>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</si>
  <si>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</si>
  <si>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</si>
  <si>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</si>
  <si>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</si>
  <si>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</si>
  <si>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</si>
  <si>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</si>
  <si>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</si>
  <si>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</si>
  <si>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</si>
  <si>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</si>
  <si>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</si>
  <si>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</si>
  <si>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</si>
  <si>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</si>
  <si>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</si>
  <si>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</si>
  <si>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</si>
  <si>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</si>
  <si>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</si>
  <si>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</si>
  <si>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</si>
  <si>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</si>
  <si>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</si>
  <si>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</si>
  <si>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</si>
  <si>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</si>
  <si>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</si>
  <si>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</si>
  <si>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</si>
  <si>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</si>
  <si>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</si>
  <si>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</si>
  <si>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</si>
  <si>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</si>
  <si>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</si>
  <si>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</si>
  <si>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</si>
  <si>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</si>
  <si>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</si>
  <si>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</si>
  <si>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</si>
  <si>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</si>
  <si>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</si>
  <si>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</si>
  <si>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</si>
  <si>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</si>
  <si>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</si>
  <si>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</si>
  <si>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</si>
  <si>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</si>
  <si>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</si>
  <si>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</si>
  <si>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</si>
  <si>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</si>
  <si>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</si>
  <si>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</si>
  <si>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</si>
  <si>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</si>
  <si>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</si>
  <si>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</si>
  <si>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</si>
  <si>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</si>
  <si>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</si>
  <si>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</si>
  <si>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</si>
  <si>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</si>
  <si>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</si>
  <si>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</si>
  <si>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</si>
  <si>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</si>
  <si>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</si>
  <si>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</si>
  <si>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</si>
  <si>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</si>
  <si>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</si>
  <si>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</si>
  <si>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</si>
  <si>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</si>
  <si>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</si>
  <si>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</si>
  <si>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</si>
  <si>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</si>
  <si>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</si>
  <si>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</si>
  <si>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</si>
  <si>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</si>
  <si>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</si>
  <si>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</si>
  <si>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</si>
  <si>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</si>
  <si>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</si>
  <si>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</si>
  <si>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</si>
  <si>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</si>
  <si>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</si>
  <si>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</si>
  <si>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</si>
  <si>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</si>
  <si>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</si>
  <si>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</si>
  <si>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</si>
  <si>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</si>
  <si>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</si>
  <si>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</si>
  <si>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</si>
  <si>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</si>
  <si>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</si>
  <si>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</si>
  <si>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</si>
  <si>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</si>
  <si>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</si>
  <si>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</si>
  <si>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</si>
  <si>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</si>
  <si>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</si>
  <si>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</si>
  <si>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</si>
  <si>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</si>
  <si>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</si>
  <si>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</si>
  <si>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</si>
  <si>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</si>
  <si>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</si>
  <si>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</si>
  <si>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</si>
  <si>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</si>
  <si>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</si>
  <si>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</si>
  <si>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</si>
  <si>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</si>
  <si>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</si>
  <si>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</si>
  <si>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</si>
  <si>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</si>
  <si>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</si>
  <si>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</si>
  <si>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</si>
  <si>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</si>
  <si>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</si>
  <si>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</si>
  <si>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</si>
  <si>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</si>
  <si>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</si>
  <si>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</si>
  <si>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</si>
  <si>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</si>
  <si>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</si>
  <si>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</si>
  <si>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</si>
  <si>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</si>
  <si>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</si>
  <si>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</si>
  <si>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</si>
  <si>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</si>
  <si>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</si>
  <si>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</si>
  <si>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</si>
  <si>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</si>
  <si>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</si>
  <si>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</si>
  <si>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</si>
  <si>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</si>
  <si>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</si>
  <si>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</si>
  <si>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</si>
  <si>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</si>
  <si>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</si>
  <si>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</si>
  <si>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</si>
  <si>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</si>
  <si>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</si>
  <si>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</si>
  <si>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</si>
  <si>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</si>
  <si>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</si>
  <si>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</si>
  <si>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</si>
  <si>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</si>
  <si>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</si>
  <si>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</si>
  <si>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</si>
  <si>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</si>
  <si>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</si>
  <si>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</si>
  <si>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</si>
  <si>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</si>
  <si>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</si>
  <si>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</si>
  <si>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</si>
  <si>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</si>
  <si>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</si>
  <si>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</si>
  <si>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</si>
  <si>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</si>
  <si>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</si>
  <si>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</si>
  <si>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</si>
  <si>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</si>
  <si>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</si>
  <si>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</si>
  <si>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</si>
  <si>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</si>
  <si>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</si>
  <si>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</si>
  <si>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</si>
  <si>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</si>
  <si>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</si>
  <si>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</si>
  <si>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</si>
  <si>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</si>
  <si>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</si>
  <si>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</si>
  <si>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</si>
  <si>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</si>
  <si>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</si>
  <si>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</si>
  <si>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</si>
  <si>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</si>
  <si>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</si>
  <si>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</si>
  <si>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</si>
  <si>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</si>
  <si>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</si>
  <si>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</si>
  <si>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</si>
  <si>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</si>
  <si>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</si>
  <si>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</si>
  <si>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</si>
  <si>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same Cima volume, cannot count twice, DO NOT LOAD VOLUME</t>
  </si>
  <si>
    <t>654K Updated as of 12/31/23</t>
  </si>
  <si>
    <t>2024</t>
  </si>
  <si>
    <t>204</t>
  </si>
  <si>
    <t>Monthly Avg Cust Count - 2023</t>
  </si>
  <si>
    <t>Skye OK, LLC</t>
  </si>
  <si>
    <t>Per 6/30/24</t>
  </si>
  <si>
    <t>data input as of 06/30/24</t>
  </si>
  <si>
    <t>Values set from Q2 2024 numbers for Q3 &amp; Q4 in 2024</t>
  </si>
  <si>
    <t>2407 file =</t>
  </si>
  <si>
    <r>
      <t xml:space="preserve">Data Input July 24 billing =July invoices = June </t>
    </r>
    <r>
      <rPr>
        <b/>
        <u val="singleAccounting"/>
        <sz val="11"/>
        <color theme="1"/>
        <rFont val="Calibri"/>
        <family val="2"/>
        <scheme val="minor"/>
      </rPr>
      <t>Flow  data= June Sales Volume</t>
    </r>
  </si>
  <si>
    <t>BB 2407</t>
  </si>
  <si>
    <t>June.24 Usage</t>
  </si>
  <si>
    <t>Prior Month = May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</si>
</sst>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27</xdr:col>
      <xdr:colOff>10297</xdr:colOff>
      <xdr:row>39</xdr:row>
      <xdr:rowOff>86774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FECB2-AF0C-ECFA-4CD9-93C33CD5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0"/>
          <a:ext cx="5534797" cy="7516274"/>
        </a:xfrm>
        <a:prstGeom prst="rect">
          <a:avLst/>
        </a:prstGeom>
      </xdr:spPr>
    </xdr:pic>
    <xdr:clientData/>
  </xdr:twoCellAnchor>
  <xdr:twoCellAnchor editAs="oneCell">
    <xdr:from>
      <xdr:col>17</xdr:col>
      <xdr:colOff>603250</xdr:colOff>
      <xdr:row>39</xdr:row>
      <xdr:rowOff>74084</xdr:rowOff>
    </xdr:from>
    <xdr:to>
      <xdr:col>27</xdr:col>
      <xdr:colOff>37820</xdr:colOff>
      <xdr:row>73</xdr:row>
      <xdr:rowOff>8304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0FED-6498-2F42-5497-FAB5156D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8917" y="7503584"/>
          <a:ext cx="5572903" cy="641122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73</xdr:row>
      <xdr:rowOff>0</xdr:rowOff>
    </xdr:from>
    <xdr:to>
      <xdr:col>27</xdr:col>
      <xdr:colOff>57929</xdr:colOff>
      <xdr:row>107</xdr:row>
      <xdr:rowOff>115220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43EE74-E574-6500-D390-45711816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69500" y="13906500"/>
          <a:ext cx="5582429" cy="6592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21</xdr:col>
      <xdr:colOff>59003</xdr:colOff>
      <xdr:row>79</xdr:row>
      <xdr:rowOff>115114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F23A9C-0982-C9DB-986A-3A32B9F41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420225"/>
          <a:ext cx="13279703" cy="58301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26</xdr:col>
      <xdr:colOff>135206</xdr:colOff>
      <xdr:row>64</xdr:row>
      <xdr:rowOff>143320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33DA85-E36A-0ADD-8057-2B40B032E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201150"/>
          <a:ext cx="13298756" cy="3191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28</xdr:col>
      <xdr:colOff>525732</xdr:colOff>
      <xdr:row>30</xdr:row>
      <xdr:rowOff>47791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A2FE3-068A-1346-5751-0D160D2BA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635500"/>
          <a:ext cx="13241607" cy="1190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407843</xdr:colOff>
      <xdr:row>18</xdr:row>
      <xdr:rowOff>133794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27EB5-3D53-E45C-4900-FF56A840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94156" y="381000"/>
          <a:ext cx="465837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189596</xdr:colOff>
      <xdr:row>45</xdr:row>
      <xdr:rowOff>162320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8F42B7-F281-7202-E423-1348CEFF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41219"/>
          <a:ext cx="10583752" cy="2829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zoomScale="90" zoomScaleNormal="90" zoomScalePageLayoutView="64" workbookViewId="0">
      <pane xSplit="4" ySplit="4" topLeftCell="E41" activePane="bottomRight" state="frozen"/>
      <selection pane="topRight" activeCell="E1" sqref="E1"/>
      <selection pane="bottomLeft" activeCell="A5" sqref="A5"/>
      <selection pane="bottomRight" activeCell="J68" sqref="J68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July 24 billing =July invoices = June Flow  data= June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12047.89</v>
      </c>
      <c r="G7" s="56"/>
      <c r="H7" s="79">
        <f>F7</f>
        <v>12047.89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7506.42</v>
      </c>
      <c r="G8" s="56"/>
      <c r="H8" s="79"/>
      <c r="I8" s="8"/>
      <c r="J8" s="79">
        <f>F8</f>
        <v>7506.42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311.45</v>
      </c>
      <c r="G9" s="56"/>
      <c r="H9" s="79"/>
      <c r="I9" s="8"/>
      <c r="J9" s="79"/>
      <c r="K9" s="8"/>
      <c r="L9" s="79"/>
      <c r="M9" s="8"/>
      <c r="N9" s="79">
        <f>F9</f>
        <v>311.45</v>
      </c>
      <c r="P9" s="79"/>
    </row>
    <row r="10" spans="1:16" x14ac:dyDescent="0.25">
      <c r="C10" t="s">
        <v>3</v>
      </c>
      <c r="F10" s="112">
        <v>92009.9</v>
      </c>
      <c r="G10" s="56"/>
      <c r="H10" s="79"/>
      <c r="I10" s="8"/>
      <c r="J10" s="79"/>
      <c r="K10" s="8"/>
      <c r="L10" s="79">
        <f>F10</f>
        <v>92009.9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4028.22</v>
      </c>
      <c r="G13" s="56"/>
      <c r="H13" s="79">
        <f>F13</f>
        <v>4028.22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500.52</v>
      </c>
      <c r="G14" s="56"/>
      <c r="H14" s="79"/>
      <c r="I14" s="8"/>
      <c r="J14" s="79">
        <f>F14</f>
        <v>500.52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338.26</v>
      </c>
      <c r="G15" s="56"/>
      <c r="H15" s="79"/>
      <c r="I15" s="8"/>
      <c r="J15" s="79"/>
      <c r="K15" s="8"/>
      <c r="L15" s="79"/>
      <c r="M15" s="8"/>
      <c r="N15" s="79">
        <f>F15</f>
        <v>338.26</v>
      </c>
      <c r="P15" s="79"/>
    </row>
    <row r="16" spans="1:16" x14ac:dyDescent="0.25">
      <c r="C16" t="s">
        <v>7</v>
      </c>
      <c r="F16" s="112">
        <v>18838.45</v>
      </c>
      <c r="G16" s="56"/>
      <c r="H16" s="79"/>
      <c r="I16" s="8"/>
      <c r="J16" s="79"/>
      <c r="K16" s="8"/>
      <c r="L16" s="79">
        <f>F16</f>
        <v>18838.45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9247.77</v>
      </c>
      <c r="G18" s="56"/>
      <c r="H18" s="79"/>
      <c r="I18" s="8"/>
      <c r="J18" s="79"/>
      <c r="K18" s="8"/>
      <c r="L18" s="79">
        <f>F18</f>
        <v>9247.77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464.15</v>
      </c>
      <c r="G21" s="56"/>
      <c r="H21" s="79"/>
      <c r="I21" s="8"/>
      <c r="J21" s="79"/>
      <c r="K21" s="8"/>
      <c r="L21" s="79"/>
      <c r="M21" s="8"/>
      <c r="N21" s="79"/>
      <c r="P21" s="79">
        <f>+F21</f>
        <v>464.15</v>
      </c>
    </row>
    <row r="22" spans="2:16" x14ac:dyDescent="0.25">
      <c r="C22" t="s">
        <v>250</v>
      </c>
      <c r="F22" s="112">
        <v>1289.76</v>
      </c>
      <c r="G22" s="56"/>
      <c r="H22" s="79"/>
      <c r="I22" s="8"/>
      <c r="J22" s="79"/>
      <c r="K22" s="8"/>
      <c r="L22" s="79"/>
      <c r="M22" s="8"/>
      <c r="N22" s="79"/>
      <c r="P22" s="79">
        <f>+F22</f>
        <v>1289.76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199.17</v>
      </c>
      <c r="G25" s="56"/>
      <c r="H25" s="79">
        <f>F25</f>
        <v>199.17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764.22</v>
      </c>
      <c r="G26" s="56"/>
      <c r="H26" s="79"/>
      <c r="I26" s="8"/>
      <c r="J26" s="79">
        <f>F26</f>
        <v>764.22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164.7</v>
      </c>
      <c r="G27" s="56"/>
      <c r="H27" s="79"/>
      <c r="I27" s="8"/>
      <c r="J27" s="79"/>
      <c r="K27" s="8"/>
      <c r="L27" s="79"/>
      <c r="M27" s="8"/>
      <c r="N27" s="79">
        <f>F27</f>
        <v>164.7</v>
      </c>
      <c r="P27" s="79"/>
    </row>
    <row r="28" spans="2:16" x14ac:dyDescent="0.25">
      <c r="C28" t="s">
        <v>117</v>
      </c>
      <c r="F28" s="112">
        <v>1873.44</v>
      </c>
      <c r="G28" s="56"/>
      <c r="H28" s="79"/>
      <c r="I28" s="8"/>
      <c r="J28" s="79"/>
      <c r="K28" s="8"/>
      <c r="L28" s="79">
        <f>F28</f>
        <v>1873.44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3131.82</v>
      </c>
      <c r="G31" s="56"/>
      <c r="H31" s="79"/>
      <c r="I31" s="8"/>
      <c r="J31" s="79"/>
      <c r="K31" s="8"/>
      <c r="L31" s="79">
        <f>F31</f>
        <v>3131.82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141.19</v>
      </c>
      <c r="G34" s="56"/>
      <c r="H34" s="79"/>
      <c r="I34" s="8"/>
      <c r="J34" s="79"/>
      <c r="K34" s="8"/>
      <c r="L34" s="79"/>
      <c r="M34" s="8"/>
      <c r="N34" s="79"/>
      <c r="P34" s="79">
        <f>+F34</f>
        <v>141.19</v>
      </c>
    </row>
    <row r="35" spans="2:16" x14ac:dyDescent="0.25">
      <c r="C35" t="s">
        <v>252</v>
      </c>
      <c r="F35" s="112">
        <v>255.47</v>
      </c>
      <c r="G35" s="56"/>
      <c r="H35" s="79"/>
      <c r="I35" s="8"/>
      <c r="J35" s="79"/>
      <c r="K35" s="8"/>
      <c r="L35" s="79"/>
      <c r="M35" s="8"/>
      <c r="N35" s="79"/>
      <c r="P35" s="79">
        <f>+F35</f>
        <v>255.47</v>
      </c>
    </row>
    <row r="36" spans="2:16" x14ac:dyDescent="0.25">
      <c r="C36" t="s">
        <v>119</v>
      </c>
      <c r="F36" s="112">
        <v>324.27</v>
      </c>
      <c r="G36" s="56"/>
      <c r="H36" s="79">
        <f>F36</f>
        <v>324.27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194.98</v>
      </c>
      <c r="G37" s="56"/>
      <c r="H37" s="79"/>
      <c r="I37" s="8"/>
      <c r="J37" s="79">
        <f>F37</f>
        <v>194.98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2465.1799999999998</v>
      </c>
      <c r="G39" s="56"/>
      <c r="H39" s="79"/>
      <c r="I39" s="8"/>
      <c r="J39" s="79"/>
      <c r="K39" s="8"/>
      <c r="L39" s="79">
        <f>F39</f>
        <v>2465.1799999999998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4483</v>
      </c>
      <c r="G42" s="56"/>
      <c r="H42" s="79">
        <f>F42</f>
        <v>4483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305.10000000000002</v>
      </c>
      <c r="G43" s="56"/>
      <c r="H43" s="79"/>
      <c r="I43" s="8"/>
      <c r="J43" s="79">
        <f>F43</f>
        <v>305.10000000000002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245.83</v>
      </c>
      <c r="G44" s="56"/>
      <c r="H44" s="79"/>
      <c r="I44" s="8"/>
      <c r="J44" s="79"/>
      <c r="K44" s="8"/>
      <c r="L44" s="79"/>
      <c r="M44" s="8"/>
      <c r="N44" s="79">
        <f>F44</f>
        <v>245.83</v>
      </c>
      <c r="P44" s="79"/>
    </row>
    <row r="45" spans="2:16" x14ac:dyDescent="0.25">
      <c r="C45" t="s">
        <v>24</v>
      </c>
      <c r="F45" s="112">
        <v>13513.51</v>
      </c>
      <c r="G45" s="56"/>
      <c r="H45" s="79"/>
      <c r="I45" s="8"/>
      <c r="J45" s="79"/>
      <c r="K45" s="8"/>
      <c r="L45" s="79">
        <f>F45</f>
        <v>13513.51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112.68</v>
      </c>
      <c r="G48" s="56"/>
      <c r="H48" s="79">
        <f>F48</f>
        <v>112.68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2081.5</v>
      </c>
      <c r="G51" s="56"/>
      <c r="H51" s="79"/>
      <c r="I51" s="8"/>
      <c r="J51" s="79"/>
      <c r="K51" s="8"/>
      <c r="L51" s="79">
        <f>F51</f>
        <v>2081.5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683.65</v>
      </c>
      <c r="G55" s="56"/>
      <c r="H55" s="79"/>
      <c r="I55" s="8"/>
      <c r="J55" s="79">
        <f>F55</f>
        <v>683.65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27481.119999999999</v>
      </c>
      <c r="G57" s="56"/>
      <c r="H57" s="79"/>
      <c r="I57" s="8"/>
      <c r="J57" s="79"/>
      <c r="K57" s="8"/>
      <c r="L57" s="79">
        <f>F57</f>
        <v>27481.119999999999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208122.71</v>
      </c>
      <c r="G59" s="57"/>
      <c r="H59" s="113">
        <f>SUM(H7:H57)</f>
        <v>24314.32</v>
      </c>
      <c r="I59" s="23"/>
      <c r="J59" s="113">
        <f>SUM(J7:J57)</f>
        <v>9954.89</v>
      </c>
      <c r="K59" s="23"/>
      <c r="L59" s="113">
        <f>SUM(L7:L57)</f>
        <v>170642.69</v>
      </c>
      <c r="M59" s="23"/>
      <c r="N59" s="113">
        <f>SUM(N7:N57)</f>
        <v>1060.24</v>
      </c>
      <c r="P59" s="113">
        <f>SUM(P7:P57)</f>
        <v>2150.5699999999997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34364.400000000001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296260.17514153535</v>
      </c>
      <c r="P63" s="60">
        <f>+L59+'Allocation Charges'!L21</f>
        <v>296260.17514153535</v>
      </c>
    </row>
    <row r="64" spans="1:16" x14ac:dyDescent="0.25">
      <c r="B64" s="16"/>
      <c r="D64" t="s">
        <v>155</v>
      </c>
      <c r="F64" s="102">
        <f>+F59</f>
        <v>208122.71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59529</v>
      </c>
      <c r="P64" s="60">
        <f>+H59+'Allocation Charges'!H21</f>
        <v>59522.01549662961</v>
      </c>
    </row>
    <row r="65" spans="4:16" x14ac:dyDescent="0.25">
      <c r="D65" t="s">
        <v>156</v>
      </c>
      <c r="F65" s="102">
        <f>+'Allocation Charges'!F21</f>
        <v>181763.22999999998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26402</v>
      </c>
      <c r="P65" s="60">
        <f>+J59+'Allocation Charges'!J21</f>
        <v>26395.107317993348</v>
      </c>
    </row>
    <row r="66" spans="4:16" x14ac:dyDescent="0.25">
      <c r="D66" t="s">
        <v>50</v>
      </c>
      <c r="F66" s="102">
        <f>SUM(F63:F65)</f>
        <v>424250.33999999997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5563</v>
      </c>
      <c r="P66" s="60">
        <f>+N59+'Allocation Charges'!N21</f>
        <v>5558.0720438417029</v>
      </c>
    </row>
    <row r="67" spans="4:16" x14ac:dyDescent="0.25">
      <c r="D67" s="16" t="s">
        <v>157</v>
      </c>
      <c r="F67" s="115">
        <v>424250.34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2150.5699999999997</v>
      </c>
      <c r="P67" s="60">
        <f>+P59</f>
        <v>2150.5699999999997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389904.74514153536</v>
      </c>
      <c r="P68" s="60">
        <f>SUM(P63:P67)</f>
        <v>389885.94000000006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-18.805141535412986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J18" sqref="J18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269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269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K24" sqref="K24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273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271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1058403.98</v>
      </c>
      <c r="C8" s="94">
        <f t="shared" ref="C8:C13" si="0">$D$25</f>
        <v>0.8023663641516483</v>
      </c>
      <c r="D8" s="95">
        <v>6.4699999999999994E-2</v>
      </c>
      <c r="E8" s="79">
        <f t="shared" ref="E8:E13" si="1">B8*C8*D8</f>
        <v>54945.035634384323</v>
      </c>
      <c r="F8" s="79">
        <f t="shared" ref="F8:F13" si="2">E8/12</f>
        <v>4578.7529695320272</v>
      </c>
      <c r="G8" s="79">
        <f t="shared" ref="G8:G13" si="3">B8</f>
        <v>1058403.98</v>
      </c>
      <c r="H8" s="13">
        <v>6</v>
      </c>
      <c r="I8" s="79">
        <f t="shared" ref="I8:I13" si="4">G8/H8</f>
        <v>176400.66333333333</v>
      </c>
      <c r="J8" s="79">
        <f t="shared" ref="J8:J13" si="5">I8/12</f>
        <v>14700.055277777778</v>
      </c>
      <c r="K8" s="79">
        <f>ROUNDUP(F8+J8,0)</f>
        <v>19279</v>
      </c>
    </row>
    <row r="9" spans="1:11" x14ac:dyDescent="0.25">
      <c r="A9" t="s">
        <v>32</v>
      </c>
      <c r="B9" s="192">
        <v>306568.88</v>
      </c>
      <c r="C9" s="94">
        <f t="shared" si="0"/>
        <v>0.8023663641516483</v>
      </c>
      <c r="D9" s="95">
        <v>6.4699999999999994E-2</v>
      </c>
      <c r="E9" s="79">
        <f t="shared" si="1"/>
        <v>15914.9420772145</v>
      </c>
      <c r="F9" s="79">
        <f t="shared" si="2"/>
        <v>1326.2451731012084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5585</v>
      </c>
    </row>
    <row r="10" spans="1:11" x14ac:dyDescent="0.25">
      <c r="A10" t="s">
        <v>47</v>
      </c>
      <c r="B10" s="192">
        <v>705882.72</v>
      </c>
      <c r="C10" s="94">
        <f t="shared" si="0"/>
        <v>0.8023663641516483</v>
      </c>
      <c r="D10" s="95">
        <v>6.4699999999999994E-2</v>
      </c>
      <c r="E10" s="79">
        <f t="shared" si="1"/>
        <v>36644.562886182772</v>
      </c>
      <c r="F10" s="79">
        <f t="shared" si="2"/>
        <v>3053.7135738485645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8937</v>
      </c>
    </row>
    <row r="11" spans="1:11" x14ac:dyDescent="0.25">
      <c r="A11" t="s">
        <v>48</v>
      </c>
      <c r="B11" s="192">
        <v>257154.88</v>
      </c>
      <c r="C11" s="94">
        <f t="shared" si="0"/>
        <v>0.8023663641516483</v>
      </c>
      <c r="D11" s="95">
        <v>6.4699999999999994E-2</v>
      </c>
      <c r="E11" s="79">
        <f t="shared" si="1"/>
        <v>13349.707967987635</v>
      </c>
      <c r="F11" s="79">
        <f t="shared" si="2"/>
        <v>1112.4756639989696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5399</v>
      </c>
    </row>
    <row r="12" spans="1:11" x14ac:dyDescent="0.25">
      <c r="A12" t="s">
        <v>41</v>
      </c>
      <c r="B12" s="192">
        <v>205926.43</v>
      </c>
      <c r="C12" s="94">
        <f t="shared" si="0"/>
        <v>0.8023663641516483</v>
      </c>
      <c r="D12" s="95">
        <v>6.4699999999999994E-2</v>
      </c>
      <c r="E12" s="79">
        <f t="shared" si="1"/>
        <v>10690.280127642329</v>
      </c>
      <c r="F12" s="79">
        <f t="shared" si="2"/>
        <v>890.85667730352736</v>
      </c>
      <c r="G12" s="79">
        <f t="shared" si="3"/>
        <v>205926.43</v>
      </c>
      <c r="H12" s="13">
        <v>4</v>
      </c>
      <c r="I12" s="79">
        <f t="shared" si="4"/>
        <v>51481.607499999998</v>
      </c>
      <c r="J12" s="79">
        <f t="shared" si="5"/>
        <v>4290.1339583333329</v>
      </c>
      <c r="K12" s="79">
        <f t="shared" si="6"/>
        <v>5181</v>
      </c>
    </row>
    <row r="13" spans="1:11" x14ac:dyDescent="0.25">
      <c r="A13" t="s">
        <v>31</v>
      </c>
      <c r="B13" s="192">
        <v>1409956.18</v>
      </c>
      <c r="C13" s="94">
        <f t="shared" si="0"/>
        <v>0.8023663641516483</v>
      </c>
      <c r="D13" s="95">
        <v>6.4699999999999994E-2</v>
      </c>
      <c r="E13" s="79">
        <f t="shared" si="1"/>
        <v>73195.201470255619</v>
      </c>
      <c r="F13" s="79">
        <f t="shared" si="2"/>
        <v>6099.6001225213013</v>
      </c>
      <c r="G13" s="79">
        <f t="shared" si="3"/>
        <v>1409956.18</v>
      </c>
      <c r="H13" s="13">
        <v>10</v>
      </c>
      <c r="I13" s="79">
        <f t="shared" si="4"/>
        <v>140995.61799999999</v>
      </c>
      <c r="J13" s="79">
        <f t="shared" si="5"/>
        <v>11749.634833333332</v>
      </c>
      <c r="K13" s="79">
        <f t="shared" si="6"/>
        <v>17850</v>
      </c>
    </row>
    <row r="14" spans="1:11" x14ac:dyDescent="0.25">
      <c r="B14" s="120"/>
    </row>
    <row r="15" spans="1:11" x14ac:dyDescent="0.25">
      <c r="B15" s="121">
        <f>SUM(B8:B13)</f>
        <v>3943893.0700000003</v>
      </c>
      <c r="D15" s="180">
        <f>AVERAGE(D8:D13)</f>
        <v>6.4699999999999994E-2</v>
      </c>
      <c r="E15" s="14">
        <f>SUM(E8:E13)</f>
        <v>204739.73016366718</v>
      </c>
      <c r="F15" s="22">
        <f>SUM(F8:F13)</f>
        <v>17061.6441803056</v>
      </c>
      <c r="G15" s="14">
        <f>SUM(G8:G13)</f>
        <v>3943893.0700000003</v>
      </c>
      <c r="I15" s="14">
        <f>SUM(I8:I13)</f>
        <v>541991.95016666665</v>
      </c>
      <c r="J15" s="22">
        <f>SUM(J8:J13)</f>
        <v>45165.995847222221</v>
      </c>
      <c r="K15" s="22">
        <f>SUM(K8:K13)</f>
        <v>62231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591598+8648539+(1451020*0.5)</f>
        <v>9965647</v>
      </c>
      <c r="D25" s="196">
        <f>C25/C27</f>
        <v>0.8023663641516483</v>
      </c>
      <c r="E25" s="195" t="s">
        <v>272</v>
      </c>
      <c r="F25" s="195"/>
      <c r="G25" s="197"/>
    </row>
    <row r="26" spans="1:7" x14ac:dyDescent="0.25">
      <c r="A26" s="198"/>
      <c r="B26" s="199" t="s">
        <v>176</v>
      </c>
      <c r="C26" s="200">
        <v>2454673</v>
      </c>
      <c r="D26" s="201">
        <f>C26/C27</f>
        <v>0.19763363584835172</v>
      </c>
      <c r="E26" s="195" t="s">
        <v>272</v>
      </c>
      <c r="F26" s="200"/>
      <c r="G26" s="202"/>
    </row>
    <row r="27" spans="1:7" ht="15.75" thickBot="1" x14ac:dyDescent="0.3">
      <c r="A27" s="203"/>
      <c r="B27" s="204"/>
      <c r="C27" s="205">
        <f>C25+C26</f>
        <v>12420320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0.8023663641516483</v>
      </c>
      <c r="D8" s="95">
        <v>6.54E-2</v>
      </c>
      <c r="E8" s="79">
        <f>B8*C8*D8</f>
        <v>67588.216358773105</v>
      </c>
      <c r="F8" s="79">
        <f>E8/12</f>
        <v>5632.3513632310924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8606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67588.216358773105</v>
      </c>
      <c r="F10" s="22">
        <f>SUM(F8:F8)</f>
        <v>5632.3513632310924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8606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1704</v>
      </c>
      <c r="L14" s="211">
        <f>+K14*12</f>
        <v>20448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801</v>
      </c>
      <c r="L15" s="211">
        <f t="shared" ref="L15:L18" si="1">+K15*12</f>
        <v>9612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5911</v>
      </c>
      <c r="L16" s="211">
        <f t="shared" si="1"/>
        <v>70932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192</v>
      </c>
      <c r="L17" s="211">
        <f t="shared" si="1"/>
        <v>2304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8608</v>
      </c>
      <c r="L18" s="106">
        <f t="shared" si="1"/>
        <v>103296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0.8023663641516483</v>
      </c>
      <c r="J8" s="95">
        <v>6.54E-2</v>
      </c>
      <c r="L8" s="79">
        <f>F8*H8*J8</f>
        <v>34323.812022644088</v>
      </c>
      <c r="N8" s="79">
        <f>L8/12</f>
        <v>2860.3176685536741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5419</v>
      </c>
    </row>
    <row r="10" spans="3:27" x14ac:dyDescent="0.25">
      <c r="F10" s="14">
        <f>SUM(F8:F8)</f>
        <v>654101.36</v>
      </c>
      <c r="L10" s="14">
        <f>SUM(L8:L8)</f>
        <v>34323.812022644088</v>
      </c>
      <c r="N10" s="22">
        <f>SUM(N8:N8)</f>
        <v>2860.3176685536741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5419</v>
      </c>
    </row>
    <row r="13" spans="3:27" x14ac:dyDescent="0.25">
      <c r="C13" t="s">
        <v>60</v>
      </c>
      <c r="F13" s="8" t="s">
        <v>266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1067</v>
      </c>
      <c r="AA14" s="236">
        <f>+Z14*12</f>
        <v>12804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498</v>
      </c>
      <c r="AA15" s="236">
        <f t="shared" ref="AA15:AA17" si="1">+Z15*12</f>
        <v>5976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3737</v>
      </c>
      <c r="AA16" s="237">
        <f t="shared" si="1"/>
        <v>44844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119</v>
      </c>
      <c r="AA17" s="236">
        <f t="shared" si="1"/>
        <v>1428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5421</v>
      </c>
      <c r="AA18" s="71">
        <f>SUM(AA14:AA17)</f>
        <v>65052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F12" sqref="F12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July 24 billing =July invoices = June Flow  data= June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14112.19-SUM('Direct Charges'!F25:F28)</f>
        <v>11110.66</v>
      </c>
      <c r="G7" s="8"/>
      <c r="H7" s="79">
        <f>F7*R$4</f>
        <v>2186.5761648318335</v>
      </c>
      <c r="I7" s="8"/>
      <c r="J7" s="79">
        <f>F7*R$5</f>
        <v>1021.0207406395297</v>
      </c>
      <c r="K7" s="8"/>
      <c r="L7" s="79">
        <f>F7*R$6</f>
        <v>7660.1301469872369</v>
      </c>
      <c r="M7" s="8"/>
      <c r="N7" s="79">
        <f>F7*R$7</f>
        <v>242.93294754140018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13690.94</v>
      </c>
      <c r="G8" s="8"/>
      <c r="H8" s="79">
        <f t="shared" ref="H8:H19" si="0">F8*R$4</f>
        <v>2694.3748686525141</v>
      </c>
      <c r="I8" s="8"/>
      <c r="J8" s="79">
        <f>F8*R$5</f>
        <v>1258.137113263421</v>
      </c>
      <c r="K8" s="8"/>
      <c r="L8" s="79">
        <f>F8*R$6</f>
        <v>9439.0776276650922</v>
      </c>
      <c r="M8" s="8"/>
      <c r="N8" s="79">
        <f>F8*R$7</f>
        <v>299.35039041897221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95661.68</v>
      </c>
      <c r="G10" s="8"/>
      <c r="H10" s="79">
        <f>IF(N10=2000,(F10-N10)*(R4/(R8-R7)),(F10*R4))</f>
        <v>18826.203787693088</v>
      </c>
      <c r="I10" s="8"/>
      <c r="J10" s="83">
        <f>IF(N10=2000,(F10-N10)*(R5/(R8-R7)),(F10*R5))</f>
        <v>8790.8872528204156</v>
      </c>
      <c r="K10" s="8"/>
      <c r="L10" s="83">
        <f>IF(N10=2000,(F10-N10)*(R6/(R8-R7)),(F10*R6))</f>
        <v>65952.960389341941</v>
      </c>
      <c r="M10" s="8"/>
      <c r="N10" s="83">
        <f>IF((F10*R$7&lt;2000),(2000),F10*R$7)</f>
        <v>2091.6285701445468</v>
      </c>
      <c r="O10" s="8"/>
      <c r="P10" s="8"/>
      <c r="Q10" s="8"/>
      <c r="U10" s="73"/>
    </row>
    <row r="11" spans="1:21" x14ac:dyDescent="0.25">
      <c r="B11" t="s">
        <v>20</v>
      </c>
      <c r="F11" s="112">
        <f>8984.78-SUM('Direct Charges'!F34:F39)</f>
        <v>5603.6900000000005</v>
      </c>
      <c r="G11" s="8"/>
      <c r="H11" s="79">
        <f t="shared" si="0"/>
        <v>1102.8053229156951</v>
      </c>
      <c r="I11" s="8"/>
      <c r="J11" s="79">
        <f>F11*R$5</f>
        <v>514.95444142061103</v>
      </c>
      <c r="K11" s="8"/>
      <c r="L11" s="79">
        <f>F11*R$6</f>
        <v>3863.4063776023127</v>
      </c>
      <c r="M11" s="8"/>
      <c r="N11" s="79">
        <f>F11*R$7</f>
        <v>122.5238580613815</v>
      </c>
      <c r="O11" s="8"/>
      <c r="U11" s="73"/>
    </row>
    <row r="12" spans="1:21" x14ac:dyDescent="0.25">
      <c r="B12" t="s">
        <v>21</v>
      </c>
      <c r="F12" s="155">
        <f>21281.19-SUM('Direct Charges'!F42:F45)</f>
        <v>2733.7499999999964</v>
      </c>
      <c r="G12" s="8"/>
      <c r="H12" s="79">
        <f t="shared" si="0"/>
        <v>538.00157601879789</v>
      </c>
      <c r="I12" s="8"/>
      <c r="J12" s="79">
        <f>F12*R$5</f>
        <v>251.21958999045154</v>
      </c>
      <c r="K12" s="8"/>
      <c r="L12" s="79">
        <f>F12*R$6</f>
        <v>1884.75579212453</v>
      </c>
      <c r="M12" s="8"/>
      <c r="N12" s="79">
        <f>F12*R$7</f>
        <v>59.773041866216936</v>
      </c>
      <c r="O12" s="8"/>
    </row>
    <row r="13" spans="1:21" x14ac:dyDescent="0.25">
      <c r="B13" t="s">
        <v>25</v>
      </c>
      <c r="F13" s="112">
        <v>21765.68</v>
      </c>
      <c r="G13" s="8"/>
      <c r="H13" s="79">
        <f t="shared" si="0"/>
        <v>4283.482448329527</v>
      </c>
      <c r="I13" s="8"/>
      <c r="J13" s="79">
        <f>F13*R$5</f>
        <v>2000.1701711800197</v>
      </c>
      <c r="K13" s="8"/>
      <c r="L13" s="79">
        <f>F13*R$6</f>
        <v>15006.123987024817</v>
      </c>
      <c r="M13" s="8"/>
      <c r="N13" s="79">
        <f>F13*R$7</f>
        <v>475.90339346563599</v>
      </c>
      <c r="O13" s="8"/>
    </row>
    <row r="14" spans="1:21" x14ac:dyDescent="0.25">
      <c r="B14" t="s">
        <v>26</v>
      </c>
      <c r="F14" s="112">
        <v>157.5</v>
      </c>
      <c r="G14" s="8"/>
      <c r="H14" s="79">
        <f>F14*R$4</f>
        <v>30.995975573099507</v>
      </c>
      <c r="I14" s="8"/>
      <c r="J14" s="79">
        <f>F14*R$5</f>
        <v>14.473556624964306</v>
      </c>
      <c r="K14" s="8"/>
      <c r="L14" s="79">
        <f>F14*R$6</f>
        <v>108.58675345573438</v>
      </c>
      <c r="M14" s="8"/>
      <c r="N14" s="79">
        <f>F14*R$7</f>
        <v>3.4437143462018036</v>
      </c>
      <c r="O14" s="8"/>
    </row>
    <row r="15" spans="1:21" x14ac:dyDescent="0.25">
      <c r="B15" t="s">
        <v>27</v>
      </c>
      <c r="F15" s="112">
        <v>19512.12</v>
      </c>
      <c r="G15" s="8"/>
      <c r="H15" s="79">
        <f>IF(N15=1000,(F15-N15)*(R4/(R8-R7)),(F15*R4))</f>
        <v>3724.620627396906</v>
      </c>
      <c r="I15" s="8"/>
      <c r="J15" s="83">
        <f>IF(N15=1000,(F15-N15)*(R5/(R8-R7)),(F15*R5))</f>
        <v>1739.209899362703</v>
      </c>
      <c r="K15" s="8"/>
      <c r="L15" s="83">
        <f>IF(N15=1000,(F15-N15)*(R6/(R8-R7)),(F15*R6))</f>
        <v>13048.289473240389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2276.0100000000002</v>
      </c>
      <c r="G16" s="8"/>
      <c r="H16" s="79">
        <v>0</v>
      </c>
      <c r="I16" s="8"/>
      <c r="J16" s="79">
        <v>0</v>
      </c>
      <c r="K16" s="8"/>
      <c r="L16" s="79">
        <f>+F16</f>
        <v>2276.0100000000002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3646.12</v>
      </c>
      <c r="G18" s="8"/>
      <c r="H18" s="79">
        <f t="shared" si="0"/>
        <v>717.55585051802905</v>
      </c>
      <c r="I18" s="8"/>
      <c r="J18" s="79">
        <f>F18*R$5</f>
        <v>335.06237638993559</v>
      </c>
      <c r="K18" s="8"/>
      <c r="L18" s="79">
        <f>F18*R$6</f>
        <v>2513.7798953017286</v>
      </c>
      <c r="M18" s="8"/>
      <c r="N18" s="79">
        <f>F18*R$7</f>
        <v>79.721877790306792</v>
      </c>
      <c r="O18" s="8"/>
    </row>
    <row r="19" spans="1:19" x14ac:dyDescent="0.25">
      <c r="B19" t="s">
        <v>30</v>
      </c>
      <c r="F19" s="112">
        <v>5605.08</v>
      </c>
      <c r="G19" s="8"/>
      <c r="H19" s="79">
        <f t="shared" si="0"/>
        <v>1103.0788747001179</v>
      </c>
      <c r="I19" s="8"/>
      <c r="J19" s="79">
        <f>F19*R$5</f>
        <v>515.08217630130116</v>
      </c>
      <c r="K19" s="8"/>
      <c r="L19" s="79">
        <f>F19*R$6</f>
        <v>3864.3646987915408</v>
      </c>
      <c r="M19" s="8"/>
      <c r="N19" s="79">
        <f>F19*R$7</f>
        <v>122.55425020704003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35770.975474080427</v>
      </c>
      <c r="S20" s="55">
        <f>+H21-R20</f>
        <v>-563.27997745081666</v>
      </c>
    </row>
    <row r="21" spans="1:19" x14ac:dyDescent="0.25">
      <c r="F21" s="84">
        <f>SUM(F6:F19)</f>
        <v>181763.22999999998</v>
      </c>
      <c r="G21" s="23"/>
      <c r="H21" s="84">
        <f>SUM(H6:H19)</f>
        <v>35207.695496629611</v>
      </c>
      <c r="I21" s="23"/>
      <c r="J21" s="84">
        <f>SUM(J6:J19)</f>
        <v>16440.217317993349</v>
      </c>
      <c r="K21" s="23"/>
      <c r="L21" s="84">
        <f>SUM(L6:L19)</f>
        <v>125617.48514153532</v>
      </c>
      <c r="M21" s="23"/>
      <c r="N21" s="84">
        <f>SUM(N6:N19)</f>
        <v>4497.8320438417031</v>
      </c>
      <c r="O21" s="23"/>
      <c r="P21" s="241" t="s">
        <v>11</v>
      </c>
      <c r="Q21" s="241"/>
      <c r="R21" s="149">
        <f>+F21*R5</f>
        <v>16703.24064597721</v>
      </c>
      <c r="S21" s="55">
        <f>+J21-R21</f>
        <v>-263.02332798386124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125314.78757668534</v>
      </c>
      <c r="S22" s="55">
        <f>+L21-R22</f>
        <v>302.69756484997924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3974.2263032570031</v>
      </c>
      <c r="S23" s="55">
        <f>+N21-R23</f>
        <v>523.60574058470002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181763.22999999998</v>
      </c>
      <c r="S24" s="152">
        <f>SUM(S20:S23)</f>
        <v>1.3642420526593924E-12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19279</v>
      </c>
      <c r="G27" s="6"/>
      <c r="H27" s="79">
        <f t="shared" ref="H27:H29" si="1">F27*R$4</f>
        <v>3794.1042099922884</v>
      </c>
      <c r="I27" s="8"/>
      <c r="J27" s="85">
        <f t="shared" ref="J27:J29" si="2">F27*R$5</f>
        <v>1771.6552264932498</v>
      </c>
      <c r="K27" s="8"/>
      <c r="L27" s="79">
        <f t="shared" ref="L27:L29" si="3">F27*R$6</f>
        <v>13291.70806268637</v>
      </c>
      <c r="M27" s="8"/>
      <c r="N27" s="79">
        <f t="shared" ref="N27:N29" si="4">F27*R$7</f>
        <v>421.53250082809251</v>
      </c>
      <c r="O27" s="8"/>
    </row>
    <row r="28" spans="1:19" x14ac:dyDescent="0.25">
      <c r="B28" t="s">
        <v>32</v>
      </c>
      <c r="F28" s="79">
        <f>'2024 NUC Rent'!K9</f>
        <v>5585</v>
      </c>
      <c r="G28" s="6"/>
      <c r="H28" s="79">
        <f t="shared" si="1"/>
        <v>1099.127133814354</v>
      </c>
      <c r="I28" s="8"/>
      <c r="J28" s="85">
        <f t="shared" si="2"/>
        <v>513.23691270111522</v>
      </c>
      <c r="K28" s="8"/>
      <c r="L28" s="79">
        <f t="shared" si="3"/>
        <v>3850.5207495255654</v>
      </c>
      <c r="M28" s="8"/>
      <c r="N28" s="79">
        <f t="shared" si="4"/>
        <v>122.11520395896554</v>
      </c>
      <c r="O28" s="8"/>
    </row>
    <row r="29" spans="1:19" x14ac:dyDescent="0.25">
      <c r="B29" t="s">
        <v>47</v>
      </c>
      <c r="F29" s="79">
        <f>'2024 NUC Rent'!K10</f>
        <v>8937</v>
      </c>
      <c r="G29" s="6"/>
      <c r="H29" s="79">
        <f t="shared" si="1"/>
        <v>1758.8002139478749</v>
      </c>
      <c r="I29" s="8"/>
      <c r="J29" s="85">
        <f t="shared" si="2"/>
        <v>821.27095591940315</v>
      </c>
      <c r="K29" s="8"/>
      <c r="L29" s="79">
        <f t="shared" si="3"/>
        <v>6161.5226389453856</v>
      </c>
      <c r="M29" s="8"/>
      <c r="N29" s="79">
        <f t="shared" si="4"/>
        <v>195.40619118733662</v>
      </c>
      <c r="O29" s="8"/>
    </row>
    <row r="30" spans="1:19" x14ac:dyDescent="0.25">
      <c r="B30" t="s">
        <v>48</v>
      </c>
      <c r="F30" s="79">
        <f>'2024 NUC Rent'!K11</f>
        <v>5399</v>
      </c>
      <c r="G30" s="6"/>
      <c r="H30" s="79">
        <f>F30*R$4</f>
        <v>1062.5223626613604</v>
      </c>
      <c r="I30" s="8"/>
      <c r="J30" s="85">
        <f>F30*R$5</f>
        <v>496.14433154401451</v>
      </c>
      <c r="K30" s="8"/>
      <c r="L30" s="79">
        <f>F30*R$6</f>
        <v>3722.2849644921266</v>
      </c>
      <c r="M30" s="8"/>
      <c r="N30" s="79">
        <f>F30*R$7</f>
        <v>118.04834130249864</v>
      </c>
      <c r="O30" s="8"/>
    </row>
    <row r="31" spans="1:19" x14ac:dyDescent="0.25">
      <c r="B31" t="s">
        <v>41</v>
      </c>
      <c r="F31" s="79">
        <f>'2024 NUC Rent'!K12</f>
        <v>5181</v>
      </c>
      <c r="G31" s="6"/>
      <c r="H31" s="79">
        <f>F31*R$4</f>
        <v>1019.6199964712924</v>
      </c>
      <c r="I31" s="8"/>
      <c r="J31" s="79">
        <f>F31*R$5</f>
        <v>476.11109126311158</v>
      </c>
      <c r="K31" s="8"/>
      <c r="L31" s="79">
        <f>F31*R$6</f>
        <v>3571.9871089153007</v>
      </c>
      <c r="M31" s="8"/>
      <c r="N31" s="79">
        <f>F31*R$7</f>
        <v>113.28180335029552</v>
      </c>
      <c r="O31" s="8"/>
    </row>
    <row r="32" spans="1:19" x14ac:dyDescent="0.25">
      <c r="B32" t="s">
        <v>31</v>
      </c>
      <c r="F32" s="79">
        <f>'2024 NUC Rent'!K13</f>
        <v>17850</v>
      </c>
      <c r="G32" s="6"/>
      <c r="H32" s="79">
        <f>F32*R$4</f>
        <v>3512.8772316179443</v>
      </c>
      <c r="I32" s="8"/>
      <c r="J32" s="79">
        <f>F32*R$5</f>
        <v>1640.3364174959547</v>
      </c>
      <c r="K32" s="8"/>
      <c r="L32" s="79">
        <f>F32*R$6</f>
        <v>12306.49872498323</v>
      </c>
      <c r="M32" s="8"/>
      <c r="N32" s="79">
        <f>F32*R$7</f>
        <v>390.28762590287107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62231</v>
      </c>
      <c r="G34" s="20"/>
      <c r="H34" s="84">
        <f>SUM(H27:H32)</f>
        <v>12247.051148505114</v>
      </c>
      <c r="I34" s="23"/>
      <c r="J34" s="84">
        <f>SUM(J27:J32)</f>
        <v>5718.7549354168495</v>
      </c>
      <c r="K34" s="23"/>
      <c r="L34" s="84">
        <f>SUM(L27:L32)</f>
        <v>42904.522249547983</v>
      </c>
      <c r="M34" s="23"/>
      <c r="N34" s="84">
        <f>SUM(N27:N32)</f>
        <v>1360.6716665300598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July 24 billing =July invoices = June Flow  data= June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92009.9</v>
      </c>
      <c r="G6" s="60"/>
      <c r="H6" s="85">
        <f>ROUNDUP(IF(N6=2500,(F6-L6-N6)*(Q4/(Q8-Q6-Q7)),(F6*R4)),0)</f>
        <v>48405</v>
      </c>
      <c r="I6" s="60"/>
      <c r="J6" s="222">
        <f>ROUNDUP(IF(SUM(H6,L6,N6,F6*R5)&gt;F6,((F6-L6-N6)*(Q5/(Q8-Q6-Q7))),(F6*R5)),0)</f>
        <v>29370</v>
      </c>
      <c r="K6" s="60"/>
      <c r="L6" s="85">
        <f>ROUNDUP(IF((F6*R$6&lt;2500),(2500),F6*R$6),0)</f>
        <v>5827</v>
      </c>
      <c r="M6" s="60"/>
      <c r="N6" s="85">
        <f>ROUNDUP(IF((F6*R$7&lt;2500),(2500),F6*R$7),0)</f>
        <v>8410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18838.45</v>
      </c>
      <c r="G7" s="60"/>
      <c r="H7" s="85">
        <f>ROUNDUP(F7*R$4,0)</f>
        <v>9911</v>
      </c>
      <c r="I7" s="60"/>
      <c r="J7" s="222">
        <f>ROUNDUP(F7*R$5,0)</f>
        <v>6014</v>
      </c>
      <c r="K7" s="60"/>
      <c r="L7" s="85">
        <f>ROUNDUP(F7*R$6,0)</f>
        <v>1193</v>
      </c>
      <c r="M7" s="60"/>
      <c r="N7" s="85">
        <f>ROUNDUP(F7*R$7,0)</f>
        <v>1722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9247.77</v>
      </c>
      <c r="G9" s="60"/>
      <c r="H9" s="85">
        <v>0</v>
      </c>
      <c r="I9" s="60"/>
      <c r="J9" s="222">
        <v>0</v>
      </c>
      <c r="K9" s="60"/>
      <c r="L9" s="85">
        <f>ROUNDUP(F9,0)</f>
        <v>9248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1873.44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7660.1301469872369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9533.5701469872365</v>
      </c>
      <c r="G13" s="60"/>
      <c r="H13" s="85">
        <f>ROUNDUP(F13*R$4,0)</f>
        <v>5016</v>
      </c>
      <c r="I13" s="60"/>
      <c r="J13" s="222">
        <f>ROUNDUP(F13*R$5,0)</f>
        <v>3044</v>
      </c>
      <c r="K13" s="60"/>
      <c r="L13" s="85">
        <f>ROUNDUP(F13*R$6,0)</f>
        <v>604</v>
      </c>
      <c r="M13" s="60"/>
      <c r="N13" s="85">
        <f>ROUNDUP(F13*R$7,0)</f>
        <v>872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3131.82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9439.0776276650922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12570.897627665092</v>
      </c>
      <c r="G17" s="60"/>
      <c r="H17" s="85">
        <f>ROUNDUP(F17*R$4,0)</f>
        <v>6614</v>
      </c>
      <c r="I17" s="60"/>
      <c r="J17" s="222">
        <f>ROUNDUP(F17*R$5,0)</f>
        <v>4013</v>
      </c>
      <c r="K17" s="60"/>
      <c r="L17" s="85">
        <f>ROUNDUP(F17*R$6,0)</f>
        <v>796</v>
      </c>
      <c r="M17" s="60"/>
      <c r="N17" s="85">
        <f>ROUNDUP(F17*R$7,0)</f>
        <v>1149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65952.960389341941</v>
      </c>
      <c r="G19" s="60"/>
      <c r="H19" s="85">
        <f>ROUNDUP(F19*R$4,0)</f>
        <v>34697</v>
      </c>
      <c r="I19" s="60"/>
      <c r="J19" s="222">
        <f>ROUNDUP(F19*R$5,0)</f>
        <v>21053</v>
      </c>
      <c r="K19" s="60"/>
      <c r="L19" s="85">
        <f>ROUNDUP(F19*R$6,0)</f>
        <v>4177</v>
      </c>
      <c r="M19" s="60"/>
      <c r="N19" s="85">
        <f>ROUNDUP(F19*R$7,0)</f>
        <v>6028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2465.1799999999998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3863.4063776023127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6328.5863776023125</v>
      </c>
      <c r="G23" s="60"/>
      <c r="H23" s="85">
        <f>ROUNDUP(F23*R$4,0)</f>
        <v>3330</v>
      </c>
      <c r="I23" s="60"/>
      <c r="J23" s="222">
        <f>ROUNDUP(F23*R$5,0)</f>
        <v>2021</v>
      </c>
      <c r="K23" s="60"/>
      <c r="L23" s="85">
        <f>ROUNDUP(F23*R$6,0)</f>
        <v>401</v>
      </c>
      <c r="M23" s="60"/>
      <c r="N23" s="85">
        <f>ROUNDUP(F23*R$7,0)</f>
        <v>579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13513.51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1884.75579212453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15398.26579212453</v>
      </c>
      <c r="G27" s="60"/>
      <c r="H27" s="85">
        <f>ROUNDUP(F27*R$4,0)</f>
        <v>8101</v>
      </c>
      <c r="I27" s="60"/>
      <c r="J27" s="222">
        <f>ROUNDUP(F27*R$5,0)</f>
        <v>4916</v>
      </c>
      <c r="K27" s="60"/>
      <c r="L27" s="85">
        <f>ROUNDUP(F27*R$6,0)</f>
        <v>976</v>
      </c>
      <c r="M27" s="60"/>
      <c r="N27" s="85">
        <f>ROUNDUP(F27*R$7,0)</f>
        <v>1408</v>
      </c>
    </row>
    <row r="28" spans="2:22" x14ac:dyDescent="0.25">
      <c r="B28" t="s">
        <v>25</v>
      </c>
      <c r="F28" s="85">
        <f>'Allocation Charges'!L13</f>
        <v>15006.123987024817</v>
      </c>
      <c r="G28" s="60"/>
      <c r="H28" s="85">
        <f>ROUNDUP(F28*R$4,0)</f>
        <v>7895</v>
      </c>
      <c r="I28" s="60"/>
      <c r="J28" s="222">
        <f>ROUNDUP(F28*R$5,0)</f>
        <v>4791</v>
      </c>
      <c r="K28" s="60"/>
      <c r="L28" s="85">
        <f>ROUNDUP(F28*R$6,0)</f>
        <v>951</v>
      </c>
      <c r="M28" s="60"/>
      <c r="N28" s="85">
        <f>ROUNDUP(F28*R$7,0)</f>
        <v>1372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2081.5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108.58675345573438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2190.0867534557342</v>
      </c>
      <c r="G32" s="60"/>
      <c r="H32" s="85">
        <f>ROUNDUP(F32*R$4,0)</f>
        <v>1153</v>
      </c>
      <c r="I32" s="60"/>
      <c r="J32" s="222">
        <f>ROUNDUP(F32*R$5,0)</f>
        <v>700</v>
      </c>
      <c r="K32" s="60"/>
      <c r="L32" s="85">
        <f>ROUNDUP(F32*R$6,0)</f>
        <v>139</v>
      </c>
      <c r="M32" s="60"/>
      <c r="N32" s="85">
        <f>ROUNDUP(F32*R$7,0)</f>
        <v>201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27481.119999999999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13048.289473240389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40529.40947324039</v>
      </c>
      <c r="G36" s="60"/>
      <c r="H36" s="85">
        <f>ROUNDUP(F36*R$4,0)</f>
        <v>21322</v>
      </c>
      <c r="I36" s="60"/>
      <c r="J36" s="222">
        <f>ROUNDUP(F36*R$5,0)</f>
        <v>12938</v>
      </c>
      <c r="K36" s="60"/>
      <c r="L36" s="85">
        <f>ROUNDUP(F36*R$6,0)</f>
        <v>2567</v>
      </c>
      <c r="M36" s="60"/>
      <c r="N36" s="85">
        <f>ROUNDUP(F36*R$7,0)</f>
        <v>3705</v>
      </c>
    </row>
    <row r="37" spans="1:17" x14ac:dyDescent="0.25">
      <c r="B37" t="s">
        <v>195</v>
      </c>
      <c r="F37" s="85">
        <f>'Allocation Charges'!L16</f>
        <v>2276.0100000000002</v>
      </c>
      <c r="G37" s="60"/>
      <c r="H37" s="85">
        <f>ROUNDUP(F37*R$4,0)</f>
        <v>1198</v>
      </c>
      <c r="I37" s="60"/>
      <c r="J37" s="222">
        <f>ROUNDUP(F37*R$5,0)</f>
        <v>727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2513.7798953017286</v>
      </c>
      <c r="G39" s="60"/>
      <c r="H39" s="85">
        <f>ROUNDUP(F39*R$4,0)</f>
        <v>1323</v>
      </c>
      <c r="I39" s="60"/>
      <c r="J39" s="222">
        <f>ROUNDUP(F39*R$5,0)</f>
        <v>803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3864.3646987915408</v>
      </c>
      <c r="G40" s="60"/>
      <c r="H40" s="85">
        <f>ROUNDUP(F40*R$4,0)</f>
        <v>2033</v>
      </c>
      <c r="I40" s="60"/>
      <c r="J40" s="222">
        <f>ROUNDUP(F40*R$5,0)</f>
        <v>1234</v>
      </c>
      <c r="K40" s="60"/>
      <c r="L40" s="85">
        <f>ROUNDUP(F40*R$6,0)</f>
        <v>245</v>
      </c>
      <c r="M40" s="60"/>
      <c r="N40" s="85">
        <f>ROUNDUP(F40*R$7,0)</f>
        <v>354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296260.17514153535</v>
      </c>
      <c r="G42" s="60"/>
      <c r="H42" s="219">
        <f>SUM(H6:H41)</f>
        <v>150998</v>
      </c>
      <c r="I42" s="60"/>
      <c r="J42" s="219">
        <f>SUM(J6:J41)</f>
        <v>91624</v>
      </c>
      <c r="K42" s="60"/>
      <c r="L42" s="219">
        <f>SUM(L6:L41)</f>
        <v>27429</v>
      </c>
      <c r="M42" s="60"/>
      <c r="N42" s="219">
        <f>SUM(N6:N41)</f>
        <v>26239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13291.70806268637</v>
      </c>
      <c r="G46" s="8"/>
      <c r="H46" s="85">
        <f t="shared" ref="H46:H51" si="0">ROUNDUP(F46*R$4,0)</f>
        <v>6993</v>
      </c>
      <c r="I46" s="8"/>
      <c r="J46" s="222">
        <f t="shared" ref="J46:J51" si="1">ROUNDUP(F46*R$5,0)</f>
        <v>4243</v>
      </c>
      <c r="K46" s="8"/>
      <c r="L46" s="85">
        <f t="shared" ref="L46:L51" si="2">ROUNDUP(F46*R$6,0)</f>
        <v>842</v>
      </c>
      <c r="M46" s="8"/>
      <c r="N46" s="85">
        <f t="shared" ref="N46:N51" si="3">ROUNDUP(F46*R$7,0)</f>
        <v>1215</v>
      </c>
    </row>
    <row r="47" spans="1:17" x14ac:dyDescent="0.25">
      <c r="B47" t="s">
        <v>101</v>
      </c>
      <c r="F47" s="85">
        <f>'Allocation Charges'!L28</f>
        <v>3850.5207495255654</v>
      </c>
      <c r="G47" s="8"/>
      <c r="H47" s="85">
        <f t="shared" si="0"/>
        <v>2026</v>
      </c>
      <c r="I47" s="8"/>
      <c r="J47" s="222">
        <f t="shared" si="1"/>
        <v>1230</v>
      </c>
      <c r="K47" s="8"/>
      <c r="L47" s="85">
        <f t="shared" si="2"/>
        <v>244</v>
      </c>
      <c r="M47" s="8"/>
      <c r="N47" s="85">
        <f t="shared" si="3"/>
        <v>352</v>
      </c>
    </row>
    <row r="48" spans="1:17" x14ac:dyDescent="0.25">
      <c r="B48" t="s">
        <v>102</v>
      </c>
      <c r="F48" s="85">
        <f>'Allocation Charges'!L29</f>
        <v>6161.5226389453856</v>
      </c>
      <c r="G48" s="8"/>
      <c r="H48" s="85">
        <f t="shared" si="0"/>
        <v>3242</v>
      </c>
      <c r="I48" s="8"/>
      <c r="J48" s="222">
        <f t="shared" si="1"/>
        <v>1967</v>
      </c>
      <c r="K48" s="8"/>
      <c r="L48" s="85">
        <f t="shared" si="2"/>
        <v>391</v>
      </c>
      <c r="M48" s="8"/>
      <c r="N48" s="85">
        <f t="shared" si="3"/>
        <v>564</v>
      </c>
    </row>
    <row r="49" spans="1:14" x14ac:dyDescent="0.25">
      <c r="B49" t="s">
        <v>103</v>
      </c>
      <c r="F49" s="85">
        <f>'Allocation Charges'!L30</f>
        <v>3722.2849644921266</v>
      </c>
      <c r="G49" s="8"/>
      <c r="H49" s="85">
        <f t="shared" si="0"/>
        <v>1959</v>
      </c>
      <c r="I49" s="8"/>
      <c r="J49" s="222">
        <f t="shared" si="1"/>
        <v>1189</v>
      </c>
      <c r="K49" s="8"/>
      <c r="L49" s="85">
        <f t="shared" si="2"/>
        <v>236</v>
      </c>
      <c r="M49" s="8"/>
      <c r="N49" s="85">
        <f t="shared" si="3"/>
        <v>341</v>
      </c>
    </row>
    <row r="50" spans="1:14" x14ac:dyDescent="0.25">
      <c r="B50" t="s">
        <v>104</v>
      </c>
      <c r="F50" s="85">
        <f>'Allocation Charges'!L31</f>
        <v>3571.9871089153007</v>
      </c>
      <c r="G50" s="8"/>
      <c r="H50" s="85">
        <f t="shared" si="0"/>
        <v>1880</v>
      </c>
      <c r="I50" s="8"/>
      <c r="J50" s="222">
        <f t="shared" si="1"/>
        <v>1141</v>
      </c>
      <c r="K50" s="8"/>
      <c r="L50" s="85">
        <f t="shared" si="2"/>
        <v>227</v>
      </c>
      <c r="M50" s="8"/>
      <c r="N50" s="85">
        <f t="shared" si="3"/>
        <v>327</v>
      </c>
    </row>
    <row r="51" spans="1:14" x14ac:dyDescent="0.25">
      <c r="B51" t="s">
        <v>105</v>
      </c>
      <c r="F51" s="85">
        <f>'Allocation Charges'!L32</f>
        <v>12306.49872498323</v>
      </c>
      <c r="G51" s="8"/>
      <c r="H51" s="85">
        <f t="shared" si="0"/>
        <v>6475</v>
      </c>
      <c r="I51" s="8"/>
      <c r="J51" s="222">
        <f t="shared" si="1"/>
        <v>3929</v>
      </c>
      <c r="K51" s="8"/>
      <c r="L51" s="85">
        <f t="shared" si="2"/>
        <v>780</v>
      </c>
      <c r="M51" s="8"/>
      <c r="N51" s="85">
        <f t="shared" si="3"/>
        <v>1125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42904.522249547983</v>
      </c>
      <c r="G53" s="8"/>
      <c r="H53" s="219">
        <f>SUM(H46:H51)</f>
        <v>22575</v>
      </c>
      <c r="I53" s="8"/>
      <c r="J53" s="220">
        <f>SUM(J46:J51)</f>
        <v>13699</v>
      </c>
      <c r="K53" s="8"/>
      <c r="L53" s="219">
        <f>SUM(L46:L51)</f>
        <v>2720</v>
      </c>
      <c r="M53" s="8"/>
      <c r="N53" s="219">
        <f>SUM(N46:N51)</f>
        <v>3924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15580</v>
      </c>
      <c r="G57" s="8"/>
      <c r="H57" s="85">
        <v>0</v>
      </c>
      <c r="I57" s="8"/>
      <c r="J57" s="222">
        <f>ROUNDUP('Commodity OK'!F24+'Commodity OK'!F25+'Commodity OK'!F26,0)</f>
        <v>15580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79912</v>
      </c>
      <c r="G58" s="120"/>
      <c r="H58" s="85">
        <f>ROUNDUP('Commodity OK'!Q6-H59,0)</f>
        <v>31351</v>
      </c>
      <c r="I58" s="120"/>
      <c r="J58" s="222">
        <f>ROUNDUP('Commodity OK'!Q8-J59-J57,0)</f>
        <v>16277</v>
      </c>
      <c r="K58" s="120"/>
      <c r="L58" s="222">
        <f>ROUNDUP('Commodity OK'!Q7-L59,0)</f>
        <v>1594</v>
      </c>
      <c r="M58" s="120"/>
      <c r="N58" s="222">
        <f>ROUNDUP('Commodity OK'!Q9-N59-N60,0)</f>
        <v>30690</v>
      </c>
    </row>
    <row r="59" spans="1:14" x14ac:dyDescent="0.25">
      <c r="A59" s="16"/>
      <c r="B59" t="s">
        <v>108</v>
      </c>
      <c r="F59" s="85">
        <f>SUM(H59:N59)</f>
        <v>5951</v>
      </c>
      <c r="G59" s="120"/>
      <c r="H59" s="85">
        <f>ROUNDUP(('Commodity OK'!F43-'Commodity OK'!F40)*'Commodity OK'!O6,0)</f>
        <v>1953</v>
      </c>
      <c r="I59" s="120"/>
      <c r="J59" s="222">
        <f>ROUNDUP(('Commodity OK'!F43-'Commodity OK'!F40)*'Commodity OK'!O8,0)</f>
        <v>1984</v>
      </c>
      <c r="K59" s="120"/>
      <c r="L59" s="222">
        <f>ROUNDUP(('Commodity OK'!F43-'Commodity OK'!F40)*'Commodity OK'!O7,0)</f>
        <v>100</v>
      </c>
      <c r="M59" s="120"/>
      <c r="N59" s="222">
        <f>ROUNDUP(('Commodity OK'!F43-'Commodity OK'!F40)*'Commodity OK'!O9,0)</f>
        <v>1914</v>
      </c>
    </row>
    <row r="60" spans="1:14" x14ac:dyDescent="0.25">
      <c r="A60" s="16"/>
      <c r="B60" t="s">
        <v>113</v>
      </c>
      <c r="F60" s="85">
        <f>SUM(H60:N60)</f>
        <v>41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41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101484</v>
      </c>
      <c r="G62" s="221"/>
      <c r="H62" s="219">
        <f>SUM(H57:H60)</f>
        <v>33304</v>
      </c>
      <c r="I62" s="221"/>
      <c r="J62" s="219">
        <f>SUM(J57:J60)</f>
        <v>33841</v>
      </c>
      <c r="K62" s="221"/>
      <c r="L62" s="219">
        <f>SUM(L57:L60)</f>
        <v>1694</v>
      </c>
      <c r="M62" s="221"/>
      <c r="N62" s="220">
        <f>SUM(N57:N60)</f>
        <v>32645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440648.69739108335</v>
      </c>
      <c r="G66" s="120"/>
      <c r="H66" s="219">
        <f>H53+H42+H62</f>
        <v>206877</v>
      </c>
      <c r="I66" s="120"/>
      <c r="J66" s="220">
        <f>J53+J42+J62</f>
        <v>139164</v>
      </c>
      <c r="K66" s="120"/>
      <c r="L66" s="220">
        <f>L53+L42+L62</f>
        <v>31843</v>
      </c>
      <c r="M66" s="120"/>
      <c r="N66" s="220">
        <f>N53+N42+N62</f>
        <v>62808</v>
      </c>
    </row>
    <row r="68" spans="4:14" x14ac:dyDescent="0.25">
      <c r="F68" s="6">
        <f>SUM(H66:N66)</f>
        <v>440692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zoomScaleNormal="100" workbookViewId="0">
      <selection activeCell="J14" sqref="J14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274</v>
      </c>
      <c r="G2" s="97"/>
      <c r="H2" s="97" t="s">
        <v>275</v>
      </c>
      <c r="I2" s="99"/>
      <c r="J2" s="54"/>
    </row>
    <row r="3" spans="2:21" x14ac:dyDescent="0.25">
      <c r="M3" s="101" t="s">
        <v>276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277</v>
      </c>
      <c r="N4" s="19"/>
      <c r="O4" s="19" t="s">
        <v>78</v>
      </c>
      <c r="P4" s="19"/>
      <c r="Q4" s="19" t="s">
        <v>79</v>
      </c>
      <c r="R4" s="19"/>
      <c r="S4" s="176" t="s">
        <v>278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118</v>
      </c>
      <c r="E6" s="27"/>
      <c r="F6" s="214">
        <v>22.42</v>
      </c>
      <c r="H6" s="6">
        <f t="shared" ref="H6:H16" si="0">F6/D6</f>
        <v>0.19</v>
      </c>
      <c r="K6" t="s">
        <v>33</v>
      </c>
      <c r="M6" s="132">
        <v>78218</v>
      </c>
      <c r="O6" s="25">
        <f>+M6/$M$11</f>
        <v>0.32816721768170909</v>
      </c>
      <c r="Q6" s="6">
        <f>O6*F45</f>
        <v>33303.141063235271</v>
      </c>
      <c r="S6" s="132">
        <v>90438</v>
      </c>
      <c r="U6" s="110" t="s">
        <v>152</v>
      </c>
    </row>
    <row r="7" spans="2:21" x14ac:dyDescent="0.25">
      <c r="C7" s="127" t="s">
        <v>141</v>
      </c>
      <c r="D7" s="88">
        <f>2316+242</f>
        <v>2558</v>
      </c>
      <c r="E7" s="27"/>
      <c r="F7" s="214">
        <f>1022+1271</f>
        <v>2293</v>
      </c>
      <c r="H7" s="6">
        <f t="shared" si="0"/>
        <v>0.89640344018764662</v>
      </c>
      <c r="K7" t="s">
        <v>81</v>
      </c>
      <c r="M7" s="132">
        <v>3978</v>
      </c>
      <c r="O7" s="25">
        <f t="shared" ref="O7:O9" si="1">+M7/$M$11</f>
        <v>1.6689882021246244E-2</v>
      </c>
      <c r="Q7" s="6">
        <f>O7*F45</f>
        <v>1693.7264459529761</v>
      </c>
      <c r="S7" s="132">
        <v>4642</v>
      </c>
    </row>
    <row r="8" spans="2:21" x14ac:dyDescent="0.25">
      <c r="C8" s="127" t="s">
        <v>164</v>
      </c>
      <c r="D8" s="88">
        <f>713+30</f>
        <v>743</v>
      </c>
      <c r="E8" s="27"/>
      <c r="F8" s="214">
        <f>557.6+1322.07</f>
        <v>1879.67</v>
      </c>
      <c r="H8" s="6">
        <f t="shared" si="0"/>
        <v>2.5298384925975776</v>
      </c>
      <c r="K8" t="s">
        <v>82</v>
      </c>
      <c r="M8" s="132">
        <v>79480</v>
      </c>
      <c r="O8" s="25">
        <f t="shared" si="1"/>
        <v>0.33346199674425631</v>
      </c>
      <c r="Q8" s="6">
        <f>O8*F45</f>
        <v>33840.467049859872</v>
      </c>
      <c r="S8" s="132">
        <v>86382</v>
      </c>
    </row>
    <row r="9" spans="2:21" x14ac:dyDescent="0.25">
      <c r="C9" s="127" t="s">
        <v>63</v>
      </c>
      <c r="D9" s="88">
        <v>7316</v>
      </c>
      <c r="E9" s="27"/>
      <c r="F9" s="214">
        <v>20067.91</v>
      </c>
      <c r="H9" s="6">
        <f t="shared" si="0"/>
        <v>2.7430166757791143</v>
      </c>
      <c r="K9" t="s">
        <v>109</v>
      </c>
      <c r="M9" s="132">
        <v>76672</v>
      </c>
      <c r="O9" s="25">
        <f t="shared" si="1"/>
        <v>0.32168090355278833</v>
      </c>
      <c r="Q9" s="6">
        <f>O9*F45</f>
        <v>32644.895440951881</v>
      </c>
      <c r="S9" s="132">
        <v>96932</v>
      </c>
    </row>
    <row r="10" spans="2:21" x14ac:dyDescent="0.25">
      <c r="C10" s="127" t="s">
        <v>64</v>
      </c>
      <c r="D10" s="88">
        <v>540</v>
      </c>
      <c r="E10" s="27"/>
      <c r="F10" s="214">
        <v>962.71</v>
      </c>
      <c r="H10" s="6">
        <f t="shared" si="0"/>
        <v>1.7827962962962964</v>
      </c>
    </row>
    <row r="11" spans="2:21" x14ac:dyDescent="0.25">
      <c r="C11" s="127" t="s">
        <v>65</v>
      </c>
      <c r="D11" s="88">
        <v>93</v>
      </c>
      <c r="E11" s="27"/>
      <c r="F11" s="214">
        <v>592.41</v>
      </c>
      <c r="H11" s="6">
        <f t="shared" si="0"/>
        <v>6.3699999999999992</v>
      </c>
      <c r="M11" s="28">
        <f>SUM(M6:M10)</f>
        <v>238348</v>
      </c>
      <c r="N11" s="32"/>
      <c r="O11" s="33">
        <f>SUM(O6:O9)</f>
        <v>1</v>
      </c>
      <c r="P11" s="32"/>
      <c r="Q11" s="30">
        <f>SUM(Q6:Q9)</f>
        <v>101482.23</v>
      </c>
      <c r="R11" s="32"/>
      <c r="S11" s="28">
        <f>SUM(S6:S10)</f>
        <v>278394</v>
      </c>
    </row>
    <row r="12" spans="2:21" x14ac:dyDescent="0.25">
      <c r="C12" s="127" t="s">
        <v>66</v>
      </c>
      <c r="D12" s="88">
        <v>865</v>
      </c>
      <c r="E12" s="27"/>
      <c r="F12" s="214">
        <v>733.77</v>
      </c>
      <c r="H12" s="6">
        <f t="shared" si="0"/>
        <v>0.84828901734104045</v>
      </c>
      <c r="K12" s="217"/>
    </row>
    <row r="13" spans="2:21" x14ac:dyDescent="0.25">
      <c r="C13" s="127" t="s">
        <v>67</v>
      </c>
      <c r="D13" s="88">
        <v>12</v>
      </c>
      <c r="E13" s="27"/>
      <c r="F13" s="214">
        <v>142.82</v>
      </c>
      <c r="H13" s="6">
        <f t="shared" si="0"/>
        <v>11.901666666666666</v>
      </c>
      <c r="M13" t="s">
        <v>197</v>
      </c>
      <c r="Q13" s="6"/>
    </row>
    <row r="14" spans="2:21" x14ac:dyDescent="0.25">
      <c r="C14" s="127" t="s">
        <v>68</v>
      </c>
      <c r="D14" s="88">
        <v>1534</v>
      </c>
      <c r="E14" s="27"/>
      <c r="F14" s="214">
        <v>2151.64</v>
      </c>
      <c r="H14" s="6">
        <f t="shared" si="0"/>
        <v>1.4026336375488917</v>
      </c>
      <c r="O14" t="s">
        <v>206</v>
      </c>
    </row>
    <row r="15" spans="2:21" x14ac:dyDescent="0.25">
      <c r="C15" s="127" t="s">
        <v>69</v>
      </c>
      <c r="D15" s="88">
        <v>63</v>
      </c>
      <c r="E15" s="27"/>
      <c r="F15" s="214">
        <v>500.18</v>
      </c>
      <c r="H15" s="6">
        <f t="shared" si="0"/>
        <v>7.9393650793650794</v>
      </c>
      <c r="O15" s="7" t="s">
        <v>202</v>
      </c>
      <c r="Q15" s="134">
        <v>101594.76</v>
      </c>
      <c r="S15" t="s">
        <v>213</v>
      </c>
    </row>
    <row r="16" spans="2:21" x14ac:dyDescent="0.25">
      <c r="C16" s="127" t="s">
        <v>70</v>
      </c>
      <c r="D16" s="88"/>
      <c r="E16" s="27"/>
      <c r="F16" s="214"/>
      <c r="H16" s="6" t="e">
        <f t="shared" si="0"/>
        <v>#DIV/0!</v>
      </c>
      <c r="O16" s="7" t="s">
        <v>204</v>
      </c>
      <c r="Q16" s="102">
        <v>6120.02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f>494.7+1.49</f>
        <v>496.19</v>
      </c>
      <c r="H17" s="6">
        <f>F17/D17</f>
        <v>5.8375294117647059</v>
      </c>
      <c r="J17" s="6"/>
      <c r="O17" s="7" t="s">
        <v>205</v>
      </c>
      <c r="Q17" s="102">
        <v>2639.88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13927</v>
      </c>
      <c r="E18" s="31"/>
      <c r="F18" s="30">
        <f>SUM(F6:F17)</f>
        <v>29842.719999999998</v>
      </c>
      <c r="G18" s="20"/>
      <c r="H18" s="6">
        <f>F18/D18</f>
        <v>2.142796007754721</v>
      </c>
      <c r="I18" s="20"/>
      <c r="J18" s="6"/>
      <c r="M18" s="6"/>
      <c r="O18" s="6" t="s">
        <v>145</v>
      </c>
      <c r="Q18" s="104">
        <f>SUM(Q15:Q17)</f>
        <v>110354.66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+F42</f>
        <v>2785.4</v>
      </c>
      <c r="S19" t="s">
        <v>214</v>
      </c>
      <c r="W19" s="6"/>
    </row>
    <row r="20" spans="3:24" x14ac:dyDescent="0.25">
      <c r="O20" s="6" t="s">
        <v>50</v>
      </c>
      <c r="Q20" s="173">
        <f>+Q18+Q19</f>
        <v>113140.06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11657.830000000002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118</v>
      </c>
      <c r="F23" s="214">
        <v>376.84</v>
      </c>
      <c r="H23" s="6">
        <f t="shared" ref="H23:H26" si="2">F23/D23</f>
        <v>3.1935593220338983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270</v>
      </c>
      <c r="D25" s="88">
        <v>3645</v>
      </c>
      <c r="F25" s="63">
        <v>15580</v>
      </c>
      <c r="H25" s="6">
        <f t="shared" si="2"/>
        <v>4.2743484224965709</v>
      </c>
      <c r="Q25" s="6"/>
    </row>
    <row r="26" spans="3:24" x14ac:dyDescent="0.25">
      <c r="C26" t="s">
        <v>238</v>
      </c>
      <c r="D26" s="88"/>
      <c r="F26" s="63"/>
      <c r="H26" s="6" t="e">
        <f t="shared" si="2"/>
        <v>#DIV/0!</v>
      </c>
      <c r="J26" t="s">
        <v>138</v>
      </c>
      <c r="S26" s="6"/>
    </row>
    <row r="27" spans="3:24" x14ac:dyDescent="0.25">
      <c r="C27" s="127" t="s">
        <v>260</v>
      </c>
      <c r="D27" s="88">
        <v>8607</v>
      </c>
      <c r="F27" s="214">
        <v>19968.240000000002</v>
      </c>
      <c r="H27" s="6">
        <f>F29/D29</f>
        <v>2.8203333333333331</v>
      </c>
      <c r="S27" s="6"/>
    </row>
    <row r="28" spans="3:24" x14ac:dyDescent="0.25">
      <c r="C28" s="127" t="s">
        <v>258</v>
      </c>
      <c r="D28" s="88">
        <v>425</v>
      </c>
      <c r="F28" s="214">
        <v>1031.4000000000001</v>
      </c>
      <c r="H28" s="6">
        <f>F28/D28</f>
        <v>2.4268235294117648</v>
      </c>
      <c r="S28" s="6"/>
    </row>
    <row r="29" spans="3:24" x14ac:dyDescent="0.25">
      <c r="C29" s="127" t="s">
        <v>259</v>
      </c>
      <c r="D29" s="88">
        <v>30</v>
      </c>
      <c r="F29" s="214">
        <v>84.61</v>
      </c>
      <c r="H29" s="6">
        <f>F30/D30</f>
        <v>2.3083999999999998</v>
      </c>
      <c r="S29" s="6"/>
    </row>
    <row r="30" spans="3:24" x14ac:dyDescent="0.25">
      <c r="C30" s="127" t="s">
        <v>174</v>
      </c>
      <c r="D30" s="88">
        <v>1125</v>
      </c>
      <c r="F30" s="214">
        <v>2596.9499999999998</v>
      </c>
      <c r="H30" s="6">
        <f>F27/D27</f>
        <v>2.3200000000000003</v>
      </c>
      <c r="O30" s="6"/>
      <c r="Q30" s="6"/>
    </row>
    <row r="31" spans="3:24" x14ac:dyDescent="0.25">
      <c r="C31" s="127" t="s">
        <v>263</v>
      </c>
      <c r="D31" s="88">
        <v>7</v>
      </c>
      <c r="F31" s="214">
        <v>49.34</v>
      </c>
      <c r="H31" s="6">
        <f>F31/D31</f>
        <v>7.0485714285714289</v>
      </c>
    </row>
    <row r="32" spans="3:24" x14ac:dyDescent="0.25">
      <c r="C32" s="127" t="s">
        <v>247</v>
      </c>
      <c r="D32" s="88"/>
      <c r="F32" s="214"/>
      <c r="H32" s="6" t="e">
        <f>F32/D32</f>
        <v>#DIV/0!</v>
      </c>
    </row>
    <row r="33" spans="3:22" x14ac:dyDescent="0.25">
      <c r="C33" s="127" t="s">
        <v>110</v>
      </c>
      <c r="D33" s="88">
        <v>4155</v>
      </c>
      <c r="F33" s="214">
        <v>19736.25</v>
      </c>
      <c r="H33" s="6">
        <f t="shared" ref="H33:H35" si="3">F33/D33</f>
        <v>4.75</v>
      </c>
    </row>
    <row r="34" spans="3:22" x14ac:dyDescent="0.25">
      <c r="C34" s="127" t="s">
        <v>246</v>
      </c>
      <c r="D34" s="88"/>
      <c r="F34" s="214"/>
      <c r="H34" s="6" t="e">
        <f t="shared" si="3"/>
        <v>#DIV/0!</v>
      </c>
    </row>
    <row r="35" spans="3:22" x14ac:dyDescent="0.25">
      <c r="C35" t="s">
        <v>190</v>
      </c>
      <c r="D35" s="88"/>
      <c r="F35" s="214">
        <v>6225.86</v>
      </c>
      <c r="H35" s="6" t="e">
        <f t="shared" si="3"/>
        <v>#DIV/0!</v>
      </c>
      <c r="J35" s="6"/>
    </row>
    <row r="36" spans="3:22" x14ac:dyDescent="0.25">
      <c r="D36" s="28">
        <f>SUM(D23:D35)</f>
        <v>18112</v>
      </c>
      <c r="E36" s="16"/>
      <c r="F36" s="89">
        <f>SUM(F23:F35)</f>
        <v>65649.489999999991</v>
      </c>
      <c r="H36" s="6">
        <f>F36/D36</f>
        <v>3.6246405697879855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234</v>
      </c>
      <c r="K39" s="74" t="s">
        <v>136</v>
      </c>
    </row>
    <row r="40" spans="3:22" ht="15.75" thickBot="1" x14ac:dyDescent="0.3">
      <c r="C40" t="s">
        <v>111</v>
      </c>
      <c r="F40" s="214">
        <v>40.76</v>
      </c>
      <c r="Q40" s="6"/>
      <c r="S40" s="6"/>
    </row>
    <row r="41" spans="3:22" ht="15.75" thickBot="1" x14ac:dyDescent="0.3">
      <c r="C41" t="s">
        <v>75</v>
      </c>
      <c r="F41" s="109">
        <f>+D18*0.18</f>
        <v>2506.86</v>
      </c>
      <c r="J41" s="76" t="s">
        <v>192</v>
      </c>
      <c r="K41" s="74"/>
      <c r="S41" s="54"/>
    </row>
    <row r="42" spans="3:22" ht="15.75" thickBot="1" x14ac:dyDescent="0.3">
      <c r="C42" t="s">
        <v>135</v>
      </c>
      <c r="F42" s="6">
        <f>D18*0.2</f>
        <v>2785.4</v>
      </c>
      <c r="J42" s="76" t="s">
        <v>194</v>
      </c>
    </row>
    <row r="43" spans="3:22" x14ac:dyDescent="0.25">
      <c r="F43" s="30">
        <f>SUM(F39:F42)</f>
        <v>5990.02</v>
      </c>
      <c r="J43" s="162" t="s">
        <v>162</v>
      </c>
      <c r="K43" s="165" t="s">
        <v>193</v>
      </c>
      <c r="L43" s="163"/>
      <c r="M43" s="164" t="s">
        <v>50</v>
      </c>
    </row>
    <row r="44" spans="3:22" ht="15.75" thickBot="1" x14ac:dyDescent="0.3">
      <c r="C44" s="102">
        <f>89964.11+6225.86</f>
        <v>96189.97</v>
      </c>
      <c r="D44" s="117" t="s">
        <v>215</v>
      </c>
      <c r="J44" s="160">
        <f>+D18</f>
        <v>13927</v>
      </c>
      <c r="K44" s="147">
        <v>0.18</v>
      </c>
      <c r="L44" s="147"/>
      <c r="M44" s="161">
        <f>+J44*K44</f>
        <v>2506.86</v>
      </c>
      <c r="S44" s="54"/>
      <c r="T44" s="54"/>
      <c r="U44" s="54"/>
      <c r="V44" s="169"/>
    </row>
    <row r="45" spans="3:22" x14ac:dyDescent="0.25">
      <c r="C45" s="6">
        <f>+F18+F36+F39+F40</f>
        <v>96189.969999999987</v>
      </c>
      <c r="D45" s="15" t="s">
        <v>39</v>
      </c>
      <c r="E45" s="16"/>
      <c r="F45" s="173">
        <f>F18+F36+F43</f>
        <v>101482.23</v>
      </c>
    </row>
    <row r="46" spans="3:22" x14ac:dyDescent="0.25">
      <c r="C46" s="6">
        <f>+C45-C44</f>
        <v>0</v>
      </c>
      <c r="F46" s="99">
        <f>F45-F42-F41</f>
        <v>96189.97</v>
      </c>
      <c r="H46" s="177">
        <f>F46-F35</f>
        <v>89964.11</v>
      </c>
      <c r="I46" s="177"/>
      <c r="J46" s="178" t="s">
        <v>208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36" zoomScaleNormal="100" workbookViewId="0">
      <selection activeCell="K53" sqref="K53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July 24 billing =July invoices = June Flow  data= June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7507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501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764.22</v>
      </c>
      <c r="G11" s="6"/>
      <c r="J11" s="1"/>
    </row>
    <row r="12" spans="1:16" x14ac:dyDescent="0.25">
      <c r="C12" t="s">
        <v>38</v>
      </c>
      <c r="F12" s="6">
        <f>'Allocation Charges'!J7</f>
        <v>1021.0207406395297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1786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1259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8791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194.98</v>
      </c>
      <c r="G19" s="6"/>
    </row>
    <row r="20" spans="2:7" x14ac:dyDescent="0.25">
      <c r="C20" t="s">
        <v>38</v>
      </c>
      <c r="F20" s="6">
        <f>'Allocation Charges'!J11</f>
        <v>514.95444142061103</v>
      </c>
      <c r="G20" s="6"/>
    </row>
    <row r="21" spans="2:7" x14ac:dyDescent="0.25">
      <c r="D21" s="7" t="s">
        <v>39</v>
      </c>
      <c r="E21" s="36"/>
      <c r="F21" s="224">
        <f>ROUNDUP(F20+F19,0)</f>
        <v>710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305.10000000000002</v>
      </c>
      <c r="G23" s="6"/>
    </row>
    <row r="24" spans="2:7" x14ac:dyDescent="0.25">
      <c r="C24" t="s">
        <v>38</v>
      </c>
      <c r="F24" s="6">
        <f>'Allocation Charges'!J12</f>
        <v>251.21958999045154</v>
      </c>
      <c r="G24" s="6"/>
    </row>
    <row r="25" spans="2:7" x14ac:dyDescent="0.25">
      <c r="D25" s="7" t="s">
        <v>39</v>
      </c>
      <c r="E25" s="36"/>
      <c r="F25" s="224">
        <f>ROUNDUP(F24+F23,0)</f>
        <v>557</v>
      </c>
      <c r="G25" s="6"/>
    </row>
    <row r="26" spans="2:7" x14ac:dyDescent="0.25">
      <c r="B26" t="s">
        <v>25</v>
      </c>
      <c r="F26" s="85">
        <f>ROUNDUP('Allocation Charges'!J13,0)</f>
        <v>2001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14.473556624964306</v>
      </c>
      <c r="G29" s="6"/>
    </row>
    <row r="30" spans="2:7" x14ac:dyDescent="0.25">
      <c r="D30" s="7" t="s">
        <v>39</v>
      </c>
      <c r="E30" s="36"/>
      <c r="F30" s="224">
        <f>ROUNDUP(F29+F28,0)</f>
        <v>15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683.65</v>
      </c>
      <c r="G32" s="6"/>
    </row>
    <row r="33" spans="1:7" x14ac:dyDescent="0.25">
      <c r="C33" t="s">
        <v>38</v>
      </c>
      <c r="F33" s="6">
        <f>'Allocation Charges'!J15</f>
        <v>1739.209899362703</v>
      </c>
      <c r="G33" s="6"/>
    </row>
    <row r="34" spans="1:7" x14ac:dyDescent="0.25">
      <c r="D34" s="7" t="s">
        <v>39</v>
      </c>
      <c r="E34" s="36"/>
      <c r="F34" s="224">
        <f>ROUNDUP(F33+F32,0)</f>
        <v>2423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336</v>
      </c>
      <c r="G37" s="6"/>
    </row>
    <row r="38" spans="1:7" x14ac:dyDescent="0.25">
      <c r="B38" t="s">
        <v>30</v>
      </c>
      <c r="F38" s="85">
        <f>ROUNDUP('Allocation Charges'!J19,0)</f>
        <v>516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26402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268</v>
      </c>
      <c r="G43" s="6"/>
    </row>
    <row r="44" spans="1:7" x14ac:dyDescent="0.25">
      <c r="B44" t="s">
        <v>46</v>
      </c>
      <c r="F44" s="85">
        <f>ROUNDUP('Allocation Charges'!J27,0)</f>
        <v>1772</v>
      </c>
      <c r="G44" s="6"/>
    </row>
    <row r="45" spans="1:7" x14ac:dyDescent="0.25">
      <c r="B45" t="s">
        <v>32</v>
      </c>
      <c r="F45" s="85">
        <f>ROUNDUP('Allocation Charges'!J28,0)</f>
        <v>514</v>
      </c>
      <c r="G45" s="6"/>
    </row>
    <row r="46" spans="1:7" x14ac:dyDescent="0.25">
      <c r="B46" t="s">
        <v>47</v>
      </c>
      <c r="F46" s="85">
        <f>ROUNDUP('Allocation Charges'!J29,0)</f>
        <v>822</v>
      </c>
      <c r="G46" s="6"/>
    </row>
    <row r="47" spans="1:7" x14ac:dyDescent="0.25">
      <c r="B47" t="s">
        <v>48</v>
      </c>
      <c r="F47" s="85">
        <f>ROUNDUP('Allocation Charges'!J30,0)</f>
        <v>497</v>
      </c>
      <c r="G47" s="6"/>
    </row>
    <row r="48" spans="1:7" x14ac:dyDescent="0.25">
      <c r="B48" t="s">
        <v>41</v>
      </c>
      <c r="F48" s="85">
        <f>ROUNDUP('Allocation Charges'!J31,0)</f>
        <v>477</v>
      </c>
      <c r="G48" s="6"/>
    </row>
    <row r="49" spans="1:8" x14ac:dyDescent="0.25">
      <c r="B49" t="s">
        <v>31</v>
      </c>
      <c r="F49" s="85">
        <f>ROUNDUP('Allocation Charges'!J32,0)</f>
        <v>1641</v>
      </c>
      <c r="G49" s="6"/>
    </row>
    <row r="50" spans="1:8" x14ac:dyDescent="0.25">
      <c r="F50" s="6"/>
    </row>
    <row r="51" spans="1:8" x14ac:dyDescent="0.25">
      <c r="F51" s="219">
        <f>SUM(F44:F49)</f>
        <v>5723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1261</v>
      </c>
      <c r="H53" s="106">
        <f>'Commodity TN KY'!E15*'Commodity TN KY'!G20</f>
        <v>347.17592493488888</v>
      </c>
    </row>
    <row r="54" spans="1:8" x14ac:dyDescent="0.25">
      <c r="A54" s="16"/>
      <c r="B54" t="s">
        <v>241</v>
      </c>
      <c r="F54" s="6">
        <f>ROUNDUP('Commodity TN KY'!I27,0)</f>
        <v>4140</v>
      </c>
      <c r="H54" s="106">
        <f>+'Commodity TN KY'!E27</f>
        <v>1550</v>
      </c>
    </row>
    <row r="55" spans="1:8" x14ac:dyDescent="0.25">
      <c r="A55" s="16"/>
      <c r="B55" t="s">
        <v>242</v>
      </c>
      <c r="F55" s="6">
        <f>ROUNDUP('Commodity TN KY'!I28,0)</f>
        <v>481</v>
      </c>
      <c r="H55" s="106">
        <f>+'Commodity TN KY'!E28</f>
        <v>390</v>
      </c>
    </row>
    <row r="56" spans="1:8" x14ac:dyDescent="0.25">
      <c r="F56" s="218">
        <f>SUM(F53:F55)</f>
        <v>5882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38007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28" zoomScaleNormal="100" workbookViewId="0">
      <selection activeCell="P50" sqref="P5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July 24 billing =July invoices = June Flow  data= June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12048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4029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199.17</v>
      </c>
      <c r="G11" s="6"/>
      <c r="J11" s="1"/>
    </row>
    <row r="12" spans="1:11" x14ac:dyDescent="0.25">
      <c r="C12" t="s">
        <v>38</v>
      </c>
      <c r="F12" s="60">
        <f>'Allocation Charges'!H7</f>
        <v>2186.5761648318335</v>
      </c>
      <c r="G12" s="6"/>
      <c r="J12" s="1"/>
    </row>
    <row r="13" spans="1:11" x14ac:dyDescent="0.25">
      <c r="D13" s="7" t="s">
        <v>39</v>
      </c>
      <c r="F13" s="86">
        <f>ROUNDUP(F11+F12,0)</f>
        <v>2386</v>
      </c>
      <c r="G13" s="6"/>
      <c r="J13" s="1"/>
    </row>
    <row r="14" spans="1:11" x14ac:dyDescent="0.25">
      <c r="B14" t="s">
        <v>15</v>
      </c>
      <c r="F14" s="83">
        <f>ROUNDUP('Allocation Charges'!H8,0)</f>
        <v>2695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18827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324.27</v>
      </c>
      <c r="G18" s="6"/>
    </row>
    <row r="19" spans="2:7" x14ac:dyDescent="0.25">
      <c r="C19" t="s">
        <v>38</v>
      </c>
      <c r="F19" s="60">
        <f>'Allocation Charges'!H11</f>
        <v>1102.8053229156951</v>
      </c>
      <c r="G19" s="6"/>
    </row>
    <row r="20" spans="2:7" x14ac:dyDescent="0.25">
      <c r="D20" s="7" t="s">
        <v>39</v>
      </c>
      <c r="F20" s="86">
        <f>ROUNDUP(F18+F19,0)</f>
        <v>1428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4483</v>
      </c>
      <c r="G22" s="6"/>
    </row>
    <row r="23" spans="2:7" x14ac:dyDescent="0.25">
      <c r="C23" t="s">
        <v>38</v>
      </c>
      <c r="F23" s="60">
        <f>'Allocation Charges'!H12</f>
        <v>538.00157601879789</v>
      </c>
      <c r="G23" s="6"/>
    </row>
    <row r="24" spans="2:7" x14ac:dyDescent="0.25">
      <c r="D24" s="7" t="s">
        <v>39</v>
      </c>
      <c r="F24" s="86">
        <f>ROUNDUP(F22+F23,0)</f>
        <v>5022</v>
      </c>
      <c r="G24" s="6"/>
    </row>
    <row r="25" spans="2:7" x14ac:dyDescent="0.25">
      <c r="B25" t="s">
        <v>25</v>
      </c>
      <c r="F25" s="83">
        <f>ROUNDUP('Allocation Charges'!H13,0)</f>
        <v>4284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112.68</v>
      </c>
      <c r="G27" s="6"/>
    </row>
    <row r="28" spans="2:7" x14ac:dyDescent="0.25">
      <c r="C28" t="s">
        <v>38</v>
      </c>
      <c r="F28" s="60">
        <f>'Allocation Charges'!H14</f>
        <v>30.995975573099507</v>
      </c>
      <c r="G28" s="6"/>
    </row>
    <row r="29" spans="2:7" x14ac:dyDescent="0.25">
      <c r="D29" s="7" t="s">
        <v>39</v>
      </c>
      <c r="F29" s="86">
        <f>ROUNDUP(F27+F28,0)</f>
        <v>144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3724.620627396906</v>
      </c>
      <c r="G32" s="6"/>
    </row>
    <row r="33" spans="1:10" x14ac:dyDescent="0.25">
      <c r="D33" s="7" t="s">
        <v>39</v>
      </c>
      <c r="F33" s="86">
        <f>ROUNDUP(F31+F32,0)</f>
        <v>6844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718</v>
      </c>
      <c r="G36" s="6"/>
    </row>
    <row r="37" spans="1:10" x14ac:dyDescent="0.25">
      <c r="B37" t="s">
        <v>30</v>
      </c>
      <c r="F37" s="83">
        <f>ROUNDUP('Allocation Charges'!H19,0)</f>
        <v>1104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59529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267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3795</v>
      </c>
      <c r="G44" s="6"/>
    </row>
    <row r="45" spans="1:10" x14ac:dyDescent="0.25">
      <c r="B45" t="s">
        <v>32</v>
      </c>
      <c r="F45" s="79">
        <f>ROUNDUP('Allocation Charges'!H28,0)</f>
        <v>1100</v>
      </c>
      <c r="G45" s="6"/>
    </row>
    <row r="46" spans="1:10" x14ac:dyDescent="0.25">
      <c r="B46" t="s">
        <v>47</v>
      </c>
      <c r="F46" s="79">
        <f>ROUNDUP('Allocation Charges'!H29,0)</f>
        <v>1759</v>
      </c>
      <c r="G46" s="6"/>
    </row>
    <row r="47" spans="1:10" x14ac:dyDescent="0.25">
      <c r="B47" t="s">
        <v>48</v>
      </c>
      <c r="F47" s="79">
        <f>ROUNDUP('Allocation Charges'!H30,0)</f>
        <v>1063</v>
      </c>
      <c r="G47" s="6"/>
      <c r="J47" s="8"/>
    </row>
    <row r="48" spans="1:10" x14ac:dyDescent="0.25">
      <c r="B48" t="s">
        <v>41</v>
      </c>
      <c r="F48" s="79">
        <f>ROUNDUP('Allocation Charges'!H31,0)</f>
        <v>1020</v>
      </c>
      <c r="G48" s="6"/>
      <c r="J48" s="8"/>
    </row>
    <row r="49" spans="1:10" x14ac:dyDescent="0.25">
      <c r="B49" t="s">
        <v>31</v>
      </c>
      <c r="F49" s="79">
        <f>ROUNDUP('Allocation Charges'!H32,0)</f>
        <v>3513</v>
      </c>
      <c r="J49" s="8"/>
    </row>
    <row r="50" spans="1:10" x14ac:dyDescent="0.25">
      <c r="F50" s="8"/>
    </row>
    <row r="51" spans="1:10" x14ac:dyDescent="0.25">
      <c r="F51" s="84">
        <f>SUM(F43:F49)</f>
        <v>12250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40708</v>
      </c>
      <c r="H53" s="114">
        <f>'Commodity TN KY'!E15*'Commodity TN KY'!G19</f>
        <v>11209.824075065111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112487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zoomScaleNormal="100" workbookViewId="0">
      <selection activeCell="U15" sqref="U15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2407 file =</v>
      </c>
      <c r="J1" s="99"/>
      <c r="K1" s="100" t="str">
        <f>+'Commodity OK'!H2</f>
        <v>Data Input July 24 billing =July invoices = June Flow  data= June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1263</v>
      </c>
      <c r="F7" s="51"/>
      <c r="G7" s="49">
        <f t="shared" ref="G7:G14" si="0">I7/E7</f>
        <v>1.6914093428345209</v>
      </c>
      <c r="H7" s="49"/>
      <c r="I7" s="174">
        <v>2136.25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1265+486</f>
        <v>1751</v>
      </c>
      <c r="F8" s="48"/>
      <c r="G8" s="49">
        <f>I8/E8</f>
        <v>4.6889777270131354</v>
      </c>
      <c r="H8" s="49"/>
      <c r="I8" s="174">
        <f>6072+2138.4</f>
        <v>8210.4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4710</v>
      </c>
      <c r="F9" s="48"/>
      <c r="G9" s="49">
        <f t="shared" si="0"/>
        <v>2.7171995753715499</v>
      </c>
      <c r="H9" s="49"/>
      <c r="I9" s="174">
        <v>12798.01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/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146+411</f>
        <v>557</v>
      </c>
      <c r="F12" s="48"/>
      <c r="G12" s="49">
        <f>I12/E12</f>
        <v>4.5080789946140039</v>
      </c>
      <c r="H12" s="49"/>
      <c r="I12" s="174">
        <f>532.7+1978.3</f>
        <v>2511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v>3276</v>
      </c>
      <c r="F13" s="48"/>
      <c r="G13" s="49">
        <f>I13/E13</f>
        <v>3.85</v>
      </c>
      <c r="H13" s="49"/>
      <c r="I13" s="174">
        <v>12612.6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11557</v>
      </c>
      <c r="F15" s="48"/>
      <c r="G15" s="42">
        <f>I15/(E8+E13)</f>
        <v>8.3485697234931369</v>
      </c>
      <c r="H15" s="49"/>
      <c r="I15" s="175">
        <f>SUM(I6:I14)</f>
        <v>41968.26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f>2722+9852+14613</f>
        <v>27187</v>
      </c>
      <c r="F19" s="48"/>
      <c r="G19" s="45">
        <f>E19/E22</f>
        <v>0.96995968461236581</v>
      </c>
      <c r="H19" s="48"/>
      <c r="I19" s="167">
        <f>I15*G19</f>
        <v>40707.520233329771</v>
      </c>
      <c r="J19" s="48"/>
      <c r="K19" s="92">
        <f>5016+11873+11722+614</f>
        <v>29225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f>337+444+61</f>
        <v>842</v>
      </c>
      <c r="F20" s="41"/>
      <c r="G20" s="45">
        <f>E20/E22</f>
        <v>3.0040315387634235E-2</v>
      </c>
      <c r="H20" s="41"/>
      <c r="I20" s="166">
        <f>I15*G20</f>
        <v>1260.7397666702345</v>
      </c>
      <c r="J20" s="41"/>
      <c r="K20" s="92">
        <f>277+483+181</f>
        <v>941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28029</v>
      </c>
      <c r="F22" s="48"/>
      <c r="G22" s="45">
        <f>SUM(G19:G20)</f>
        <v>1</v>
      </c>
      <c r="H22" s="48"/>
      <c r="I22" s="154">
        <f>SUM(I19:I20)</f>
        <v>41968.260000000009</v>
      </c>
      <c r="J22" s="48"/>
      <c r="K22" s="38">
        <f>SUM(K19:K20)</f>
        <v>30166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f>750+800</f>
        <v>1550</v>
      </c>
      <c r="F27" s="51"/>
      <c r="G27" s="49">
        <f>I27/E27</f>
        <v>2.6707419354838708</v>
      </c>
      <c r="H27" s="48"/>
      <c r="I27" s="157">
        <f>235.65+3904</f>
        <v>4139.6499999999996</v>
      </c>
      <c r="J27" s="48"/>
      <c r="K27" s="48"/>
      <c r="L27" s="48"/>
      <c r="P27" s="8">
        <f>I35+I20</f>
        <v>5881.0597666702342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390</v>
      </c>
      <c r="F28" s="48"/>
      <c r="G28" s="49">
        <f>I28/E28</f>
        <v>1.2324871794871795</v>
      </c>
      <c r="H28" s="49"/>
      <c r="I28" s="158">
        <v>480.67</v>
      </c>
      <c r="J28" s="48"/>
      <c r="K28" s="48"/>
      <c r="L28" s="48"/>
      <c r="P28" s="134">
        <f>+E20+E33</f>
        <v>4369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4620.32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f>947+2497+83</f>
        <v>3527</v>
      </c>
      <c r="F33" s="48"/>
      <c r="G33" s="45">
        <f>E33/E35</f>
        <v>1</v>
      </c>
      <c r="H33" s="48"/>
      <c r="I33" s="49">
        <f>+I27+I28</f>
        <v>4620.32</v>
      </c>
      <c r="J33" s="48"/>
      <c r="K33" s="238">
        <f>2196+1906+236</f>
        <v>4338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3527</v>
      </c>
      <c r="F35" s="48"/>
      <c r="G35" s="45">
        <f>G33</f>
        <v>1</v>
      </c>
      <c r="H35" s="48"/>
      <c r="I35" s="154">
        <f>I33</f>
        <v>4620.32</v>
      </c>
      <c r="J35" s="48"/>
      <c r="K35" s="38">
        <f>K33</f>
        <v>4338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40707.520233329771</v>
      </c>
      <c r="J38" s="184"/>
    </row>
    <row r="39" spans="1:25" x14ac:dyDescent="0.25">
      <c r="G39" s="185" t="s">
        <v>168</v>
      </c>
      <c r="I39" s="233">
        <f>+I20+I29</f>
        <v>5881.0597666702342</v>
      </c>
      <c r="J39" s="186"/>
      <c r="P39" s="6"/>
    </row>
    <row r="40" spans="1:25" ht="15.75" thickBot="1" x14ac:dyDescent="0.3">
      <c r="G40" s="185"/>
      <c r="I40" s="105">
        <f>SUM(I38:I39)</f>
        <v>46588.58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12830.72</v>
      </c>
      <c r="J43" s="186"/>
    </row>
    <row r="44" spans="1:25" x14ac:dyDescent="0.25">
      <c r="G44" s="185" t="s">
        <v>200</v>
      </c>
      <c r="I44" s="187">
        <v>33757.86</v>
      </c>
      <c r="J44" s="186"/>
    </row>
    <row r="45" spans="1:25" x14ac:dyDescent="0.25">
      <c r="G45" s="185" t="s">
        <v>198</v>
      </c>
      <c r="I45" s="187">
        <f>+I43+I44</f>
        <v>46588.58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J11" sqref="J11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2407 file =</v>
      </c>
      <c r="M2" s="54"/>
      <c r="N2" s="97" t="str">
        <f>+'Commodity OK'!H2</f>
        <v>Data Input July 24 billing =July invoices = June Flow  data= June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312</v>
      </c>
      <c r="I6" s="68" t="s">
        <v>150</v>
      </c>
      <c r="J6" s="90"/>
      <c r="L6" s="49" t="e">
        <f t="shared" ref="L6:L11" si="0">N6/J6</f>
        <v>#DIV/0!</v>
      </c>
      <c r="N6" s="91">
        <v>0</v>
      </c>
      <c r="P6" s="48"/>
    </row>
    <row r="7" spans="1:21" x14ac:dyDescent="0.25">
      <c r="B7" t="s">
        <v>4</v>
      </c>
      <c r="F7" s="226">
        <f>ROUNDUP('Direct Charges'!N15,0)</f>
        <v>339</v>
      </c>
      <c r="I7" s="68" t="s">
        <v>151</v>
      </c>
      <c r="J7" s="90">
        <v>742</v>
      </c>
      <c r="L7" s="49">
        <f t="shared" si="0"/>
        <v>1.261954177897574</v>
      </c>
      <c r="N7" s="91">
        <v>936.37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720</v>
      </c>
      <c r="L8" s="49">
        <f t="shared" si="0"/>
        <v>4.58</v>
      </c>
      <c r="N8" s="91">
        <v>3297.6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10500</v>
      </c>
      <c r="L9" s="49">
        <f>N9/J9</f>
        <v>3.4101190476190477</v>
      </c>
      <c r="N9" s="91">
        <v>35806.25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10500</v>
      </c>
      <c r="L10" s="49">
        <f>N10/J10</f>
        <v>0.24</v>
      </c>
      <c r="N10" s="91">
        <v>2520</v>
      </c>
      <c r="P10" s="171" t="s">
        <v>265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164.7</v>
      </c>
      <c r="G11" s="6"/>
      <c r="I11" s="68" t="s">
        <v>147</v>
      </c>
      <c r="J11" s="108">
        <f>SUM(J6:J10)</f>
        <v>22462</v>
      </c>
      <c r="L11" s="72">
        <f t="shared" si="0"/>
        <v>1.8947653815332561</v>
      </c>
      <c r="N11" s="213">
        <f>SUM(N6:N10)</f>
        <v>42560.22</v>
      </c>
      <c r="P11" s="48"/>
    </row>
    <row r="12" spans="1:21" x14ac:dyDescent="0.25">
      <c r="C12" t="s">
        <v>38</v>
      </c>
      <c r="F12" s="226">
        <f>'Allocation Charges'!N7</f>
        <v>242.93294754140018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408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300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224518</v>
      </c>
      <c r="K16" s="6"/>
      <c r="L16" s="45">
        <v>1</v>
      </c>
      <c r="M16" s="6"/>
      <c r="N16" s="49">
        <f>L16*N11</f>
        <v>42560.22</v>
      </c>
      <c r="O16" s="6"/>
      <c r="P16" s="92">
        <v>204516</v>
      </c>
    </row>
    <row r="17" spans="2:18" x14ac:dyDescent="0.25">
      <c r="B17" t="s">
        <v>19</v>
      </c>
      <c r="F17" s="226">
        <f>ROUNDUP('Allocation Charges'!N10,0)</f>
        <v>2092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224518</v>
      </c>
      <c r="N18" s="71">
        <f>N16</f>
        <v>42560.22</v>
      </c>
      <c r="P18" s="70">
        <f>P16</f>
        <v>204516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122.5238580613815</v>
      </c>
      <c r="G20" s="6"/>
      <c r="I20" t="s">
        <v>75</v>
      </c>
      <c r="L20" s="109">
        <f>+J10*0.18</f>
        <v>1890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123</v>
      </c>
      <c r="G21" s="6"/>
      <c r="I21" t="s">
        <v>135</v>
      </c>
      <c r="L21" s="6">
        <f>J10*0.2</f>
        <v>2100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3990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245.83</v>
      </c>
      <c r="G23" s="6"/>
      <c r="K23" s="6"/>
      <c r="M23" s="6"/>
      <c r="O23" s="6"/>
      <c r="P23" s="160">
        <f>+J10</f>
        <v>10500</v>
      </c>
      <c r="Q23" s="147">
        <v>0.18</v>
      </c>
      <c r="R23" s="161">
        <f>+P23*Q23</f>
        <v>1890</v>
      </c>
    </row>
    <row r="24" spans="2:18" x14ac:dyDescent="0.25">
      <c r="C24" t="s">
        <v>38</v>
      </c>
      <c r="F24" s="134">
        <f>'Allocation Charges'!N12</f>
        <v>59.773041866216936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306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476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3.4437143462018036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4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123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5563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267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422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123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196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119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114</v>
      </c>
      <c r="G48" s="6"/>
      <c r="I48" s="60"/>
    </row>
    <row r="49" spans="1:9" x14ac:dyDescent="0.25">
      <c r="B49" t="s">
        <v>31</v>
      </c>
      <c r="F49" s="226">
        <f>ROUNDUP('Allocation Charges'!N32,0)</f>
        <v>391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1365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42561</v>
      </c>
    </row>
    <row r="55" spans="1:9" x14ac:dyDescent="0.25">
      <c r="A55" s="16"/>
      <c r="B55" t="s">
        <v>108</v>
      </c>
      <c r="F55" s="240">
        <f>ROUNDUP(L22,0)</f>
        <v>3990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46551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53479</v>
      </c>
    </row>
  </sheetData>
  <pageMargins left="0.25" right="0.25" top="0.5" bottom="0.75" header="0" footer="0.3"/>
  <pageSetup scale="41" fitToWidth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2" sqref="I22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July 24 billing =July invoices = June Flow  data= June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464.15</v>
      </c>
      <c r="G7" s="60"/>
      <c r="H7" s="85">
        <f>ROUNDUP(F7,0)</f>
        <v>465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1289.76</v>
      </c>
      <c r="G8" s="60"/>
      <c r="H8" s="85"/>
      <c r="I8" s="60"/>
      <c r="J8" s="85">
        <f>ROUNDUP(F8,0)</f>
        <v>1290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141.19</v>
      </c>
      <c r="G11" s="60"/>
      <c r="H11" s="85">
        <f>ROUNDUP(F11,0)</f>
        <v>142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255.47</v>
      </c>
      <c r="G12" s="60"/>
      <c r="H12" s="85"/>
      <c r="I12" s="60"/>
      <c r="J12" s="85">
        <f>ROUNDUP(F12,0)</f>
        <v>256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2150.5699999999997</v>
      </c>
      <c r="G14" s="120"/>
      <c r="H14" s="219">
        <f>SUM(H7:H13)</f>
        <v>607</v>
      </c>
      <c r="I14" s="120"/>
      <c r="J14" s="219">
        <f>SUM(J7:J13)</f>
        <v>1546</v>
      </c>
      <c r="K14" s="120"/>
    </row>
    <row r="16" spans="1:12" x14ac:dyDescent="0.25">
      <c r="F16" s="6">
        <f>SUM(H14:K14)</f>
        <v>2153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2024-12-17T21:38:31Z</cp:lastPrinted>
  <dcterms:created xsi:type="dcterms:W3CDTF">2013-02-08T00:44:54Z</dcterms:created>
  <dcterms:modified xsi:type="dcterms:W3CDTF">2024-12-17T21:38:37Z</dcterms:modified>
</cp:coreProperties>
</file>