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Billing\2024\"/>
    </mc:Choice>
  </mc:AlternateContent>
  <xr:revisionPtr revIDLastSave="0" documentId="13_ncr:1_{355A2B9A-BAA4-4ED8-8647-D3DC8E92C49D}" xr6:coauthVersionLast="47" xr6:coauthVersionMax="47" xr10:uidLastSave="{00000000-0000-0000-0000-000000000000}"/>
  <bookViews>
    <workbookView xWindow="-120" yWindow="-120" windowWidth="29040" windowHeight="15720" tabRatio="837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4 Allocation Source" sheetId="35" r:id="rId10"/>
    <sheet name="2023 Allocation Source" sheetId="31" r:id="rId11"/>
    <sheet name="2024 NUC Rent" sheetId="32" r:id="rId12"/>
    <sheet name="2024 NALLC Rent" sheetId="33" r:id="rId13"/>
    <sheet name="2024 FCFA Rent" sheetId="36" r:id="rId14"/>
  </sheets>
  <definedNames>
    <definedName name="_xlnm.Print_Area" localSheetId="1">'Allocation Charges'!$A$1:$R$34</definedName>
    <definedName name="_xlnm.Print_Area" localSheetId="3">'Commodity OK'!$A$1:$T$48</definedName>
    <definedName name="_xlnm.Print_Area" localSheetId="7">'Commodity Texas'!$A$1:$AB$61</definedName>
    <definedName name="_xlnm.Print_Area" localSheetId="0">'Direct Charges'!$Q$4:$AB$121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4" i="11" l="1"/>
  <c r="F31" i="11"/>
  <c r="D31" i="11"/>
  <c r="F7" i="11"/>
  <c r="D7" i="11"/>
  <c r="F8" i="11"/>
  <c r="D8" i="11"/>
  <c r="F17" i="11"/>
  <c r="I12" i="28"/>
  <c r="E12" i="28"/>
  <c r="I8" i="28"/>
  <c r="E8" i="28"/>
  <c r="E33" i="28"/>
  <c r="E20" i="28"/>
  <c r="E19" i="28"/>
  <c r="K33" i="28"/>
  <c r="K20" i="28"/>
  <c r="K19" i="28"/>
  <c r="F12" i="4"/>
  <c r="F11" i="4"/>
  <c r="F7" i="4"/>
  <c r="J11" i="15"/>
  <c r="J57" i="6" l="1"/>
  <c r="H25" i="11" l="1"/>
  <c r="N11" i="15"/>
  <c r="P23" i="15" l="1"/>
  <c r="R23" i="15" s="1"/>
  <c r="L21" i="15"/>
  <c r="L20" i="15"/>
  <c r="L22" i="15" l="1"/>
  <c r="F55" i="15" s="1"/>
  <c r="F10" i="36" l="1"/>
  <c r="R8" i="36"/>
  <c r="R10" i="36" s="1"/>
  <c r="V8" i="36" l="1"/>
  <c r="V10" i="36" l="1"/>
  <c r="X8" i="36"/>
  <c r="X10" i="36" s="1"/>
  <c r="C25" i="32" l="1"/>
  <c r="C19" i="35" l="1"/>
  <c r="D19" i="35"/>
  <c r="E19" i="35"/>
  <c r="F19" i="35"/>
  <c r="D3" i="35"/>
  <c r="D4" i="35" s="1"/>
  <c r="E3" i="35"/>
  <c r="E4" i="35" s="1"/>
  <c r="G23" i="35"/>
  <c r="C8" i="35" s="1"/>
  <c r="A18" i="35"/>
  <c r="F3" i="35"/>
  <c r="F4" i="35" s="1"/>
  <c r="G19" i="35" l="1"/>
  <c r="E20" i="35" s="1"/>
  <c r="E27" i="35" s="1"/>
  <c r="G8" i="35"/>
  <c r="C9" i="35" s="1"/>
  <c r="E24" i="35"/>
  <c r="E28" i="35" s="1"/>
  <c r="C24" i="35"/>
  <c r="D24" i="35"/>
  <c r="D28" i="35" s="1"/>
  <c r="F24" i="35"/>
  <c r="F28" i="35" s="1"/>
  <c r="C20" i="35" l="1"/>
  <c r="D20" i="35"/>
  <c r="D27" i="35" s="1"/>
  <c r="D29" i="35" s="1"/>
  <c r="F20" i="35"/>
  <c r="F27" i="35" s="1"/>
  <c r="F29" i="35" s="1"/>
  <c r="C3" i="35"/>
  <c r="C4" i="35" s="1"/>
  <c r="C13" i="35"/>
  <c r="G24" i="35"/>
  <c r="C28" i="35"/>
  <c r="F9" i="35"/>
  <c r="F13" i="35" s="1"/>
  <c r="E9" i="35"/>
  <c r="E13" i="35" s="1"/>
  <c r="D9" i="35"/>
  <c r="D13" i="35" s="1"/>
  <c r="C27" i="35"/>
  <c r="C29" i="35" s="1"/>
  <c r="G29" i="35" s="1"/>
  <c r="G20" i="35"/>
  <c r="E29" i="35"/>
  <c r="G3" i="35" l="1"/>
  <c r="G4" i="35"/>
  <c r="G9" i="35"/>
  <c r="D5" i="35" l="1"/>
  <c r="D12" i="35" s="1"/>
  <c r="F5" i="35"/>
  <c r="F12" i="35" s="1"/>
  <c r="F14" i="35" s="1"/>
  <c r="E5" i="35"/>
  <c r="E12" i="35" s="1"/>
  <c r="E14" i="35" s="1"/>
  <c r="C5" i="35"/>
  <c r="V14" i="36" l="1"/>
  <c r="R4" i="4"/>
  <c r="H13" i="4" s="1"/>
  <c r="V17" i="36"/>
  <c r="R7" i="4"/>
  <c r="D14" i="35"/>
  <c r="R5" i="4" s="1"/>
  <c r="J13" i="4" s="1"/>
  <c r="G5" i="35"/>
  <c r="C12" i="35"/>
  <c r="C14" i="35" s="1"/>
  <c r="R6" i="4" s="1"/>
  <c r="L13" i="4" s="1"/>
  <c r="N13" i="4" l="1"/>
  <c r="N10" i="4"/>
  <c r="V15" i="36"/>
  <c r="G14" i="35"/>
  <c r="V16" i="36"/>
  <c r="V18" i="36" l="1"/>
  <c r="P28" i="28"/>
  <c r="B8" i="33" l="1"/>
  <c r="G8" i="33" s="1"/>
  <c r="G10" i="33" s="1"/>
  <c r="B10" i="33" l="1"/>
  <c r="I8" i="33"/>
  <c r="C27" i="32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H8" i="36" s="1"/>
  <c r="L8" i="36" s="1"/>
  <c r="J9" i="32"/>
  <c r="I15" i="32"/>
  <c r="L10" i="36" l="1"/>
  <c r="N8" i="36"/>
  <c r="J15" i="32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N10" i="36" l="1"/>
  <c r="Z8" i="36"/>
  <c r="Z10" i="36" s="1"/>
  <c r="F8" i="33"/>
  <c r="E10" i="33"/>
  <c r="E15" i="32"/>
  <c r="F8" i="32"/>
  <c r="K8" i="32" s="1"/>
  <c r="Z14" i="36" l="1"/>
  <c r="Z17" i="36"/>
  <c r="AA17" i="36" s="1"/>
  <c r="Z15" i="36"/>
  <c r="AA15" i="36" s="1"/>
  <c r="Z16" i="36"/>
  <c r="AA16" i="36" s="1"/>
  <c r="F10" i="33"/>
  <c r="K8" i="33"/>
  <c r="K10" i="33" s="1"/>
  <c r="F15" i="32"/>
  <c r="AA14" i="36" l="1"/>
  <c r="AA18" i="36" s="1"/>
  <c r="Z18" i="36"/>
  <c r="K15" i="32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C24" i="31"/>
  <c r="C3" i="31"/>
  <c r="D24" i="31"/>
  <c r="D28" i="31" s="1"/>
  <c r="E24" i="31"/>
  <c r="E28" i="31" s="1"/>
  <c r="E29" i="31" s="1"/>
  <c r="Q6" i="6" s="1"/>
  <c r="F20" i="31" l="1"/>
  <c r="F27" i="31" s="1"/>
  <c r="F29" i="31" s="1"/>
  <c r="Q7" i="6" s="1"/>
  <c r="C20" i="3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H28" i="11"/>
  <c r="H29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J17" i="33" l="1"/>
  <c r="K17" i="33" s="1"/>
  <c r="L17" i="33" s="1"/>
  <c r="J15" i="33"/>
  <c r="K15" i="33" s="1"/>
  <c r="L15" i="33" s="1"/>
  <c r="J14" i="33"/>
  <c r="J16" i="33"/>
  <c r="K16" i="33" s="1"/>
  <c r="L16" i="33" s="1"/>
  <c r="G14" i="31"/>
  <c r="G5" i="31"/>
  <c r="L9" i="15"/>
  <c r="J18" i="33" l="1"/>
  <c r="K14" i="33"/>
  <c r="E15" i="28"/>
  <c r="L14" i="33" l="1"/>
  <c r="K18" i="33"/>
  <c r="L18" i="33" s="1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F16" i="30" l="1"/>
  <c r="K1" i="28"/>
  <c r="H32" i="11" l="1"/>
  <c r="H34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I40" i="28" l="1"/>
  <c r="I47" i="28" s="1"/>
  <c r="F59" i="1" l="1"/>
  <c r="F64" i="1" s="1"/>
  <c r="F35" i="15"/>
  <c r="F43" i="9"/>
  <c r="F34" i="9"/>
  <c r="F35" i="8"/>
  <c r="N60" i="6" l="1"/>
  <c r="F21" i="4" l="1"/>
  <c r="F65" i="1" l="1"/>
  <c r="F66" i="1" s="1"/>
  <c r="F68" i="1" s="1"/>
  <c r="R20" i="4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L8" i="4"/>
  <c r="H24" i="11"/>
  <c r="L29" i="4" l="1"/>
  <c r="L28" i="4"/>
  <c r="L27" i="4"/>
  <c r="H35" i="11" l="1"/>
  <c r="H10" i="11" l="1"/>
  <c r="Q18" i="11" l="1"/>
  <c r="M11" i="11" l="1"/>
  <c r="O8" i="11" l="1"/>
  <c r="O9" i="11"/>
  <c r="O7" i="11"/>
  <c r="O6" i="11"/>
  <c r="L10" i="15"/>
  <c r="F36" i="11" l="1"/>
  <c r="F1" i="6" l="1"/>
  <c r="L16" i="4"/>
  <c r="F37" i="6" s="1"/>
  <c r="H33" i="11" l="1"/>
  <c r="S11" i="11" l="1"/>
  <c r="O11" i="11" l="1"/>
  <c r="J14" i="4" l="1"/>
  <c r="F29" i="8" s="1"/>
  <c r="F30" i="8" s="1"/>
  <c r="N14" i="4"/>
  <c r="F29" i="15" s="1"/>
  <c r="F30" i="15" s="1"/>
  <c r="L14" i="4"/>
  <c r="H14" i="4"/>
  <c r="F28" i="9" s="1"/>
  <c r="F29" i="9" s="1"/>
  <c r="Q8" i="6"/>
  <c r="R4" i="6" s="1"/>
  <c r="F31" i="6" l="1"/>
  <c r="F32" i="6" s="1"/>
  <c r="H32" i="6" s="1"/>
  <c r="H37" i="6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1" i="11"/>
  <c r="H30" i="11"/>
  <c r="H27" i="11"/>
  <c r="H26" i="11"/>
  <c r="D36" i="11"/>
  <c r="H17" i="11"/>
  <c r="H16" i="11"/>
  <c r="H15" i="11"/>
  <c r="H14" i="11"/>
  <c r="H13" i="11"/>
  <c r="H12" i="11"/>
  <c r="H11" i="11"/>
  <c r="H9" i="11"/>
  <c r="H8" i="11"/>
  <c r="H7" i="11"/>
  <c r="D18" i="11"/>
  <c r="F41" i="11" l="1"/>
  <c r="F42" i="11"/>
  <c r="F56" i="8"/>
  <c r="N16" i="15"/>
  <c r="F54" i="15" s="1"/>
  <c r="F57" i="15" s="1"/>
  <c r="J44" i="11"/>
  <c r="M44" i="11" s="1"/>
  <c r="L11" i="15"/>
  <c r="Q19" i="11" l="1"/>
  <c r="Q20" i="11" s="1"/>
  <c r="F43" i="11"/>
  <c r="H59" i="6" s="1"/>
  <c r="N18" i="15"/>
  <c r="N59" i="6" l="1"/>
  <c r="L59" i="6"/>
  <c r="J59" i="6"/>
  <c r="R21" i="4" l="1"/>
  <c r="R23" i="4"/>
  <c r="R22" i="4"/>
  <c r="R24" i="4" l="1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N15" i="4"/>
  <c r="F33" i="15" s="1"/>
  <c r="F34" i="15" s="1"/>
  <c r="L19" i="4"/>
  <c r="N18" i="4"/>
  <c r="F37" i="15" s="1"/>
  <c r="N9" i="4"/>
  <c r="F16" i="15" s="1"/>
  <c r="N17" i="4"/>
  <c r="F36" i="15" s="1"/>
  <c r="N8" i="4"/>
  <c r="F15" i="15" s="1"/>
  <c r="N6" i="4"/>
  <c r="F8" i="15" s="1"/>
  <c r="F26" i="15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N21" i="4"/>
  <c r="F40" i="15" l="1"/>
  <c r="S23" i="4"/>
  <c r="P66" i="1"/>
  <c r="N66" i="1" l="1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F28" i="6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F25" i="9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F26" i="8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3" i="1" l="1"/>
  <c r="N68" i="1" s="1"/>
  <c r="N69" i="1" s="1"/>
  <c r="S22" i="4"/>
  <c r="S24" i="4" s="1"/>
  <c r="P63" i="1"/>
  <c r="P68" i="1" s="1"/>
  <c r="H36" i="11"/>
  <c r="F18" i="11"/>
  <c r="C45" i="11" s="1"/>
  <c r="P69" i="1" l="1"/>
  <c r="F51" i="15"/>
  <c r="F61" i="15" s="1"/>
  <c r="C46" i="11"/>
  <c r="F45" i="11"/>
  <c r="F46" i="11" s="1"/>
  <c r="H18" i="11"/>
  <c r="H23" i="11"/>
  <c r="H46" i="11" l="1"/>
  <c r="Q6" i="11"/>
  <c r="Q9" i="11"/>
  <c r="N58" i="6" s="1"/>
  <c r="Q8" i="11"/>
  <c r="Q7" i="11"/>
  <c r="H58" i="6" l="1"/>
  <c r="L58" i="6"/>
  <c r="J58" i="6"/>
  <c r="Q11" i="11"/>
  <c r="Q21" i="11" s="1"/>
  <c r="N62" i="6"/>
  <c r="N66" i="6" s="1"/>
  <c r="F58" i="6" l="1"/>
  <c r="F62" i="6" s="1"/>
  <c r="F66" i="6" s="1"/>
  <c r="H62" i="6"/>
  <c r="H66" i="6" s="1"/>
  <c r="J62" i="6"/>
  <c r="J66" i="6" s="1"/>
  <c r="L62" i="6"/>
  <c r="L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1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<sst xmlns="http://schemas.openxmlformats.org/spreadsheetml/2006/main" count="641" uniqueCount="279">
  <si>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</si>
  <si>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</si>
  <si>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</si>
  <si>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</si>
  <si>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</si>
  <si>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</si>
  <si>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</si>
  <si>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</si>
  <si>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</si>
  <si>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</si>
  <si>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</si>
  <si>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</si>
  <si>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</si>
  <si>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</si>
  <si>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</si>
  <si>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</si>
  <si>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</si>
  <si>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</si>
  <si>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</si>
  <si>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</si>
  <si>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</si>
  <si>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</si>
  <si>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</si>
  <si>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</si>
  <si>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</si>
  <si>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</si>
  <si>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</si>
  <si>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</si>
  <si>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</si>
  <si>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</si>
  <si>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</si>
  <si>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</si>
  <si>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</si>
  <si>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</si>
  <si>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</si>
  <si>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</si>
  <si>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</si>
  <si>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</si>
  <si>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</si>
  <si>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</si>
  <si>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</si>
  <si>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</si>
  <si>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</si>
  <si>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</si>
  <si>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</si>
  <si>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</si>
  <si>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</si>
  <si>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</si>
  <si>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</si>
  <si>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</si>
  <si>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</si>
  <si>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</si>
  <si>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</si>
  <si>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</si>
  <si>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</si>
  <si>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</si>
  <si>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</si>
  <si>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</si>
  <si>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</si>
  <si>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</si>
  <si>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</si>
  <si>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</si>
  <si>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</si>
  <si>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</si>
  <si>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</si>
  <si>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</si>
  <si>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</si>
  <si>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</si>
  <si>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</si>
  <si>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</si>
  <si>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</si>
  <si>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</si>
  <si>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</si>
  <si>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</si>
  <si>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</si>
  <si>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</si>
  <si>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</si>
  <si>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</si>
  <si>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</si>
  <si>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</si>
  <si>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</si>
  <si>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</si>
  <si>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</si>
  <si>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</si>
  <si>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</si>
  <si>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</si>
  <si>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</si>
  <si>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</si>
  <si>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</si>
  <si>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</si>
  <si>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</si>
  <si>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</si>
  <si>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</si>
  <si>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</si>
  <si>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</si>
  <si>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</si>
  <si>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</si>
  <si>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</si>
  <si>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</si>
  <si>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</si>
  <si>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</si>
  <si>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</si>
  <si>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</si>
  <si>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</si>
  <si>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</si>
  <si>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</si>
  <si>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</si>
  <si>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</si>
  <si>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</si>
  <si>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</si>
  <si>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</si>
  <si>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</si>
  <si>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</si>
  <si>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</si>
  <si>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</si>
  <si>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</si>
  <si>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</si>
  <si>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</si>
  <si>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</si>
  <si>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</si>
  <si>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</si>
  <si>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</si>
  <si>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</si>
  <si>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</si>
  <si>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</si>
  <si>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</si>
  <si>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</si>
  <si>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</si>
  <si>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</si>
  <si>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</si>
  <si>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</si>
  <si>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</si>
  <si>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</si>
  <si>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</si>
  <si>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</si>
  <si>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</si>
  <si>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</si>
  <si>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</si>
  <si>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</si>
  <si>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</si>
  <si>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</si>
  <si>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</si>
  <si>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</si>
  <si>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</si>
  <si>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</si>
  <si>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</si>
  <si>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</si>
  <si>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</si>
  <si>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</si>
  <si>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</si>
  <si>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</si>
  <si>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</si>
  <si>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</si>
  <si>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</si>
  <si>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</si>
  <si>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</si>
  <si>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</si>
  <si>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</si>
  <si>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</si>
  <si>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</si>
  <si>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</si>
  <si>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</si>
  <si>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</si>
  <si>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</si>
  <si>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</si>
  <si>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Year</t>
  </si>
  <si>
    <t>as of</t>
  </si>
  <si>
    <t>Assets</t>
  </si>
  <si>
    <t>TNNG</t>
  </si>
  <si>
    <t>KYNG</t>
  </si>
  <si>
    <t>%</t>
  </si>
  <si>
    <t>C Ave</t>
  </si>
  <si>
    <t>M Max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</si>
  <si>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</si>
  <si>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</si>
  <si>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</si>
  <si>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</si>
  <si>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</si>
  <si>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</si>
  <si>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</si>
  <si>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</si>
  <si>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</si>
  <si>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</si>
  <si>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</si>
  <si>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</si>
  <si>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</si>
  <si>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</si>
  <si>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</si>
  <si>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</si>
  <si>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</si>
  <si>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</si>
  <si>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</si>
  <si>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</si>
  <si>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</si>
  <si>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</si>
  <si>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</si>
  <si>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</si>
  <si>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</si>
  <si>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</si>
  <si>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</si>
  <si>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</si>
  <si>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</si>
  <si>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</si>
  <si>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</si>
  <si>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</si>
  <si>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</si>
  <si>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</si>
  <si>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</si>
  <si>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</si>
  <si>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</si>
  <si>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</si>
  <si>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DIFFERENCE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</si>
  <si>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</si>
  <si>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</si>
  <si>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</si>
  <si>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</si>
  <si>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</si>
  <si>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</si>
  <si>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</si>
  <si>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</si>
  <si>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</si>
  <si>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</si>
  <si>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</si>
  <si>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</si>
  <si>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</si>
  <si>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</si>
  <si>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</si>
  <si>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</si>
  <si>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</si>
  <si>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</si>
  <si>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</si>
  <si>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</si>
  <si>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</si>
  <si>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</si>
  <si>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</si>
  <si>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</si>
  <si>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</si>
  <si>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</si>
  <si>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</si>
  <si>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</si>
  <si>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</si>
  <si>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</si>
  <si>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</si>
  <si>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</si>
  <si>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</si>
  <si>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</si>
  <si>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</si>
  <si>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</si>
  <si>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</si>
  <si>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</si>
  <si>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</si>
  <si>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</si>
  <si>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</si>
  <si>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</si>
  <si>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</si>
  <si>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</si>
  <si>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</si>
  <si>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Clearwater (Supply)</t>
  </si>
  <si>
    <t>Clearwater EOIT (DTH)</t>
  </si>
  <si>
    <t>Clearwater EGT (DTH)</t>
  </si>
  <si>
    <t>Clearwater SS (DTH)</t>
  </si>
  <si>
    <t>Monthly Avg Cust Count - 2022</t>
  </si>
  <si>
    <t>Proportional Allocation for 2023</t>
  </si>
  <si>
    <t>Summit (CCF)</t>
  </si>
  <si>
    <t>Symmetry Retl Dustin (small amount)</t>
  </si>
  <si>
    <t>Per 12/31/22</t>
  </si>
  <si>
    <t>Values set from Q2 2023 numbers for Q3 &amp; Q4 in 2023</t>
  </si>
  <si>
    <t>same Cima volume, cannot count twice, DO NOT LOAD VOLUME</t>
  </si>
  <si>
    <t>data input as of 06/30/23</t>
  </si>
  <si>
    <t>654K Updated as of 12/31/23</t>
  </si>
  <si>
    <t>2024</t>
  </si>
  <si>
    <t>204</t>
  </si>
  <si>
    <t>Monthly Avg Cust Count - 2023</t>
  </si>
  <si>
    <t>Skye OK, LLC</t>
  </si>
  <si>
    <t>2405 file =</t>
  </si>
  <si>
    <r>
      <t xml:space="preserve">Data Input May 24 billing =May invoices = Apr </t>
    </r>
    <r>
      <rPr>
        <b/>
        <u val="singleAccounting"/>
        <sz val="11"/>
        <color theme="1"/>
        <rFont val="Calibri"/>
        <family val="2"/>
        <scheme val="minor"/>
      </rPr>
      <t>Flow  data= Apr Sales Volume</t>
    </r>
  </si>
  <si>
    <t>BB 2405</t>
  </si>
  <si>
    <t>Apr.24 Usage</t>
  </si>
  <si>
    <t>Prior Month = March Usage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</si>
</sst>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43" fontId="2" fillId="0" borderId="0" xfId="37" applyFont="1" applyFill="1" applyBorder="1"/>
    <xf numFmtId="43" fontId="6" fillId="5" borderId="0" xfId="37" applyFont="1" applyFill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0</xdr:rowOff>
    </xdr:from>
    <xdr:to>
      <xdr:col>26</xdr:col>
      <xdr:colOff>219877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AFBB4-F89D-C027-D6AB-A81F5F1D7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5667" y="190500"/>
          <a:ext cx="5744377" cy="755437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40</xdr:row>
      <xdr:rowOff>95250</xdr:rowOff>
    </xdr:from>
    <xdr:to>
      <xdr:col>26</xdr:col>
      <xdr:colOff>124613</xdr:colOff>
      <xdr:row>77</xdr:row>
      <xdr:rowOff>67655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1287CB-C314-2E5C-F2C6-A7BF8CA0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5667" y="7715250"/>
          <a:ext cx="5649113" cy="7020905"/>
        </a:xfrm>
        <a:prstGeom prst="rect">
          <a:avLst/>
        </a:prstGeom>
      </xdr:spPr>
    </xdr:pic>
    <xdr:clientData/>
  </xdr:twoCellAnchor>
  <xdr:twoCellAnchor editAs="oneCell">
    <xdr:from>
      <xdr:col>16</xdr:col>
      <xdr:colOff>603250</xdr:colOff>
      <xdr:row>77</xdr:row>
      <xdr:rowOff>42333</xdr:rowOff>
    </xdr:from>
    <xdr:to>
      <xdr:col>26</xdr:col>
      <xdr:colOff>133082</xdr:colOff>
      <xdr:row>107</xdr:row>
      <xdr:rowOff>119341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E768E0-2BEC-323C-EBF7-98828FC8A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45083" y="14710833"/>
          <a:ext cx="5668166" cy="5792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20</xdr:col>
      <xdr:colOff>163708</xdr:colOff>
      <xdr:row>82</xdr:row>
      <xdr:rowOff>134246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76D263-21C4-6154-D8E0-280853FB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420225"/>
          <a:ext cx="12774808" cy="6420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48</xdr:row>
      <xdr:rowOff>0</xdr:rowOff>
    </xdr:from>
    <xdr:to>
      <xdr:col>26</xdr:col>
      <xdr:colOff>230469</xdr:colOff>
      <xdr:row>63</xdr:row>
      <xdr:rowOff>133767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83C036-6328-4F81-6260-7DB1D010E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9201150"/>
          <a:ext cx="13394019" cy="29912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26</xdr:row>
      <xdr:rowOff>0</xdr:rowOff>
    </xdr:from>
    <xdr:to>
      <xdr:col>28</xdr:col>
      <xdr:colOff>49416</xdr:colOff>
      <xdr:row>33</xdr:row>
      <xdr:rowOff>95449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8B4668-9987-7202-CB0E-330503419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9125" y="4991100"/>
          <a:ext cx="12831966" cy="14289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F8544F-C84E-4744-9847-4709CA67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33</xdr:row>
      <xdr:rowOff>104775</xdr:rowOff>
    </xdr:from>
    <xdr:to>
      <xdr:col>7</xdr:col>
      <xdr:colOff>181939</xdr:colOff>
      <xdr:row>68</xdr:row>
      <xdr:rowOff>86653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90D14A-1CA0-F9BB-11BD-645591E5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" y="6410325"/>
          <a:ext cx="6906589" cy="664937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20</xdr:col>
      <xdr:colOff>124778</xdr:colOff>
      <xdr:row>72</xdr:row>
      <xdr:rowOff>134379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EF012C-1FB6-19EC-EEA3-74CDDB1F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6496050"/>
          <a:ext cx="6830378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3</xdr:row>
      <xdr:rowOff>123825</xdr:rowOff>
    </xdr:from>
    <xdr:to>
      <xdr:col>25</xdr:col>
      <xdr:colOff>306054</xdr:colOff>
      <xdr:row>12</xdr:row>
      <xdr:rowOff>143118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9325" y="69532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559594</xdr:colOff>
      <xdr:row>55</xdr:row>
      <xdr:rowOff>166686</xdr:rowOff>
    </xdr:from>
    <xdr:to>
      <xdr:col>56</xdr:col>
      <xdr:colOff>246241</xdr:colOff>
      <xdr:row>95</xdr:row>
      <xdr:rowOff>167750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99063" y="10679905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32</xdr:col>
      <xdr:colOff>297657</xdr:colOff>
      <xdr:row>56</xdr:row>
      <xdr:rowOff>23813</xdr:rowOff>
    </xdr:from>
    <xdr:to>
      <xdr:col>44</xdr:col>
      <xdr:colOff>479674</xdr:colOff>
      <xdr:row>100</xdr:row>
      <xdr:rowOff>15457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50501" y="1072753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22</xdr:col>
      <xdr:colOff>440531</xdr:colOff>
      <xdr:row>57</xdr:row>
      <xdr:rowOff>95251</xdr:rowOff>
    </xdr:from>
    <xdr:to>
      <xdr:col>32</xdr:col>
      <xdr:colOff>250882</xdr:colOff>
      <xdr:row>93</xdr:row>
      <xdr:rowOff>77156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06875" y="1098947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17</xdr:col>
      <xdr:colOff>369093</xdr:colOff>
      <xdr:row>58</xdr:row>
      <xdr:rowOff>178594</xdr:rowOff>
    </xdr:from>
    <xdr:to>
      <xdr:col>26</xdr:col>
      <xdr:colOff>577084</xdr:colOff>
      <xdr:row>95</xdr:row>
      <xdr:rowOff>74788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99343" y="11263313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12</xdr:col>
      <xdr:colOff>535782</xdr:colOff>
      <xdr:row>58</xdr:row>
      <xdr:rowOff>119061</xdr:rowOff>
    </xdr:from>
    <xdr:to>
      <xdr:col>22</xdr:col>
      <xdr:colOff>722392</xdr:colOff>
      <xdr:row>94</xdr:row>
      <xdr:rowOff>167650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9938" y="11203780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58</xdr:row>
      <xdr:rowOff>47625</xdr:rowOff>
    </xdr:from>
    <xdr:to>
      <xdr:col>16</xdr:col>
      <xdr:colOff>598531</xdr:colOff>
      <xdr:row>94</xdr:row>
      <xdr:rowOff>172424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49896B6-E950-DE3E-0695-EE7AF859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9501" y="11132344"/>
          <a:ext cx="5992061" cy="6982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71437</xdr:rowOff>
    </xdr:from>
    <xdr:to>
      <xdr:col>7</xdr:col>
      <xdr:colOff>158138</xdr:colOff>
      <xdr:row>101</xdr:row>
      <xdr:rowOff>53528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F4A655-31B1-4909-3850-4BB976B1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156156"/>
          <a:ext cx="6992326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12</xdr:col>
      <xdr:colOff>180070</xdr:colOff>
      <xdr:row>46</xdr:row>
      <xdr:rowOff>28978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87DFDAE-0BEF-E9C8-89B5-AD378AB3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941219"/>
          <a:ext cx="10574226" cy="288647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455475</xdr:colOff>
      <xdr:row>18</xdr:row>
      <xdr:rowOff>162373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DF115D-7907-9ABC-7506-1EDFF096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94156" y="381000"/>
          <a:ext cx="4706007" cy="32103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23</xdr:col>
      <xdr:colOff>64976</xdr:colOff>
      <xdr:row>37</xdr:row>
      <xdr:rowOff>28978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982D4A-08AD-4E88-AF6B-9A5B7C1D9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0500" y="4191000"/>
          <a:ext cx="10574226" cy="2886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12</xdr:col>
      <xdr:colOff>40350</xdr:colOff>
      <xdr:row>55</xdr:row>
      <xdr:rowOff>77115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A7B1B8-C006-F3E5-6A0D-B79613525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5344271" cy="655411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21</xdr:row>
      <xdr:rowOff>0</xdr:rowOff>
    </xdr:from>
    <xdr:to>
      <xdr:col>35</xdr:col>
      <xdr:colOff>477726</xdr:colOff>
      <xdr:row>36</xdr:row>
      <xdr:rowOff>28978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3BE562-5B80-44CD-91EA-A27A033C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7553" y="4000500"/>
          <a:ext cx="10574226" cy="2886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tabSelected="1" zoomScale="90" zoomScaleNormal="90" zoomScalePageLayoutView="64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F12" sqref="AF12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94</v>
      </c>
      <c r="F1" s="102" t="str">
        <f>+'Commodity OK'!H2</f>
        <v>Data Input May 24 billing =May invoices = Apr Flow  data= Apr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93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122</v>
      </c>
      <c r="P3" s="19" t="s">
        <v>248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15041.12</v>
      </c>
      <c r="G7" s="56"/>
      <c r="H7" s="79">
        <f>F7</f>
        <v>15041.12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10747.47</v>
      </c>
      <c r="G8" s="56"/>
      <c r="H8" s="79"/>
      <c r="I8" s="8"/>
      <c r="J8" s="79">
        <f>F8</f>
        <v>10747.47</v>
      </c>
      <c r="K8" s="8"/>
      <c r="L8" s="79"/>
      <c r="M8" s="8"/>
      <c r="N8" s="79"/>
      <c r="P8" s="79"/>
    </row>
    <row r="9" spans="1:16" x14ac:dyDescent="0.25">
      <c r="C9" t="s">
        <v>123</v>
      </c>
      <c r="F9" s="112">
        <v>369.46</v>
      </c>
      <c r="G9" s="56"/>
      <c r="H9" s="79"/>
      <c r="I9" s="8"/>
      <c r="J9" s="79"/>
      <c r="K9" s="8"/>
      <c r="L9" s="79"/>
      <c r="M9" s="8"/>
      <c r="N9" s="79">
        <f>F9</f>
        <v>369.46</v>
      </c>
      <c r="P9" s="79"/>
    </row>
    <row r="10" spans="1:16" x14ac:dyDescent="0.25">
      <c r="C10" t="s">
        <v>3</v>
      </c>
      <c r="F10" s="112">
        <v>104087.42</v>
      </c>
      <c r="G10" s="56"/>
      <c r="H10" s="79"/>
      <c r="I10" s="8"/>
      <c r="J10" s="79"/>
      <c r="K10" s="8"/>
      <c r="L10" s="79">
        <f>F10</f>
        <v>104087.42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17076.23</v>
      </c>
      <c r="G13" s="56"/>
      <c r="H13" s="79">
        <f>F13</f>
        <v>17076.23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506.03</v>
      </c>
      <c r="G14" s="56"/>
      <c r="H14" s="79"/>
      <c r="I14" s="8"/>
      <c r="J14" s="79">
        <f>F14</f>
        <v>506.03</v>
      </c>
      <c r="K14" s="8"/>
      <c r="L14" s="79"/>
      <c r="M14" s="8"/>
      <c r="N14" s="79"/>
      <c r="P14" s="79"/>
    </row>
    <row r="15" spans="1:16" x14ac:dyDescent="0.25">
      <c r="C15" t="s">
        <v>124</v>
      </c>
      <c r="F15" s="112">
        <v>433.2</v>
      </c>
      <c r="G15" s="56"/>
      <c r="H15" s="79"/>
      <c r="I15" s="8"/>
      <c r="J15" s="79"/>
      <c r="K15" s="8"/>
      <c r="L15" s="79"/>
      <c r="M15" s="8"/>
      <c r="N15" s="79">
        <f>F15</f>
        <v>433.2</v>
      </c>
      <c r="P15" s="79"/>
    </row>
    <row r="16" spans="1:16" x14ac:dyDescent="0.25">
      <c r="C16" t="s">
        <v>7</v>
      </c>
      <c r="F16" s="112">
        <v>15894.19</v>
      </c>
      <c r="G16" s="56"/>
      <c r="H16" s="79"/>
      <c r="I16" s="8"/>
      <c r="J16" s="79"/>
      <c r="K16" s="8"/>
      <c r="L16" s="79">
        <f>F16</f>
        <v>15894.19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11342.6</v>
      </c>
      <c r="G18" s="56"/>
      <c r="H18" s="79"/>
      <c r="I18" s="8"/>
      <c r="J18" s="79"/>
      <c r="K18" s="8"/>
      <c r="L18" s="79">
        <f>F18</f>
        <v>11342.6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255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249</v>
      </c>
      <c r="F21" s="112">
        <v>696.64</v>
      </c>
      <c r="G21" s="56"/>
      <c r="H21" s="79"/>
      <c r="I21" s="8"/>
      <c r="J21" s="79"/>
      <c r="K21" s="8"/>
      <c r="L21" s="79"/>
      <c r="M21" s="8"/>
      <c r="N21" s="79"/>
      <c r="P21" s="79">
        <f>+F21</f>
        <v>696.64</v>
      </c>
    </row>
    <row r="22" spans="2:16" x14ac:dyDescent="0.25">
      <c r="C22" t="s">
        <v>250</v>
      </c>
      <c r="F22" s="112">
        <v>1795.23</v>
      </c>
      <c r="G22" s="56"/>
      <c r="H22" s="79"/>
      <c r="I22" s="8"/>
      <c r="J22" s="79"/>
      <c r="K22" s="8"/>
      <c r="L22" s="79"/>
      <c r="M22" s="8"/>
      <c r="N22" s="79"/>
      <c r="P22" s="79">
        <f>+F22</f>
        <v>1795.23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118</v>
      </c>
      <c r="F25" s="112">
        <v>958.79</v>
      </c>
      <c r="G25" s="56"/>
      <c r="H25" s="79">
        <f>F25</f>
        <v>958.79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153</v>
      </c>
      <c r="F26" s="112">
        <v>221.95</v>
      </c>
      <c r="G26" s="56"/>
      <c r="H26" s="79"/>
      <c r="I26" s="8"/>
      <c r="J26" s="79">
        <f>F26</f>
        <v>221.95</v>
      </c>
      <c r="K26" s="8"/>
      <c r="L26" s="79"/>
      <c r="M26" s="8"/>
      <c r="N26" s="79"/>
      <c r="P26" s="79"/>
    </row>
    <row r="27" spans="2:16" x14ac:dyDescent="0.25">
      <c r="C27" t="s">
        <v>125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117</v>
      </c>
      <c r="F28" s="112">
        <v>1076.25</v>
      </c>
      <c r="G28" s="56"/>
      <c r="H28" s="79"/>
      <c r="I28" s="8"/>
      <c r="J28" s="79"/>
      <c r="K28" s="8"/>
      <c r="L28" s="79">
        <f>F28</f>
        <v>1076.25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4549.8900000000003</v>
      </c>
      <c r="G31" s="56"/>
      <c r="H31" s="79"/>
      <c r="I31" s="8"/>
      <c r="J31" s="79"/>
      <c r="K31" s="8"/>
      <c r="L31" s="79">
        <f>F31</f>
        <v>4549.8900000000003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251</v>
      </c>
      <c r="F34" s="112">
        <v>133.08000000000001</v>
      </c>
      <c r="G34" s="56"/>
      <c r="H34" s="79"/>
      <c r="I34" s="8"/>
      <c r="J34" s="79"/>
      <c r="K34" s="8"/>
      <c r="L34" s="79"/>
      <c r="M34" s="8"/>
      <c r="N34" s="79"/>
      <c r="P34" s="79">
        <f>+F34</f>
        <v>133.08000000000001</v>
      </c>
    </row>
    <row r="35" spans="2:16" x14ac:dyDescent="0.25">
      <c r="C35" t="s">
        <v>252</v>
      </c>
      <c r="F35" s="112">
        <v>175.77</v>
      </c>
      <c r="G35" s="56"/>
      <c r="H35" s="79"/>
      <c r="I35" s="8"/>
      <c r="J35" s="79"/>
      <c r="K35" s="8"/>
      <c r="L35" s="79"/>
      <c r="M35" s="8"/>
      <c r="N35" s="79"/>
      <c r="P35" s="79">
        <f>+F35</f>
        <v>175.77</v>
      </c>
    </row>
    <row r="36" spans="2:16" x14ac:dyDescent="0.25">
      <c r="C36" t="s">
        <v>119</v>
      </c>
      <c r="F36" s="112">
        <v>31.91</v>
      </c>
      <c r="G36" s="56"/>
      <c r="H36" s="79">
        <f>F36</f>
        <v>31.91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120</v>
      </c>
      <c r="F37" s="112">
        <v>575.13</v>
      </c>
      <c r="G37" s="56"/>
      <c r="H37" s="79"/>
      <c r="I37" s="8"/>
      <c r="J37" s="79">
        <f>F37</f>
        <v>575.13</v>
      </c>
      <c r="K37" s="8"/>
      <c r="L37" s="79"/>
      <c r="M37" s="8"/>
      <c r="N37" s="79"/>
      <c r="P37" s="79"/>
    </row>
    <row r="38" spans="2:16" x14ac:dyDescent="0.25">
      <c r="C38" t="s">
        <v>126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121</v>
      </c>
      <c r="F39" s="112">
        <v>2585.58</v>
      </c>
      <c r="G39" s="56"/>
      <c r="H39" s="79"/>
      <c r="I39" s="8"/>
      <c r="J39" s="79"/>
      <c r="K39" s="8"/>
      <c r="L39" s="79">
        <f>F39</f>
        <v>2585.58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1708</v>
      </c>
      <c r="G42" s="56"/>
      <c r="H42" s="79">
        <f>F42</f>
        <v>1708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206.43</v>
      </c>
      <c r="G43" s="56"/>
      <c r="H43" s="79"/>
      <c r="I43" s="8"/>
      <c r="J43" s="79">
        <f>F43</f>
        <v>206.43</v>
      </c>
      <c r="K43" s="8"/>
      <c r="L43" s="79"/>
      <c r="M43" s="8"/>
      <c r="N43" s="79"/>
      <c r="P43" s="79"/>
    </row>
    <row r="44" spans="2:16" x14ac:dyDescent="0.25">
      <c r="C44" t="s">
        <v>127</v>
      </c>
      <c r="F44" s="112">
        <v>245.83</v>
      </c>
      <c r="G44" s="56"/>
      <c r="H44" s="79"/>
      <c r="I44" s="8"/>
      <c r="J44" s="79"/>
      <c r="K44" s="8"/>
      <c r="L44" s="79"/>
      <c r="M44" s="8"/>
      <c r="N44" s="79">
        <f>F44</f>
        <v>245.83</v>
      </c>
      <c r="P44" s="79"/>
    </row>
    <row r="45" spans="2:16" x14ac:dyDescent="0.25">
      <c r="C45" t="s">
        <v>24</v>
      </c>
      <c r="F45" s="112">
        <v>13619.12</v>
      </c>
      <c r="G45" s="56"/>
      <c r="H45" s="79"/>
      <c r="I45" s="8"/>
      <c r="J45" s="79"/>
      <c r="K45" s="8"/>
      <c r="L45" s="79">
        <f>F45</f>
        <v>13619.12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223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224</v>
      </c>
      <c r="F48" s="112">
        <v>150.5</v>
      </c>
      <c r="G48" s="56"/>
      <c r="H48" s="79">
        <f>F48</f>
        <v>150.5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225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226</v>
      </c>
      <c r="F50" s="112"/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227</v>
      </c>
      <c r="F51" s="112">
        <v>570.46</v>
      </c>
      <c r="G51" s="56"/>
      <c r="H51" s="79"/>
      <c r="I51" s="8"/>
      <c r="J51" s="79"/>
      <c r="K51" s="8"/>
      <c r="L51" s="79">
        <f>F51</f>
        <v>570.46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228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229</v>
      </c>
      <c r="F54" s="112">
        <v>2319.09</v>
      </c>
      <c r="G54" s="56"/>
      <c r="H54" s="79">
        <f>F54</f>
        <v>2319.09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230</v>
      </c>
      <c r="F55" s="112">
        <v>283.64999999999998</v>
      </c>
      <c r="G55" s="56"/>
      <c r="H55" s="79"/>
      <c r="I55" s="8"/>
      <c r="J55" s="79">
        <f>F55</f>
        <v>283.64999999999998</v>
      </c>
      <c r="K55" s="8"/>
      <c r="L55" s="79"/>
      <c r="M55" s="8"/>
      <c r="N55" s="79"/>
      <c r="P55" s="79"/>
    </row>
    <row r="56" spans="1:16" x14ac:dyDescent="0.25">
      <c r="C56" t="s">
        <v>231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232</v>
      </c>
      <c r="F57" s="112">
        <v>24088.78</v>
      </c>
      <c r="G57" s="56"/>
      <c r="H57" s="79"/>
      <c r="I57" s="8"/>
      <c r="J57" s="79"/>
      <c r="K57" s="8"/>
      <c r="L57" s="79">
        <f>F57</f>
        <v>24088.78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231489.80000000002</v>
      </c>
      <c r="G59" s="57"/>
      <c r="H59" s="113">
        <f>SUM(H7:H57)</f>
        <v>37285.64</v>
      </c>
      <c r="I59" s="23"/>
      <c r="J59" s="113">
        <f>SUM(J7:J57)</f>
        <v>12540.66</v>
      </c>
      <c r="K59" s="23"/>
      <c r="L59" s="113">
        <f>SUM(L7:L57)</f>
        <v>177814.28999999998</v>
      </c>
      <c r="M59" s="23"/>
      <c r="N59" s="113">
        <f>SUM(N7:N57)</f>
        <v>1048.49</v>
      </c>
      <c r="P59" s="113">
        <f>SUM(P7:P57)</f>
        <v>2800.72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95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161</v>
      </c>
      <c r="G62" s="6"/>
      <c r="H62" s="6"/>
      <c r="I62" s="6"/>
      <c r="J62" s="6"/>
      <c r="K62" s="6"/>
      <c r="L62" s="6"/>
      <c r="M62" s="6"/>
      <c r="N62" s="6" t="s">
        <v>237</v>
      </c>
      <c r="P62" t="s">
        <v>236</v>
      </c>
    </row>
    <row r="63" spans="1:16" x14ac:dyDescent="0.25">
      <c r="D63" s="16" t="s">
        <v>159</v>
      </c>
      <c r="F63" s="115">
        <v>33479.089999999997</v>
      </c>
      <c r="G63" s="6"/>
      <c r="H63" s="6" t="s">
        <v>163</v>
      </c>
      <c r="I63" s="6"/>
      <c r="J63" s="6"/>
      <c r="K63" s="6"/>
      <c r="L63" s="6" t="s">
        <v>10</v>
      </c>
      <c r="M63" s="6"/>
      <c r="N63" s="60">
        <f>+Oklahoma!F42</f>
        <v>307046.99700798397</v>
      </c>
      <c r="P63" s="60">
        <f>+L59+'Allocation Charges'!L21</f>
        <v>307046.99700798391</v>
      </c>
    </row>
    <row r="64" spans="1:16" x14ac:dyDescent="0.25">
      <c r="B64" s="16"/>
      <c r="D64" t="s">
        <v>155</v>
      </c>
      <c r="F64" s="102">
        <f>+F59</f>
        <v>231489.80000000002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73530</v>
      </c>
      <c r="P64" s="60">
        <f>+H59+'Allocation Charges'!H21</f>
        <v>73524.511824933754</v>
      </c>
    </row>
    <row r="65" spans="4:16" x14ac:dyDescent="0.25">
      <c r="D65" t="s">
        <v>156</v>
      </c>
      <c r="F65" s="102">
        <f>+'Allocation Charges'!F21</f>
        <v>187112.90000000002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29470</v>
      </c>
      <c r="P65" s="60">
        <f>+J59+'Allocation Charges'!J21</f>
        <v>29462.384633123176</v>
      </c>
    </row>
    <row r="66" spans="4:16" x14ac:dyDescent="0.25">
      <c r="D66" t="s">
        <v>50</v>
      </c>
      <c r="F66" s="102">
        <f>SUM(F63:F65)</f>
        <v>452081.79000000004</v>
      </c>
      <c r="G66" s="8"/>
      <c r="H66" s="8"/>
      <c r="I66" s="8"/>
      <c r="J66" s="8"/>
      <c r="K66" s="8"/>
      <c r="L66" s="8" t="s">
        <v>122</v>
      </c>
      <c r="M66" s="8"/>
      <c r="N66" s="60">
        <f>+'Commodity Texas'!F40</f>
        <v>5774</v>
      </c>
      <c r="P66" s="60">
        <f>+N59+'Allocation Charges'!N21</f>
        <v>5768.0865339591337</v>
      </c>
    </row>
    <row r="67" spans="4:16" x14ac:dyDescent="0.25">
      <c r="D67" s="16" t="s">
        <v>157</v>
      </c>
      <c r="F67" s="115">
        <v>452081.79</v>
      </c>
      <c r="G67" s="8"/>
      <c r="H67" s="6" t="s">
        <v>163</v>
      </c>
      <c r="I67" s="8"/>
      <c r="J67" s="8"/>
      <c r="K67" s="8"/>
      <c r="L67" s="8" t="s">
        <v>248</v>
      </c>
      <c r="M67" s="8"/>
      <c r="N67" s="60">
        <f>+'NC Hydro'!F14</f>
        <v>2800.72</v>
      </c>
      <c r="P67" s="60">
        <f>+P59</f>
        <v>2800.72</v>
      </c>
    </row>
    <row r="68" spans="4:16" x14ac:dyDescent="0.25">
      <c r="D68" t="s">
        <v>158</v>
      </c>
      <c r="F68" s="102">
        <f>+F66-F67</f>
        <v>0</v>
      </c>
      <c r="G68" s="8"/>
      <c r="H68" s="8"/>
      <c r="I68" s="8"/>
      <c r="J68" s="8"/>
      <c r="K68" s="8"/>
      <c r="L68" s="8" t="s">
        <v>235</v>
      </c>
      <c r="M68" s="8"/>
      <c r="N68" s="60">
        <f>SUM(N63:N67)</f>
        <v>418621.71700798394</v>
      </c>
      <c r="P68" s="60">
        <f>SUM(P63:P67)</f>
        <v>418602.69999999995</v>
      </c>
    </row>
    <row r="69" spans="4:16" x14ac:dyDescent="0.25">
      <c r="G69" s="8"/>
      <c r="H69" s="8"/>
      <c r="I69" s="8"/>
      <c r="J69" s="8"/>
      <c r="K69" s="8"/>
      <c r="L69" s="8" t="s">
        <v>158</v>
      </c>
      <c r="M69" s="8"/>
      <c r="N69" s="8">
        <f>+F65+F64-N68</f>
        <v>-19.017007983871736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L71" s="23"/>
      <c r="M71" s="23"/>
      <c r="N71" s="23"/>
    </row>
  </sheetData>
  <pageMargins left="0.7" right="0.7" top="0.75" bottom="0.75" header="0.3" footer="0.3"/>
  <pageSetup scale="40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AA851-8CED-47F1-8227-E1C86B81661F}">
  <sheetPr>
    <tabColor rgb="FF92D050"/>
  </sheetPr>
  <dimension ref="A1:J29"/>
  <sheetViews>
    <sheetView workbookViewId="0">
      <selection activeCell="F32" sqref="F32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166</v>
      </c>
    </row>
    <row r="2" spans="1:10" x14ac:dyDescent="0.25">
      <c r="A2" s="179">
        <v>44926</v>
      </c>
      <c r="B2" t="s">
        <v>167</v>
      </c>
      <c r="C2" t="s">
        <v>33</v>
      </c>
      <c r="D2" t="s">
        <v>168</v>
      </c>
      <c r="E2" t="s">
        <v>169</v>
      </c>
      <c r="F2" t="s">
        <v>122</v>
      </c>
      <c r="G2" t="s">
        <v>50</v>
      </c>
    </row>
    <row r="3" spans="1:10" x14ac:dyDescent="0.25">
      <c r="A3" t="s">
        <v>219</v>
      </c>
      <c r="B3" s="102">
        <v>977100</v>
      </c>
      <c r="C3" s="103">
        <f>+G19</f>
        <v>15441869</v>
      </c>
      <c r="D3" s="102">
        <f>1737573+130916</f>
        <v>1868489</v>
      </c>
      <c r="E3" s="134">
        <f>3388099+2869755</f>
        <v>6257854</v>
      </c>
      <c r="F3" s="102">
        <f>565000+488305</f>
        <v>1053305</v>
      </c>
      <c r="G3" s="103">
        <f>SUM(B3:F3)</f>
        <v>25598617</v>
      </c>
      <c r="I3" s="102"/>
      <c r="J3" s="81"/>
    </row>
    <row r="4" spans="1:10" x14ac:dyDescent="0.25">
      <c r="A4" t="s">
        <v>220</v>
      </c>
      <c r="B4" s="102"/>
      <c r="C4" s="102">
        <f>+C3</f>
        <v>15441869</v>
      </c>
      <c r="D4" s="102">
        <f t="shared" ref="D4:F4" si="0">+D3</f>
        <v>1868489</v>
      </c>
      <c r="E4" s="134">
        <f t="shared" si="0"/>
        <v>6257854</v>
      </c>
      <c r="F4" s="102">
        <f t="shared" si="0"/>
        <v>1053305</v>
      </c>
      <c r="G4" s="102">
        <f>SUM(B4:F4)</f>
        <v>24621517</v>
      </c>
    </row>
    <row r="5" spans="1:10" x14ac:dyDescent="0.25">
      <c r="A5" s="117" t="s">
        <v>170</v>
      </c>
      <c r="B5" s="102"/>
      <c r="C5" s="135">
        <f>+C4/$G$4</f>
        <v>0.62716968251793748</v>
      </c>
      <c r="D5" s="135">
        <f>+D4/$G$4</f>
        <v>7.5888459675331948E-2</v>
      </c>
      <c r="E5" s="235">
        <f>+E4/$G$4</f>
        <v>0.25416199984753174</v>
      </c>
      <c r="F5" s="135">
        <f>+F4/$G$4</f>
        <v>4.2779857959198857E-2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272</v>
      </c>
      <c r="B7" s="102"/>
      <c r="C7" s="102"/>
      <c r="D7" s="102"/>
      <c r="E7" s="134"/>
      <c r="F7" s="102"/>
      <c r="G7" s="102"/>
    </row>
    <row r="8" spans="1:10" x14ac:dyDescent="0.25">
      <c r="A8" t="s">
        <v>171</v>
      </c>
      <c r="C8" s="126">
        <f>+G23</f>
        <v>3957</v>
      </c>
      <c r="D8" s="118">
        <v>568</v>
      </c>
      <c r="E8" s="118">
        <v>734</v>
      </c>
      <c r="F8" s="118">
        <v>5</v>
      </c>
      <c r="G8" s="118">
        <f>SUM(C8:F8)</f>
        <v>5264</v>
      </c>
      <c r="I8" s="118"/>
      <c r="J8" s="81"/>
    </row>
    <row r="9" spans="1:10" x14ac:dyDescent="0.25">
      <c r="C9" s="125">
        <f>+C8/$G$8</f>
        <v>0.75170972644376899</v>
      </c>
      <c r="D9" s="125">
        <f t="shared" ref="D9:F9" si="1">+D8/$G$8</f>
        <v>0.10790273556231003</v>
      </c>
      <c r="E9" s="125">
        <f t="shared" si="1"/>
        <v>0.13943768996960487</v>
      </c>
      <c r="F9" s="125">
        <f t="shared" si="1"/>
        <v>9.4984802431610945E-4</v>
      </c>
      <c r="G9" s="65">
        <f>SUM(C9:F9)</f>
        <v>0.99999999999999989</v>
      </c>
    </row>
    <row r="10" spans="1:10" ht="15.75" thickBot="1" x14ac:dyDescent="0.3">
      <c r="A10" t="s">
        <v>172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8" t="s">
        <v>180</v>
      </c>
      <c r="B11" s="139"/>
      <c r="C11" s="139"/>
      <c r="D11" s="139"/>
      <c r="E11" s="139"/>
      <c r="F11" s="139"/>
      <c r="G11" s="139"/>
      <c r="H11" s="140"/>
    </row>
    <row r="12" spans="1:10" x14ac:dyDescent="0.25">
      <c r="A12" s="141" t="s">
        <v>221</v>
      </c>
      <c r="C12" s="142">
        <f>+C5*0.5</f>
        <v>0.31358484125896874</v>
      </c>
      <c r="D12" s="142">
        <f>+D5*0.5</f>
        <v>3.7944229837665974E-2</v>
      </c>
      <c r="E12" s="142">
        <f>+E5*0.5</f>
        <v>0.12708099992376587</v>
      </c>
      <c r="F12" s="142">
        <f>+F5*0.5</f>
        <v>2.1389928979599428E-2</v>
      </c>
      <c r="H12" s="143"/>
    </row>
    <row r="13" spans="1:10" x14ac:dyDescent="0.25">
      <c r="A13" s="141" t="s">
        <v>173</v>
      </c>
      <c r="C13" s="142">
        <f>+C9*0.5</f>
        <v>0.37585486322188449</v>
      </c>
      <c r="D13" s="142">
        <f t="shared" ref="D13:F13" si="2">+D9*0.5</f>
        <v>5.3951367781155016E-2</v>
      </c>
      <c r="E13" s="142">
        <f t="shared" si="2"/>
        <v>6.9718844984802436E-2</v>
      </c>
      <c r="F13" s="142">
        <f t="shared" si="2"/>
        <v>4.7492401215805472E-4</v>
      </c>
      <c r="H13" s="143"/>
    </row>
    <row r="14" spans="1:10" x14ac:dyDescent="0.25">
      <c r="A14" s="144" t="s">
        <v>50</v>
      </c>
      <c r="B14" s="127"/>
      <c r="C14" s="145">
        <f>+C12+C13</f>
        <v>0.68943970448085323</v>
      </c>
      <c r="D14" s="145">
        <f>+D12+D13</f>
        <v>9.189559761882099E-2</v>
      </c>
      <c r="E14" s="145">
        <f t="shared" ref="E14:F14" si="3">+E12+E13</f>
        <v>0.19679984490856831</v>
      </c>
      <c r="F14" s="145">
        <f t="shared" si="3"/>
        <v>2.1864852991757482E-2</v>
      </c>
      <c r="G14" s="129">
        <f>SUM(C14:F14)</f>
        <v>1</v>
      </c>
      <c r="H14" s="143"/>
    </row>
    <row r="15" spans="1:10" ht="15.75" thickBot="1" x14ac:dyDescent="0.3">
      <c r="A15" s="146"/>
      <c r="B15" s="147"/>
      <c r="C15" s="147"/>
      <c r="D15" s="147"/>
      <c r="E15" s="147"/>
      <c r="F15" s="147"/>
      <c r="G15" s="147"/>
      <c r="H15" s="148"/>
    </row>
    <row r="17" spans="1:10" x14ac:dyDescent="0.25">
      <c r="A17" s="119" t="s">
        <v>166</v>
      </c>
    </row>
    <row r="18" spans="1:10" x14ac:dyDescent="0.25">
      <c r="A18" s="179">
        <f>+A2</f>
        <v>44926</v>
      </c>
      <c r="C18" t="s">
        <v>33</v>
      </c>
      <c r="D18" t="s">
        <v>34</v>
      </c>
      <c r="E18" t="s">
        <v>35</v>
      </c>
      <c r="F18" t="s">
        <v>178</v>
      </c>
      <c r="G18" t="s">
        <v>50</v>
      </c>
    </row>
    <row r="19" spans="1:10" x14ac:dyDescent="0.25">
      <c r="A19" t="s">
        <v>222</v>
      </c>
      <c r="B19" s="102"/>
      <c r="C19" s="102">
        <f>5547916+3112768</f>
        <v>8660684</v>
      </c>
      <c r="D19" s="102">
        <f>1739615+979224</f>
        <v>2718839</v>
      </c>
      <c r="E19" s="102">
        <f>378422+623809+413143</f>
        <v>1415374</v>
      </c>
      <c r="F19" s="102">
        <f>51876+321665+2273431</f>
        <v>2646972</v>
      </c>
      <c r="G19" s="103">
        <f>SUM(B19:F19)</f>
        <v>15441869</v>
      </c>
      <c r="I19" s="102"/>
      <c r="J19" s="81"/>
    </row>
    <row r="20" spans="1:10" x14ac:dyDescent="0.25">
      <c r="A20" s="117" t="s">
        <v>170</v>
      </c>
      <c r="B20" s="102"/>
      <c r="C20" s="65">
        <f>+C19/$G$19</f>
        <v>0.56085723820089395</v>
      </c>
      <c r="D20" s="65">
        <f>+D19/$G$19</f>
        <v>0.17606929575688021</v>
      </c>
      <c r="E20" s="65">
        <f>+E19/$G$19</f>
        <v>9.1658205363612397E-2</v>
      </c>
      <c r="F20" s="65">
        <f>+F19/$G$19</f>
        <v>0.17141526067861346</v>
      </c>
      <c r="G20" s="65">
        <f>SUM(C20:F20)</f>
        <v>1</v>
      </c>
    </row>
    <row r="22" spans="1:10" x14ac:dyDescent="0.25">
      <c r="A22" t="s">
        <v>272</v>
      </c>
      <c r="B22" s="102"/>
      <c r="C22" s="102"/>
      <c r="D22" s="102"/>
      <c r="E22" s="102"/>
      <c r="F22" s="102"/>
      <c r="G22" s="102"/>
    </row>
    <row r="23" spans="1:10" x14ac:dyDescent="0.25">
      <c r="A23" t="s">
        <v>171</v>
      </c>
      <c r="C23" s="137">
        <v>1974</v>
      </c>
      <c r="D23" s="137">
        <v>1824</v>
      </c>
      <c r="E23" s="137">
        <v>132</v>
      </c>
      <c r="F23" s="137">
        <v>27</v>
      </c>
      <c r="G23" s="126">
        <f>SUM(C23:F23)</f>
        <v>3957</v>
      </c>
      <c r="I23" s="118"/>
      <c r="J23" s="81"/>
    </row>
    <row r="24" spans="1:10" x14ac:dyDescent="0.25">
      <c r="C24" s="125">
        <f>+C23/$G$23</f>
        <v>0.49886277482941621</v>
      </c>
      <c r="D24" s="125">
        <f>+D23/$G$23</f>
        <v>0.46095526914329038</v>
      </c>
      <c r="E24" s="125">
        <f>+E23/$G$23</f>
        <v>3.3358605003790752E-2</v>
      </c>
      <c r="F24" s="125">
        <f>+F23/$G$23</f>
        <v>6.8233510235026539E-3</v>
      </c>
      <c r="G24" s="65">
        <f>SUM(C24:F24)</f>
        <v>1</v>
      </c>
    </row>
    <row r="25" spans="1:10" x14ac:dyDescent="0.25">
      <c r="A25" s="130" t="s">
        <v>180</v>
      </c>
      <c r="C25" s="118"/>
      <c r="D25" s="118"/>
      <c r="E25" s="118"/>
      <c r="F25" s="118"/>
      <c r="G25" s="118"/>
    </row>
    <row r="26" spans="1:10" x14ac:dyDescent="0.25">
      <c r="A26" t="s">
        <v>179</v>
      </c>
    </row>
    <row r="27" spans="1:10" x14ac:dyDescent="0.25">
      <c r="A27" t="s">
        <v>221</v>
      </c>
      <c r="C27" s="65">
        <f>+C20*0.5</f>
        <v>0.28042861910044697</v>
      </c>
      <c r="D27" s="65">
        <f>+D20*0.5</f>
        <v>8.8034647878440106E-2</v>
      </c>
      <c r="E27" s="65">
        <f>+E20*0.5</f>
        <v>4.5829102681806198E-2</v>
      </c>
      <c r="F27" s="65">
        <f>+F20*0.5</f>
        <v>8.5707630339306728E-2</v>
      </c>
    </row>
    <row r="28" spans="1:10" x14ac:dyDescent="0.25">
      <c r="A28" t="s">
        <v>173</v>
      </c>
      <c r="C28" s="65">
        <f>+C24*0.5</f>
        <v>0.24943138741470811</v>
      </c>
      <c r="D28" s="65">
        <f t="shared" ref="D28:F28" si="4">+D24*0.5</f>
        <v>0.23047763457164519</v>
      </c>
      <c r="E28" s="65">
        <f t="shared" si="4"/>
        <v>1.6679302501895376E-2</v>
      </c>
      <c r="F28" s="65">
        <f t="shared" si="4"/>
        <v>3.4116755117513269E-3</v>
      </c>
    </row>
    <row r="29" spans="1:10" x14ac:dyDescent="0.25">
      <c r="A29" s="127" t="s">
        <v>50</v>
      </c>
      <c r="B29" s="127"/>
      <c r="C29" s="128">
        <f>+C27+C28</f>
        <v>0.52986000651515508</v>
      </c>
      <c r="D29" s="128">
        <f t="shared" ref="D29:F29" si="5">+D27+D28</f>
        <v>0.31851228245008528</v>
      </c>
      <c r="E29" s="128">
        <f t="shared" si="5"/>
        <v>6.2508405183701571E-2</v>
      </c>
      <c r="F29" s="128">
        <f t="shared" si="5"/>
        <v>8.9119305851058053E-2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dimension ref="A1:J29"/>
  <sheetViews>
    <sheetView workbookViewId="0">
      <selection activeCell="C19" sqref="C19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  <col min="9" max="9" width="13.28515625" bestFit="1" customWidth="1"/>
  </cols>
  <sheetData>
    <row r="1" spans="1:10" x14ac:dyDescent="0.25">
      <c r="A1" s="119" t="s">
        <v>166</v>
      </c>
    </row>
    <row r="2" spans="1:10" x14ac:dyDescent="0.25">
      <c r="A2" s="179">
        <v>44926</v>
      </c>
      <c r="B2" t="s">
        <v>167</v>
      </c>
      <c r="C2" t="s">
        <v>33</v>
      </c>
      <c r="D2" t="s">
        <v>168</v>
      </c>
      <c r="E2" t="s">
        <v>169</v>
      </c>
      <c r="F2" t="s">
        <v>122</v>
      </c>
      <c r="G2" t="s">
        <v>50</v>
      </c>
    </row>
    <row r="3" spans="1:10" x14ac:dyDescent="0.25">
      <c r="A3" t="s">
        <v>219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  <c r="I3" s="102"/>
      <c r="J3" s="81"/>
    </row>
    <row r="4" spans="1:10" x14ac:dyDescent="0.25">
      <c r="A4" t="s">
        <v>220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10" x14ac:dyDescent="0.25">
      <c r="A5" s="117" t="s">
        <v>170</v>
      </c>
      <c r="B5" s="102"/>
      <c r="C5" s="135">
        <f>+C4/$G$4</f>
        <v>0.61900191049100084</v>
      </c>
      <c r="D5" s="135">
        <f>+D4/$G$4</f>
        <v>7.7504538907171877E-2</v>
      </c>
      <c r="E5" s="235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10" x14ac:dyDescent="0.25">
      <c r="B6" s="102"/>
      <c r="C6" s="102"/>
      <c r="D6" s="102"/>
      <c r="E6" s="134"/>
      <c r="F6" s="102"/>
      <c r="G6" s="102"/>
    </row>
    <row r="7" spans="1:10" x14ac:dyDescent="0.25">
      <c r="A7" s="16" t="s">
        <v>261</v>
      </c>
      <c r="B7" s="102"/>
      <c r="C7" s="102"/>
      <c r="D7" s="102"/>
      <c r="E7" s="134"/>
      <c r="F7" s="102"/>
      <c r="G7" s="102"/>
    </row>
    <row r="8" spans="1:10" x14ac:dyDescent="0.25">
      <c r="A8" t="s">
        <v>171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  <c r="I8" s="118"/>
      <c r="J8" s="81"/>
    </row>
    <row r="9" spans="1:10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10" ht="15.75" thickBot="1" x14ac:dyDescent="0.3">
      <c r="A10" t="s">
        <v>172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10" x14ac:dyDescent="0.25">
      <c r="A11" s="138" t="s">
        <v>180</v>
      </c>
      <c r="B11" s="139"/>
      <c r="C11" s="139"/>
      <c r="D11" s="139"/>
      <c r="E11" s="139"/>
      <c r="F11" s="139"/>
      <c r="G11" s="139"/>
      <c r="H11" s="140"/>
    </row>
    <row r="12" spans="1:10" x14ac:dyDescent="0.25">
      <c r="A12" s="141" t="s">
        <v>221</v>
      </c>
      <c r="C12" s="142">
        <f>+C5*0.5</f>
        <v>0.30950095524550042</v>
      </c>
      <c r="D12" s="142">
        <f>+D5*0.5</f>
        <v>3.8752269453585939E-2</v>
      </c>
      <c r="E12" s="142">
        <f>+E5*0.5</f>
        <v>0.12985792325925019</v>
      </c>
      <c r="F12" s="142">
        <f>+F5*0.5</f>
        <v>2.1888852041663475E-2</v>
      </c>
      <c r="H12" s="143"/>
    </row>
    <row r="13" spans="1:10" x14ac:dyDescent="0.25">
      <c r="A13" s="141" t="s">
        <v>173</v>
      </c>
      <c r="C13" s="142">
        <f>+C9*0.5</f>
        <v>0.37730537759658317</v>
      </c>
      <c r="D13" s="142">
        <f t="shared" ref="D13:F13" si="2">+D9*0.5</f>
        <v>5.4261308483789558E-2</v>
      </c>
      <c r="E13" s="142">
        <f t="shared" si="2"/>
        <v>6.8045039798097451E-2</v>
      </c>
      <c r="F13" s="142">
        <f t="shared" si="2"/>
        <v>3.8827412152980003E-4</v>
      </c>
      <c r="H13" s="143"/>
    </row>
    <row r="14" spans="1:10" x14ac:dyDescent="0.25">
      <c r="A14" s="144" t="s">
        <v>50</v>
      </c>
      <c r="B14" s="127"/>
      <c r="C14" s="145">
        <f>+C12+C13</f>
        <v>0.68680633284208359</v>
      </c>
      <c r="D14" s="145">
        <f t="shared" ref="D14:F14" si="3">+D12+D13</f>
        <v>9.3013577937375497E-2</v>
      </c>
      <c r="E14" s="145">
        <f t="shared" si="3"/>
        <v>0.19790296305734764</v>
      </c>
      <c r="F14" s="145">
        <f t="shared" si="3"/>
        <v>2.2277126163193276E-2</v>
      </c>
      <c r="G14" s="129">
        <f>SUM(C14:F14)</f>
        <v>1</v>
      </c>
      <c r="H14" s="143"/>
    </row>
    <row r="15" spans="1:10" ht="15.75" thickBot="1" x14ac:dyDescent="0.3">
      <c r="A15" s="146"/>
      <c r="B15" s="147"/>
      <c r="C15" s="147"/>
      <c r="D15" s="147"/>
      <c r="E15" s="147"/>
      <c r="F15" s="147"/>
      <c r="G15" s="147"/>
      <c r="H15" s="148"/>
    </row>
    <row r="17" spans="1:10" x14ac:dyDescent="0.25">
      <c r="A17" s="119" t="s">
        <v>166</v>
      </c>
    </row>
    <row r="18" spans="1:10" x14ac:dyDescent="0.25">
      <c r="A18" s="179">
        <f>+A2</f>
        <v>44926</v>
      </c>
      <c r="C18" t="s">
        <v>33</v>
      </c>
      <c r="D18" t="s">
        <v>34</v>
      </c>
      <c r="E18" t="s">
        <v>35</v>
      </c>
      <c r="F18" t="s">
        <v>178</v>
      </c>
      <c r="G18" t="s">
        <v>50</v>
      </c>
    </row>
    <row r="19" spans="1:10" x14ac:dyDescent="0.25">
      <c r="A19" t="s">
        <v>222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  <c r="I19" s="102"/>
      <c r="J19" s="81"/>
    </row>
    <row r="20" spans="1:10" x14ac:dyDescent="0.25">
      <c r="A20" s="117" t="s">
        <v>170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10" x14ac:dyDescent="0.25">
      <c r="A22" t="s">
        <v>261</v>
      </c>
      <c r="B22" s="102"/>
      <c r="C22" s="102"/>
      <c r="D22" s="102"/>
      <c r="E22" s="102"/>
      <c r="F22" s="102"/>
      <c r="G22" s="102"/>
    </row>
    <row r="23" spans="1:10" x14ac:dyDescent="0.25">
      <c r="A23" t="s">
        <v>171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  <c r="I23" s="118"/>
      <c r="J23" s="81"/>
    </row>
    <row r="24" spans="1:10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10" x14ac:dyDescent="0.25">
      <c r="A25" s="130" t="s">
        <v>180</v>
      </c>
      <c r="C25" s="118"/>
      <c r="D25" s="118"/>
      <c r="E25" s="118"/>
      <c r="F25" s="118"/>
      <c r="G25" s="118"/>
    </row>
    <row r="26" spans="1:10" x14ac:dyDescent="0.25">
      <c r="A26" t="s">
        <v>179</v>
      </c>
    </row>
    <row r="27" spans="1:10" x14ac:dyDescent="0.25">
      <c r="A27" t="s">
        <v>221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10" x14ac:dyDescent="0.25">
      <c r="A28" t="s">
        <v>173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10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F22" sqref="F22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266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265</v>
      </c>
      <c r="C6" s="3" t="s">
        <v>45</v>
      </c>
      <c r="D6" s="3" t="s">
        <v>116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2">
        <v>988211.98</v>
      </c>
      <c r="C8" s="94">
        <f t="shared" ref="C8:C13" si="0">$D$25</f>
        <v>0.75875764361517273</v>
      </c>
      <c r="D8" s="95">
        <v>6.54E-2</v>
      </c>
      <c r="E8" s="79">
        <f t="shared" ref="E8:E13" si="1">B8*C8*D8</f>
        <v>49037.795924245307</v>
      </c>
      <c r="F8" s="79">
        <f t="shared" ref="F8:F13" si="2">E8/12</f>
        <v>4086.4829936871088</v>
      </c>
      <c r="G8" s="79">
        <f t="shared" ref="G8:G13" si="3">B8</f>
        <v>988211.98</v>
      </c>
      <c r="H8" s="13">
        <v>6</v>
      </c>
      <c r="I8" s="79">
        <f t="shared" ref="I8:I13" si="4">G8/H8</f>
        <v>164701.99666666667</v>
      </c>
      <c r="J8" s="79">
        <f t="shared" ref="J8:J13" si="5">I8/12</f>
        <v>13725.166388888889</v>
      </c>
      <c r="K8" s="79">
        <f>ROUNDUP(F8+J8,0)</f>
        <v>17812</v>
      </c>
    </row>
    <row r="9" spans="1:11" x14ac:dyDescent="0.25">
      <c r="A9" t="s">
        <v>32</v>
      </c>
      <c r="B9" s="192">
        <v>306568.88</v>
      </c>
      <c r="C9" s="94">
        <f t="shared" si="0"/>
        <v>0.75875764361517273</v>
      </c>
      <c r="D9" s="95">
        <v>6.54E-2</v>
      </c>
      <c r="E9" s="79">
        <f t="shared" si="1"/>
        <v>15212.79085704309</v>
      </c>
      <c r="F9" s="79">
        <f t="shared" si="2"/>
        <v>1267.7325714202575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5526</v>
      </c>
    </row>
    <row r="10" spans="1:11" x14ac:dyDescent="0.25">
      <c r="A10" t="s">
        <v>47</v>
      </c>
      <c r="B10" s="192">
        <v>705882.72</v>
      </c>
      <c r="C10" s="94">
        <f t="shared" si="0"/>
        <v>0.75875764361517273</v>
      </c>
      <c r="D10" s="95">
        <v>6.54E-2</v>
      </c>
      <c r="E10" s="79">
        <f t="shared" si="1"/>
        <v>35027.841667949811</v>
      </c>
      <c r="F10" s="79">
        <f t="shared" si="2"/>
        <v>2918.9868056624841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8802</v>
      </c>
    </row>
    <row r="11" spans="1:11" x14ac:dyDescent="0.25">
      <c r="A11" t="s">
        <v>48</v>
      </c>
      <c r="B11" s="192">
        <v>257154.88</v>
      </c>
      <c r="C11" s="94">
        <f t="shared" si="0"/>
        <v>0.75875764361517273</v>
      </c>
      <c r="D11" s="95">
        <v>6.54E-2</v>
      </c>
      <c r="E11" s="79">
        <f t="shared" si="1"/>
        <v>12760.73229385844</v>
      </c>
      <c r="F11" s="79">
        <f t="shared" si="2"/>
        <v>1063.3943578215367</v>
      </c>
      <c r="G11" s="79">
        <f t="shared" si="3"/>
        <v>257154.88</v>
      </c>
      <c r="H11" s="13">
        <v>5</v>
      </c>
      <c r="I11" s="79">
        <f t="shared" si="4"/>
        <v>51430.976000000002</v>
      </c>
      <c r="J11" s="79">
        <f t="shared" si="5"/>
        <v>4285.9146666666666</v>
      </c>
      <c r="K11" s="79">
        <f t="shared" si="6"/>
        <v>5350</v>
      </c>
    </row>
    <row r="12" spans="1:11" x14ac:dyDescent="0.25">
      <c r="A12" t="s">
        <v>41</v>
      </c>
      <c r="B12" s="192">
        <v>203535.26</v>
      </c>
      <c r="C12" s="94">
        <f t="shared" si="0"/>
        <v>0.75875764361517273</v>
      </c>
      <c r="D12" s="95">
        <v>6.54E-2</v>
      </c>
      <c r="E12" s="79">
        <f t="shared" si="1"/>
        <v>10099.979301271182</v>
      </c>
      <c r="F12" s="79">
        <f t="shared" si="2"/>
        <v>841.66494177259847</v>
      </c>
      <c r="G12" s="79">
        <f t="shared" si="3"/>
        <v>203535.26</v>
      </c>
      <c r="H12" s="13">
        <v>4</v>
      </c>
      <c r="I12" s="79">
        <f t="shared" si="4"/>
        <v>50883.815000000002</v>
      </c>
      <c r="J12" s="79">
        <f t="shared" si="5"/>
        <v>4240.3179166666669</v>
      </c>
      <c r="K12" s="79">
        <f t="shared" si="6"/>
        <v>5082</v>
      </c>
    </row>
    <row r="13" spans="1:11" x14ac:dyDescent="0.25">
      <c r="A13" t="s">
        <v>31</v>
      </c>
      <c r="B13" s="192">
        <v>1296437.95</v>
      </c>
      <c r="C13" s="94">
        <f t="shared" si="0"/>
        <v>0.75875764361517273</v>
      </c>
      <c r="D13" s="95">
        <v>6.54E-2</v>
      </c>
      <c r="E13" s="79">
        <f t="shared" si="1"/>
        <v>64332.816143907643</v>
      </c>
      <c r="F13" s="79">
        <f t="shared" si="2"/>
        <v>5361.0680119923036</v>
      </c>
      <c r="G13" s="79">
        <f t="shared" si="3"/>
        <v>1296437.95</v>
      </c>
      <c r="H13" s="13">
        <v>10</v>
      </c>
      <c r="I13" s="79">
        <f t="shared" si="4"/>
        <v>129643.795</v>
      </c>
      <c r="J13" s="79">
        <f t="shared" si="5"/>
        <v>10803.649583333334</v>
      </c>
      <c r="K13" s="79">
        <f t="shared" si="6"/>
        <v>16165</v>
      </c>
    </row>
    <row r="14" spans="1:11" x14ac:dyDescent="0.25">
      <c r="B14" s="120"/>
    </row>
    <row r="15" spans="1:11" x14ac:dyDescent="0.25">
      <c r="B15" s="121">
        <f>SUM(B8:B13)</f>
        <v>3757791.67</v>
      </c>
      <c r="D15" s="180">
        <f>AVERAGE(D8:D13)</f>
        <v>6.54E-2</v>
      </c>
      <c r="E15" s="14">
        <f>SUM(E8:E13)</f>
        <v>186471.95618827548</v>
      </c>
      <c r="F15" s="22">
        <f>SUM(F8:F13)</f>
        <v>15539.329682356289</v>
      </c>
      <c r="G15" s="14">
        <f>SUM(G8:G13)</f>
        <v>3757791.67</v>
      </c>
      <c r="I15" s="14">
        <f>SUM(I8:I13)</f>
        <v>518343.66800000001</v>
      </c>
      <c r="J15" s="22">
        <f>SUM(J8:J13)</f>
        <v>43195.305666666667</v>
      </c>
      <c r="K15" s="22">
        <f>SUM(K8:K13)</f>
        <v>58737</v>
      </c>
    </row>
    <row r="19" spans="1:7" x14ac:dyDescent="0.25">
      <c r="A19" s="16" t="s">
        <v>239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3"/>
      <c r="B25" s="194" t="s">
        <v>177</v>
      </c>
      <c r="C25" s="195">
        <f>629742+8716520+(1754587*0.5)</f>
        <v>10223555.5</v>
      </c>
      <c r="D25" s="196">
        <f>C25/C27</f>
        <v>0.75875764361517273</v>
      </c>
      <c r="E25" s="195" t="s">
        <v>268</v>
      </c>
      <c r="F25" s="195"/>
      <c r="G25" s="197"/>
    </row>
    <row r="26" spans="1:7" x14ac:dyDescent="0.25">
      <c r="A26" s="198"/>
      <c r="B26" s="199" t="s">
        <v>176</v>
      </c>
      <c r="C26" s="200">
        <v>3250517</v>
      </c>
      <c r="D26" s="201">
        <f>C26/C27</f>
        <v>0.24124235638482722</v>
      </c>
      <c r="E26" s="195" t="s">
        <v>268</v>
      </c>
      <c r="F26" s="200"/>
      <c r="G26" s="202"/>
    </row>
    <row r="27" spans="1:7" ht="15.75" thickBot="1" x14ac:dyDescent="0.3">
      <c r="A27" s="203"/>
      <c r="B27" s="204"/>
      <c r="C27" s="205">
        <f>C25+C26</f>
        <v>13474072.5</v>
      </c>
      <c r="D27" s="206"/>
      <c r="E27" s="204"/>
      <c r="F27" s="204"/>
      <c r="G27" s="207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M22"/>
  <sheetViews>
    <sheetView zoomScale="90" zoomScaleNormal="90" workbookViewId="0">
      <selection activeCell="K16" sqref="K16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3" x14ac:dyDescent="0.25">
      <c r="A2" s="16" t="s">
        <v>58</v>
      </c>
    </row>
    <row r="3" spans="1:13" x14ac:dyDescent="0.25">
      <c r="D3" s="19" t="s">
        <v>54</v>
      </c>
      <c r="I3" s="21" t="s">
        <v>55</v>
      </c>
    </row>
    <row r="5" spans="1:13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3" x14ac:dyDescent="0.25">
      <c r="B6" s="10"/>
      <c r="C6" s="3" t="s">
        <v>45</v>
      </c>
      <c r="D6" s="3" t="s">
        <v>116</v>
      </c>
      <c r="E6" s="10" t="s">
        <v>144</v>
      </c>
      <c r="F6" s="10" t="s">
        <v>144</v>
      </c>
      <c r="G6" s="10" t="s">
        <v>61</v>
      </c>
      <c r="H6" s="3" t="s">
        <v>53</v>
      </c>
      <c r="I6" s="10"/>
      <c r="J6" s="10"/>
      <c r="K6" s="10" t="s">
        <v>50</v>
      </c>
    </row>
    <row r="7" spans="1:13" x14ac:dyDescent="0.25">
      <c r="B7" s="11"/>
      <c r="C7" s="1"/>
      <c r="D7" s="1"/>
      <c r="E7" s="11"/>
      <c r="F7" s="11"/>
      <c r="G7" s="11"/>
      <c r="H7" s="1"/>
    </row>
    <row r="8" spans="1:13" x14ac:dyDescent="0.25">
      <c r="A8" t="s">
        <v>57</v>
      </c>
      <c r="B8" s="12">
        <f>574557.91+713455.91</f>
        <v>1288013.82</v>
      </c>
      <c r="C8" s="94">
        <f>'2024 NUC Rent'!D25</f>
        <v>0.75875764361517273</v>
      </c>
      <c r="D8" s="95">
        <v>6.54E-2</v>
      </c>
      <c r="E8" s="79">
        <f>B8*C8*D8</f>
        <v>63914.787647856312</v>
      </c>
      <c r="F8" s="79">
        <f>E8/12</f>
        <v>5326.2323039880257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8299</v>
      </c>
    </row>
    <row r="9" spans="1:13" x14ac:dyDescent="0.25">
      <c r="M9" s="6"/>
    </row>
    <row r="10" spans="1:13" x14ac:dyDescent="0.25">
      <c r="B10" s="14">
        <f>SUM(B8:B8)</f>
        <v>1288013.82</v>
      </c>
      <c r="E10" s="14">
        <f>SUM(E8:E8)</f>
        <v>63914.787647856312</v>
      </c>
      <c r="F10" s="22">
        <f>SUM(F8:F8)</f>
        <v>5326.2323039880257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8299</v>
      </c>
    </row>
    <row r="12" spans="1:13" x14ac:dyDescent="0.25">
      <c r="H12" s="209" t="s">
        <v>210</v>
      </c>
    </row>
    <row r="13" spans="1:13" x14ac:dyDescent="0.25">
      <c r="I13"/>
      <c r="J13" t="s">
        <v>186</v>
      </c>
      <c r="K13" s="8" t="s">
        <v>51</v>
      </c>
      <c r="L13" t="s">
        <v>165</v>
      </c>
    </row>
    <row r="14" spans="1:13" x14ac:dyDescent="0.25">
      <c r="B14" s="24"/>
      <c r="I14" s="11" t="s">
        <v>12</v>
      </c>
      <c r="J14" s="232">
        <f>+'2023 Allocation Source'!E14</f>
        <v>0.19790296305734764</v>
      </c>
      <c r="K14" s="210">
        <f>ROUNDUP(J14*K$10,0)</f>
        <v>1643</v>
      </c>
      <c r="L14" s="211">
        <f>+K14*12</f>
        <v>19716</v>
      </c>
    </row>
    <row r="15" spans="1:13" x14ac:dyDescent="0.25">
      <c r="B15" s="11"/>
      <c r="D15" s="25"/>
      <c r="I15" s="11" t="s">
        <v>11</v>
      </c>
      <c r="J15" s="232">
        <f>+'2023 Allocation Source'!D14</f>
        <v>9.3013577937375497E-2</v>
      </c>
      <c r="K15" s="210">
        <f t="shared" ref="K15:K17" si="0">ROUNDUP(J15*K$10,0)</f>
        <v>772</v>
      </c>
      <c r="L15" s="211">
        <f t="shared" ref="L15:L18" si="1">+K15*12</f>
        <v>9264</v>
      </c>
    </row>
    <row r="16" spans="1:13" x14ac:dyDescent="0.25">
      <c r="B16" s="11"/>
      <c r="D16" s="25"/>
      <c r="I16" s="11" t="s">
        <v>10</v>
      </c>
      <c r="J16" s="232">
        <f>+'2023 Allocation Source'!C14</f>
        <v>0.68680633284208359</v>
      </c>
      <c r="K16" s="210">
        <f t="shared" si="0"/>
        <v>5700</v>
      </c>
      <c r="L16" s="211">
        <f t="shared" si="1"/>
        <v>68400</v>
      </c>
    </row>
    <row r="17" spans="2:12" x14ac:dyDescent="0.25">
      <c r="B17" s="11"/>
      <c r="D17" s="25"/>
      <c r="I17" s="11" t="s">
        <v>122</v>
      </c>
      <c r="J17" s="232">
        <f>+'2023 Allocation Source'!F14</f>
        <v>2.2277126163193276E-2</v>
      </c>
      <c r="K17" s="210">
        <f t="shared" si="0"/>
        <v>185</v>
      </c>
      <c r="L17" s="211">
        <f t="shared" si="1"/>
        <v>2220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8300</v>
      </c>
      <c r="L18" s="106">
        <f t="shared" si="1"/>
        <v>99600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B1FAD-534D-4A38-93FF-0C8A903FDE87}">
  <sheetPr>
    <pageSetUpPr fitToPage="1"/>
  </sheetPr>
  <dimension ref="C2:AA18"/>
  <sheetViews>
    <sheetView zoomScale="95" zoomScaleNormal="95" workbookViewId="0">
      <selection activeCell="Z16" sqref="Z16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59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116</v>
      </c>
      <c r="K6" s="3"/>
      <c r="L6" s="10" t="s">
        <v>144</v>
      </c>
      <c r="M6" s="3"/>
      <c r="N6" s="10" t="s">
        <v>144</v>
      </c>
      <c r="O6" s="3"/>
      <c r="Q6" s="3"/>
      <c r="R6" s="10" t="s">
        <v>61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60</v>
      </c>
      <c r="F8" s="12">
        <v>654101.36</v>
      </c>
      <c r="H8" s="94">
        <f>+'2024 NUC Rent'!$D$25</f>
        <v>0.75875764361517273</v>
      </c>
      <c r="J8" s="95">
        <v>6.54E-2</v>
      </c>
      <c r="L8" s="79">
        <f>F8*H8*J8</f>
        <v>32458.308191579818</v>
      </c>
      <c r="N8" s="79">
        <f>L8/12</f>
        <v>2704.8590159649848</v>
      </c>
      <c r="R8" s="79">
        <f>F8-40000</f>
        <v>614101.36</v>
      </c>
      <c r="T8" s="13">
        <v>20</v>
      </c>
      <c r="V8" s="79">
        <f>R8/T8</f>
        <v>30705.067999999999</v>
      </c>
      <c r="X8" s="79">
        <f>V8/12</f>
        <v>2558.7556666666665</v>
      </c>
      <c r="Z8" s="79">
        <f>ROUND(N8+X8,0)</f>
        <v>5264</v>
      </c>
    </row>
    <row r="10" spans="3:27" x14ac:dyDescent="0.25">
      <c r="F10" s="14">
        <f>SUM(F8:F8)</f>
        <v>654101.36</v>
      </c>
      <c r="L10" s="14">
        <f>SUM(L8:L8)</f>
        <v>32458.308191579818</v>
      </c>
      <c r="N10" s="22">
        <f>SUM(N8:N8)</f>
        <v>2704.8590159649848</v>
      </c>
      <c r="R10" s="14">
        <f>SUM(R8:R8)</f>
        <v>614101.36</v>
      </c>
      <c r="V10" s="14">
        <f>SUM(V8:V8)</f>
        <v>30705.067999999999</v>
      </c>
      <c r="X10" s="22">
        <f>SUM(X8:X8)</f>
        <v>2558.7556666666665</v>
      </c>
      <c r="Z10" s="22">
        <f>SUM(Z8:Z8)</f>
        <v>5264</v>
      </c>
    </row>
    <row r="13" spans="3:27" x14ac:dyDescent="0.25">
      <c r="C13" t="s">
        <v>60</v>
      </c>
      <c r="F13" s="8" t="s">
        <v>269</v>
      </c>
      <c r="T13" s="24" t="s">
        <v>233</v>
      </c>
      <c r="V13"/>
      <c r="X13"/>
      <c r="Z13" s="8" t="s">
        <v>51</v>
      </c>
      <c r="AA13" t="s">
        <v>165</v>
      </c>
    </row>
    <row r="14" spans="3:27" x14ac:dyDescent="0.25">
      <c r="F14" s="24"/>
      <c r="T14" s="11" t="s">
        <v>12</v>
      </c>
      <c r="V14" s="122">
        <f>+'2024 Allocation Source'!E14</f>
        <v>0.19679984490856831</v>
      </c>
      <c r="W14" s="81"/>
      <c r="X14" s="81"/>
      <c r="Z14" s="208">
        <f>ROUNDUP($Z$10*V14,0)</f>
        <v>1036</v>
      </c>
      <c r="AA14" s="236">
        <f>+Z14*12</f>
        <v>12432</v>
      </c>
    </row>
    <row r="15" spans="3:27" x14ac:dyDescent="0.25">
      <c r="F15" s="11"/>
      <c r="J15" s="25"/>
      <c r="T15" s="11" t="s">
        <v>11</v>
      </c>
      <c r="V15" s="122">
        <f>+'2024 Allocation Source'!D14</f>
        <v>9.189559761882099E-2</v>
      </c>
      <c r="W15" s="81"/>
      <c r="X15" s="81"/>
      <c r="Z15" s="208">
        <f t="shared" ref="Z15:Z17" si="0">ROUNDUP($Z$10*V15,0)</f>
        <v>484</v>
      </c>
      <c r="AA15" s="236">
        <f t="shared" ref="AA15:AA17" si="1">+Z15*12</f>
        <v>5808</v>
      </c>
    </row>
    <row r="16" spans="3:27" x14ac:dyDescent="0.25">
      <c r="F16" s="11"/>
      <c r="J16" s="25"/>
      <c r="T16" s="11" t="s">
        <v>10</v>
      </c>
      <c r="V16" s="122">
        <f>+'2024 Allocation Source'!C14</f>
        <v>0.68943970448085323</v>
      </c>
      <c r="W16" s="81"/>
      <c r="X16" s="81"/>
      <c r="Z16" s="8">
        <f t="shared" si="0"/>
        <v>3630</v>
      </c>
      <c r="AA16" s="237">
        <f t="shared" si="1"/>
        <v>43560</v>
      </c>
    </row>
    <row r="17" spans="6:27" x14ac:dyDescent="0.25">
      <c r="F17" s="11"/>
      <c r="J17" s="25"/>
      <c r="T17" s="11" t="s">
        <v>122</v>
      </c>
      <c r="V17" s="123">
        <f>+'2024 Allocation Source'!F14</f>
        <v>2.1864852991757482E-2</v>
      </c>
      <c r="W17" s="81"/>
      <c r="X17" s="81"/>
      <c r="Z17" s="208">
        <f t="shared" si="0"/>
        <v>116</v>
      </c>
      <c r="AA17" s="236">
        <f t="shared" si="1"/>
        <v>1392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5266</v>
      </c>
      <c r="AA18" s="71">
        <f>SUM(AA14:AA17)</f>
        <v>63192</v>
      </c>
    </row>
  </sheetData>
  <pageMargins left="0.7" right="0.7" top="0.75" bottom="0.75" header="0.3" footer="0.3"/>
  <pageSetup scale="45" orientation="landscape" horizontalDpi="4294967295" verticalDpi="4294967295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topLeftCell="A7" zoomScaleNormal="100" workbookViewId="0">
      <selection activeCell="Q28" sqref="Q28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19" max="19" width="10.28515625" bestFit="1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94</v>
      </c>
      <c r="F1" s="20" t="str">
        <f>+'Commodity OK'!H2</f>
        <v>Data Input May 24 billing =May invoices = Apr Flow  data= Apr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143</v>
      </c>
    </row>
    <row r="3" spans="1:21" x14ac:dyDescent="0.25">
      <c r="A3" s="16" t="s">
        <v>96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122</v>
      </c>
      <c r="O3" s="19"/>
      <c r="P3" s="2" t="s">
        <v>262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2" t="s">
        <v>12</v>
      </c>
      <c r="Q4" s="242"/>
      <c r="R4" s="150">
        <f>'2024 Allocation Source'!E14</f>
        <v>0.19679984490856831</v>
      </c>
      <c r="S4" s="150"/>
      <c r="T4" s="150"/>
    </row>
    <row r="5" spans="1:21" x14ac:dyDescent="0.25">
      <c r="P5" s="241" t="s">
        <v>11</v>
      </c>
      <c r="Q5" s="241"/>
      <c r="R5" s="150">
        <f>'2024 Allocation Source'!D14</f>
        <v>9.189559761882099E-2</v>
      </c>
      <c r="S5" s="7"/>
      <c r="T5" s="150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1" t="s">
        <v>10</v>
      </c>
      <c r="Q6" s="241"/>
      <c r="R6" s="150">
        <f>'2024 Allocation Source'!C14</f>
        <v>0.68943970448085323</v>
      </c>
      <c r="S6" s="7"/>
      <c r="T6" s="150"/>
    </row>
    <row r="7" spans="1:21" x14ac:dyDescent="0.25">
      <c r="B7" t="s">
        <v>17</v>
      </c>
      <c r="F7" s="112">
        <f>8129.3-SUM('Direct Charges'!F25:F28)</f>
        <v>5872.31</v>
      </c>
      <c r="G7" s="8"/>
      <c r="H7" s="79">
        <f>F7*R$4</f>
        <v>1155.6696972550349</v>
      </c>
      <c r="I7" s="8"/>
      <c r="J7" s="79">
        <f>F7*R$5</f>
        <v>539.63943685297875</v>
      </c>
      <c r="K7" s="8"/>
      <c r="L7" s="79">
        <f>F7*R$6</f>
        <v>4048.6036710199596</v>
      </c>
      <c r="M7" s="8"/>
      <c r="N7" s="79">
        <f>F7*R$7</f>
        <v>128.3971948720274</v>
      </c>
      <c r="O7" s="8"/>
      <c r="P7" s="241" t="s">
        <v>122</v>
      </c>
      <c r="Q7" s="241"/>
      <c r="R7" s="151">
        <f>'2024 Allocation Source'!F14</f>
        <v>2.1864852991757482E-2</v>
      </c>
      <c r="S7" s="7"/>
      <c r="T7" s="150"/>
    </row>
    <row r="8" spans="1:21" x14ac:dyDescent="0.25">
      <c r="B8" s="54" t="s">
        <v>15</v>
      </c>
      <c r="C8" s="54"/>
      <c r="D8" s="54"/>
      <c r="F8" s="112">
        <v>15207.08</v>
      </c>
      <c r="G8" s="8"/>
      <c r="H8" s="79">
        <f t="shared" ref="H8:H19" si="0">F8*R$4</f>
        <v>2992.7509855121907</v>
      </c>
      <c r="I8" s="8"/>
      <c r="J8" s="79">
        <f>F8*R$5</f>
        <v>1397.4637046372202</v>
      </c>
      <c r="K8" s="8"/>
      <c r="L8" s="79">
        <f>F8*R$6</f>
        <v>10484.364741216694</v>
      </c>
      <c r="M8" s="8"/>
      <c r="N8" s="79">
        <f>F8*R$7</f>
        <v>332.5005686338954</v>
      </c>
      <c r="O8" s="8"/>
      <c r="R8" s="150">
        <f>SUM(R4:R7)</f>
        <v>1</v>
      </c>
      <c r="S8" s="7"/>
      <c r="T8" s="150"/>
      <c r="U8" s="73"/>
    </row>
    <row r="9" spans="1:21" x14ac:dyDescent="0.25">
      <c r="B9" t="s">
        <v>18</v>
      </c>
      <c r="F9" s="112">
        <v>0</v>
      </c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96612.77</v>
      </c>
      <c r="G10" s="8"/>
      <c r="H10" s="79">
        <f>IF(N10=2000,(F10-N10)*(R4/(R8-R7)),(F10*R4))</f>
        <v>19013.378152187182</v>
      </c>
      <c r="I10" s="8"/>
      <c r="J10" s="83">
        <f>IF(N10=2000,(F10-N10)*(R5/(R8-R7)),(F10*R5))</f>
        <v>8878.2882367597012</v>
      </c>
      <c r="K10" s="8"/>
      <c r="L10" s="83">
        <f>IF(N10=2000,(F10-N10)*(R6/(R8-R7)),(F10*R6))</f>
        <v>66608.679597876646</v>
      </c>
      <c r="M10" s="8"/>
      <c r="N10" s="83">
        <f>IF((F10*R$7&lt;2000),(2000),F10*R$7)</f>
        <v>2112.4240131764777</v>
      </c>
      <c r="O10" s="8"/>
      <c r="P10" s="8"/>
      <c r="Q10" s="8"/>
      <c r="U10" s="73"/>
    </row>
    <row r="11" spans="1:21" x14ac:dyDescent="0.25">
      <c r="B11" t="s">
        <v>20</v>
      </c>
      <c r="F11" s="112">
        <f>13766.09-SUM('Direct Charges'!F34:F39)</f>
        <v>10264.619999999999</v>
      </c>
      <c r="G11" s="8"/>
      <c r="H11" s="79">
        <f t="shared" si="0"/>
        <v>2020.0756240453882</v>
      </c>
      <c r="I11" s="8"/>
      <c r="J11" s="79">
        <f>F11*R$5</f>
        <v>943.27338923010223</v>
      </c>
      <c r="K11" s="8"/>
      <c r="L11" s="79">
        <f>F11*R$6</f>
        <v>7076.8365794082547</v>
      </c>
      <c r="M11" s="8"/>
      <c r="N11" s="79">
        <f>F11*R$7</f>
        <v>224.43440731625367</v>
      </c>
      <c r="O11" s="8"/>
      <c r="U11" s="73"/>
    </row>
    <row r="12" spans="1:21" x14ac:dyDescent="0.25">
      <c r="B12" t="s">
        <v>21</v>
      </c>
      <c r="F12" s="155">
        <f>18997.24-SUM('Direct Charges'!F42:F45)</f>
        <v>3217.8600000000006</v>
      </c>
      <c r="G12" s="8"/>
      <c r="H12" s="79">
        <f t="shared" si="0"/>
        <v>633.27434893748568</v>
      </c>
      <c r="I12" s="8"/>
      <c r="J12" s="79">
        <f>F12*R$5</f>
        <v>295.70716775369937</v>
      </c>
      <c r="K12" s="8"/>
      <c r="L12" s="79">
        <f>F12*R$6</f>
        <v>2218.520447460759</v>
      </c>
      <c r="M12" s="8"/>
      <c r="N12" s="79">
        <f>F12*R$7</f>
        <v>70.358035848056744</v>
      </c>
      <c r="O12" s="8"/>
    </row>
    <row r="13" spans="1:21" x14ac:dyDescent="0.25">
      <c r="B13" t="s">
        <v>25</v>
      </c>
      <c r="F13" s="112">
        <v>31797.13</v>
      </c>
      <c r="G13" s="8"/>
      <c r="H13" s="79">
        <f t="shared" si="0"/>
        <v>6257.6702525375849</v>
      </c>
      <c r="I13" s="8"/>
      <c r="J13" s="79">
        <f>F13*R$5</f>
        <v>2922.0162639133414</v>
      </c>
      <c r="K13" s="8"/>
      <c r="L13" s="79">
        <f>F13*R$6</f>
        <v>21922.203910539272</v>
      </c>
      <c r="M13" s="8"/>
      <c r="N13" s="79">
        <f>F13*R$7</f>
        <v>695.23957300980157</v>
      </c>
      <c r="O13" s="8"/>
    </row>
    <row r="14" spans="1:21" x14ac:dyDescent="0.25">
      <c r="B14" t="s">
        <v>26</v>
      </c>
      <c r="F14" s="112">
        <v>0</v>
      </c>
      <c r="G14" s="8"/>
      <c r="H14" s="79">
        <f>F14*R$4</f>
        <v>0</v>
      </c>
      <c r="I14" s="8"/>
      <c r="J14" s="79">
        <f>F14*R$5</f>
        <v>0</v>
      </c>
      <c r="K14" s="8"/>
      <c r="L14" s="79">
        <f>F14*R$6</f>
        <v>0</v>
      </c>
      <c r="M14" s="8"/>
      <c r="N14" s="79">
        <f>F14*R$7</f>
        <v>0</v>
      </c>
      <c r="O14" s="8"/>
    </row>
    <row r="15" spans="1:21" x14ac:dyDescent="0.25">
      <c r="B15" t="s">
        <v>27</v>
      </c>
      <c r="F15" s="112">
        <v>14716.53</v>
      </c>
      <c r="G15" s="8"/>
      <c r="H15" s="79">
        <f>IF(N15=1000,(F15-N15)*(R4/(R8-R7)),(F15*R4))</f>
        <v>2759.7525607174375</v>
      </c>
      <c r="I15" s="8"/>
      <c r="J15" s="83">
        <f>IF(N15=1000,(F15-N15)*(R5/(R8-R7)),(F15*R5))</f>
        <v>1288.6651966876566</v>
      </c>
      <c r="K15" s="8"/>
      <c r="L15" s="83">
        <f>IF(N15=1000,(F15-N15)*(R6/(R8-R7)),(F15*R6))</f>
        <v>9668.112242594907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195</v>
      </c>
      <c r="F16" s="112">
        <v>2278.7600000000002</v>
      </c>
      <c r="G16" s="8"/>
      <c r="H16" s="79">
        <v>0</v>
      </c>
      <c r="I16" s="8"/>
      <c r="J16" s="79">
        <v>0</v>
      </c>
      <c r="K16" s="8"/>
      <c r="L16" s="79">
        <f>+F16</f>
        <v>2278.7600000000002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3646.12</v>
      </c>
      <c r="G18" s="8"/>
      <c r="H18" s="79">
        <f t="shared" si="0"/>
        <v>717.55585051802905</v>
      </c>
      <c r="I18" s="8"/>
      <c r="J18" s="79">
        <f>F18*R$5</f>
        <v>335.06237638993559</v>
      </c>
      <c r="K18" s="8"/>
      <c r="L18" s="79">
        <f>F18*R$6</f>
        <v>2513.7798953017286</v>
      </c>
      <c r="M18" s="8"/>
      <c r="N18" s="79">
        <f>F18*R$7</f>
        <v>79.721877790306792</v>
      </c>
      <c r="O18" s="8"/>
    </row>
    <row r="19" spans="1:19" x14ac:dyDescent="0.25">
      <c r="B19" t="s">
        <v>30</v>
      </c>
      <c r="F19" s="112">
        <v>3499.72</v>
      </c>
      <c r="G19" s="8"/>
      <c r="H19" s="79">
        <f t="shared" si="0"/>
        <v>688.74435322341458</v>
      </c>
      <c r="I19" s="8"/>
      <c r="J19" s="79">
        <f>F19*R$5</f>
        <v>321.60886089854017</v>
      </c>
      <c r="K19" s="8"/>
      <c r="L19" s="79">
        <f>F19*R$6</f>
        <v>2412.8459225657316</v>
      </c>
      <c r="M19" s="8"/>
      <c r="N19" s="79">
        <f>F19*R$7</f>
        <v>76.520863312313494</v>
      </c>
      <c r="O19" s="8"/>
      <c r="R19" t="s">
        <v>187</v>
      </c>
      <c r="S19" t="s">
        <v>185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2" t="s">
        <v>12</v>
      </c>
      <c r="Q20" s="242"/>
      <c r="R20" s="149">
        <f>+F21*R4</f>
        <v>36823.789700392452</v>
      </c>
      <c r="S20" s="55">
        <f>+H21-R20</f>
        <v>-584.91787545869738</v>
      </c>
    </row>
    <row r="21" spans="1:19" x14ac:dyDescent="0.25">
      <c r="F21" s="84">
        <f>SUM(F6:F19)</f>
        <v>187112.90000000002</v>
      </c>
      <c r="G21" s="23"/>
      <c r="H21" s="84">
        <f>SUM(H6:H19)</f>
        <v>36238.871824933754</v>
      </c>
      <c r="I21" s="23"/>
      <c r="J21" s="84">
        <f>SUM(J6:J19)</f>
        <v>16921.724633123176</v>
      </c>
      <c r="K21" s="23"/>
      <c r="L21" s="84">
        <f>SUM(L6:L19)</f>
        <v>129232.70700798395</v>
      </c>
      <c r="M21" s="23"/>
      <c r="N21" s="84">
        <f>SUM(N6:N19)</f>
        <v>4719.5965339591339</v>
      </c>
      <c r="O21" s="23"/>
      <c r="P21" s="241" t="s">
        <v>11</v>
      </c>
      <c r="Q21" s="241"/>
      <c r="R21" s="149">
        <f>+F21*R5</f>
        <v>17194.851767690692</v>
      </c>
      <c r="S21" s="55">
        <f>+J21-R21</f>
        <v>-273.1271345675159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1" t="s">
        <v>10</v>
      </c>
      <c r="Q22" s="241"/>
      <c r="R22" s="149">
        <f>+F21*R6</f>
        <v>129003.06248055545</v>
      </c>
      <c r="S22" s="55">
        <f>+L21-R22</f>
        <v>229.64452742849244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1" t="s">
        <v>122</v>
      </c>
      <c r="Q23" s="241"/>
      <c r="R23" s="149">
        <f>+F21*R7</f>
        <v>4091.196051361419</v>
      </c>
      <c r="S23" s="55">
        <f>+N21-R23</f>
        <v>628.40048259771493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2">
        <f>SUM(R20:R23)</f>
        <v>187112.90000000002</v>
      </c>
      <c r="S24" s="152">
        <f>SUM(S20:S23)</f>
        <v>-5.9117155615240335E-12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49"/>
    </row>
    <row r="26" spans="1:19" x14ac:dyDescent="0.25">
      <c r="A26" s="16" t="s">
        <v>97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'2024 NUC Rent'!K8</f>
        <v>17812</v>
      </c>
      <c r="G27" s="6"/>
      <c r="H27" s="79">
        <f t="shared" ref="H27:H29" si="1">F27*R$4</f>
        <v>3505.3988375114186</v>
      </c>
      <c r="I27" s="8"/>
      <c r="J27" s="85">
        <f t="shared" ref="J27:J29" si="2">F27*R$5</f>
        <v>1636.8443847864394</v>
      </c>
      <c r="K27" s="8"/>
      <c r="L27" s="79">
        <f t="shared" ref="L27:L29" si="3">F27*R$6</f>
        <v>12280.300016212957</v>
      </c>
      <c r="M27" s="8"/>
      <c r="N27" s="79">
        <f t="shared" ref="N27:N29" si="4">F27*R$7</f>
        <v>389.45676148918426</v>
      </c>
      <c r="O27" s="8"/>
    </row>
    <row r="28" spans="1:19" x14ac:dyDescent="0.25">
      <c r="B28" t="s">
        <v>32</v>
      </c>
      <c r="F28" s="79">
        <f>'2024 NUC Rent'!K9</f>
        <v>5526</v>
      </c>
      <c r="G28" s="6"/>
      <c r="H28" s="79">
        <f t="shared" si="1"/>
        <v>1087.5159429647485</v>
      </c>
      <c r="I28" s="8"/>
      <c r="J28" s="85">
        <f t="shared" si="2"/>
        <v>507.8150724416048</v>
      </c>
      <c r="K28" s="8"/>
      <c r="L28" s="79">
        <f t="shared" si="3"/>
        <v>3809.8438069611948</v>
      </c>
      <c r="M28" s="8"/>
      <c r="N28" s="79">
        <f t="shared" si="4"/>
        <v>120.82517763245184</v>
      </c>
      <c r="O28" s="8"/>
    </row>
    <row r="29" spans="1:19" x14ac:dyDescent="0.25">
      <c r="B29" t="s">
        <v>47</v>
      </c>
      <c r="F29" s="79">
        <f>'2024 NUC Rent'!K10</f>
        <v>8802</v>
      </c>
      <c r="G29" s="6"/>
      <c r="H29" s="79">
        <f t="shared" si="1"/>
        <v>1732.2322348852183</v>
      </c>
      <c r="I29" s="8"/>
      <c r="J29" s="85">
        <f t="shared" si="2"/>
        <v>808.86505024086239</v>
      </c>
      <c r="K29" s="8"/>
      <c r="L29" s="79">
        <f t="shared" si="3"/>
        <v>6068.4482788404703</v>
      </c>
      <c r="M29" s="8"/>
      <c r="N29" s="79">
        <f t="shared" si="4"/>
        <v>192.45443603344935</v>
      </c>
      <c r="O29" s="8"/>
    </row>
    <row r="30" spans="1:19" x14ac:dyDescent="0.25">
      <c r="B30" t="s">
        <v>48</v>
      </c>
      <c r="F30" s="79">
        <f>'2024 NUC Rent'!K11</f>
        <v>5350</v>
      </c>
      <c r="G30" s="6"/>
      <c r="H30" s="79">
        <f>F30*R$4</f>
        <v>1052.8791702608405</v>
      </c>
      <c r="I30" s="8"/>
      <c r="J30" s="85">
        <f>F30*R$5</f>
        <v>491.6414472606923</v>
      </c>
      <c r="K30" s="8"/>
      <c r="L30" s="79">
        <f>F30*R$6</f>
        <v>3688.502418972565</v>
      </c>
      <c r="M30" s="8"/>
      <c r="N30" s="79">
        <f>F30*R$7</f>
        <v>116.97696350590253</v>
      </c>
      <c r="O30" s="8"/>
    </row>
    <row r="31" spans="1:19" x14ac:dyDescent="0.25">
      <c r="B31" t="s">
        <v>41</v>
      </c>
      <c r="F31" s="79">
        <f>'2024 NUC Rent'!K12</f>
        <v>5082</v>
      </c>
      <c r="G31" s="6"/>
      <c r="H31" s="79">
        <f>F31*R$4</f>
        <v>1000.1368118253441</v>
      </c>
      <c r="I31" s="8"/>
      <c r="J31" s="79">
        <f>F31*R$5</f>
        <v>467.0134270988483</v>
      </c>
      <c r="K31" s="8"/>
      <c r="L31" s="79">
        <f>F31*R$6</f>
        <v>3503.7325781716963</v>
      </c>
      <c r="M31" s="8"/>
      <c r="N31" s="79">
        <f>F31*R$7</f>
        <v>111.11718290411153</v>
      </c>
      <c r="O31" s="8"/>
    </row>
    <row r="32" spans="1:19" x14ac:dyDescent="0.25">
      <c r="B32" t="s">
        <v>31</v>
      </c>
      <c r="F32" s="79">
        <f>'2024 NUC Rent'!K13</f>
        <v>16165</v>
      </c>
      <c r="G32" s="6"/>
      <c r="H32" s="79">
        <f>F32*R$4</f>
        <v>3181.2694929470067</v>
      </c>
      <c r="I32" s="8"/>
      <c r="J32" s="79">
        <f>F32*R$5</f>
        <v>1485.4923355082412</v>
      </c>
      <c r="K32" s="8"/>
      <c r="L32" s="79">
        <f>F32*R$6</f>
        <v>11144.792822932992</v>
      </c>
      <c r="M32" s="8"/>
      <c r="N32" s="79">
        <f>F32*R$7</f>
        <v>353.4453486117597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58737</v>
      </c>
      <c r="G34" s="20"/>
      <c r="H34" s="84">
        <f>SUM(H27:H32)</f>
        <v>11559.432490394578</v>
      </c>
      <c r="I34" s="23"/>
      <c r="J34" s="84">
        <f>SUM(J27:J32)</f>
        <v>5397.6717173366878</v>
      </c>
      <c r="K34" s="23"/>
      <c r="L34" s="84">
        <f>SUM(L27:L32)</f>
        <v>40495.619922091879</v>
      </c>
      <c r="M34" s="23"/>
      <c r="N34" s="84">
        <f>SUM(N27:N32)</f>
        <v>1284.2758701768594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38" activePane="bottomRight" state="frozen"/>
      <selection pane="topRight" activeCell="E1" sqref="E1"/>
      <selection pane="bottomLeft" activeCell="A5" sqref="A5"/>
      <selection pane="bottomRight" activeCell="L55" sqref="L55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114</v>
      </c>
      <c r="F1" s="6" t="str">
        <f>+'Commodity OK'!H2</f>
        <v>Data Input May 24 billing =May invoices = Apr Flow  data= Apr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98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109</v>
      </c>
      <c r="P3" s="2" t="s">
        <v>262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104087.42</v>
      </c>
      <c r="G6" s="60"/>
      <c r="H6" s="85">
        <f>ROUNDUP(IF(N6=2500,(F6-L6-N6)*(Q4/(Q8-Q6-Q7)),(F6*R4)),0)</f>
        <v>54759</v>
      </c>
      <c r="I6" s="60"/>
      <c r="J6" s="222">
        <f>ROUNDUP(IF(SUM(H6,L6,N6,F6*R5)&gt;F6,((F6-L6-N6)*(Q5/(Q8-Q6-Q7))),(F6*R5)),0)</f>
        <v>33225</v>
      </c>
      <c r="K6" s="60"/>
      <c r="L6" s="85">
        <f>ROUNDUP(IF((F6*R$6&lt;2500),(2500),F6*R$6),0)</f>
        <v>6591</v>
      </c>
      <c r="M6" s="60"/>
      <c r="N6" s="85">
        <f>ROUNDUP(IF((F6*R$7&lt;2500),(2500),F6*R$7),0)</f>
        <v>9513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15894.19</v>
      </c>
      <c r="G7" s="60"/>
      <c r="H7" s="85">
        <f>ROUNDUP(F7*R$4,0)</f>
        <v>8362</v>
      </c>
      <c r="I7" s="60"/>
      <c r="J7" s="222">
        <f>ROUNDUP(F7*R$5,0)</f>
        <v>5074</v>
      </c>
      <c r="K7" s="60"/>
      <c r="L7" s="85">
        <f>ROUNDUP(F7*R$6,0)</f>
        <v>1007</v>
      </c>
      <c r="M7" s="60"/>
      <c r="N7" s="85">
        <f>ROUNDUP(F7*R$7,0)</f>
        <v>1453</v>
      </c>
      <c r="P7" s="1" t="s">
        <v>112</v>
      </c>
      <c r="Q7" s="131">
        <f>+'2023 Allocation Source'!F29</f>
        <v>9.139312957676958E-2</v>
      </c>
      <c r="R7" s="215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2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11342.6</v>
      </c>
      <c r="G9" s="60"/>
      <c r="H9" s="85">
        <v>0</v>
      </c>
      <c r="I9" s="60"/>
      <c r="J9" s="222">
        <v>0</v>
      </c>
      <c r="K9" s="60"/>
      <c r="L9" s="85">
        <f>ROUNDUP(F9,0)</f>
        <v>11343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1076.25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4048.6036710199596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4">
        <f>F12+F11</f>
        <v>5124.8536710199596</v>
      </c>
      <c r="G13" s="60"/>
      <c r="H13" s="85">
        <f>ROUNDUP(F13*R$4,0)</f>
        <v>2697</v>
      </c>
      <c r="I13" s="60"/>
      <c r="J13" s="222">
        <f>ROUNDUP(F13*R$5,0)</f>
        <v>1636</v>
      </c>
      <c r="K13" s="60"/>
      <c r="L13" s="85">
        <f>ROUNDUP(F13*R$6,0)</f>
        <v>325</v>
      </c>
      <c r="M13" s="60"/>
      <c r="N13" s="85">
        <f>ROUNDUP(F13*R$7,0)</f>
        <v>469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4549.8900000000003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10484.364741216694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4">
        <f>F16+F15</f>
        <v>15034.254741216693</v>
      </c>
      <c r="G17" s="60"/>
      <c r="H17" s="85">
        <f>ROUNDUP(F17*R$4,0)</f>
        <v>7910</v>
      </c>
      <c r="I17" s="60"/>
      <c r="J17" s="222">
        <f>ROUNDUP(F17*R$5,0)</f>
        <v>4799</v>
      </c>
      <c r="K17" s="60"/>
      <c r="L17" s="85">
        <f>ROUNDUP(F17*R$6,0)</f>
        <v>952</v>
      </c>
      <c r="M17" s="60"/>
      <c r="N17" s="85">
        <f>ROUNDUP(F17*R$7,0)</f>
        <v>1375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2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66608.679597876646</v>
      </c>
      <c r="G19" s="60"/>
      <c r="H19" s="85">
        <f>ROUNDUP(F19*R$4,0)</f>
        <v>35042</v>
      </c>
      <c r="I19" s="60"/>
      <c r="J19" s="222">
        <f>ROUNDUP(F19*R$5,0)</f>
        <v>21262</v>
      </c>
      <c r="K19" s="60"/>
      <c r="L19" s="85">
        <f>ROUNDUP(F19*R$6,0)</f>
        <v>4218</v>
      </c>
      <c r="M19" s="60"/>
      <c r="N19" s="85">
        <f>ROUNDUP(F19*R$7,0)</f>
        <v>6088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2585.58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7076.8365794082547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4">
        <f>F22+F21</f>
        <v>9662.4165794082546</v>
      </c>
      <c r="G23" s="60"/>
      <c r="H23" s="85">
        <f>ROUNDUP(F23*R$4,0)</f>
        <v>5084</v>
      </c>
      <c r="I23" s="60"/>
      <c r="J23" s="222">
        <f>ROUNDUP(F23*R$5,0)</f>
        <v>3085</v>
      </c>
      <c r="K23" s="60"/>
      <c r="L23" s="85">
        <f>ROUNDUP(F23*R$6,0)</f>
        <v>612</v>
      </c>
      <c r="M23" s="60"/>
      <c r="N23" s="85">
        <f>ROUNDUP(F23*R$7,0)</f>
        <v>884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13619.12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2218.520447460759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4">
        <f>F26+F25</f>
        <v>15837.640447460759</v>
      </c>
      <c r="G27" s="60"/>
      <c r="H27" s="85">
        <f>ROUNDUP(F27*R$4,0)</f>
        <v>8332</v>
      </c>
      <c r="I27" s="60"/>
      <c r="J27" s="222">
        <f>ROUNDUP(F27*R$5,0)</f>
        <v>5056</v>
      </c>
      <c r="K27" s="60"/>
      <c r="L27" s="85">
        <f>ROUNDUP(F27*R$6,0)</f>
        <v>1003</v>
      </c>
      <c r="M27" s="60"/>
      <c r="N27" s="85">
        <f>ROUNDUP(F27*R$7,0)</f>
        <v>1448</v>
      </c>
    </row>
    <row r="28" spans="2:22" x14ac:dyDescent="0.25">
      <c r="B28" t="s">
        <v>25</v>
      </c>
      <c r="F28" s="85">
        <f>'Allocation Charges'!L13</f>
        <v>21922.203910539272</v>
      </c>
      <c r="G28" s="60"/>
      <c r="H28" s="85">
        <f>ROUNDUP(F28*R$4,0)</f>
        <v>11533</v>
      </c>
      <c r="I28" s="60"/>
      <c r="J28" s="222">
        <f>ROUNDUP(F28*R$5,0)</f>
        <v>6998</v>
      </c>
      <c r="K28" s="60"/>
      <c r="L28" s="85">
        <f>ROUNDUP(F28*R$6,0)</f>
        <v>1389</v>
      </c>
      <c r="M28" s="60"/>
      <c r="N28" s="85">
        <f>ROUNDUP(F28*R$7,0)</f>
        <v>2004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570.46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0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4">
        <f>+F31+F30</f>
        <v>570.46</v>
      </c>
      <c r="G32" s="60"/>
      <c r="H32" s="85">
        <f>ROUNDUP(F32*R$4,0)</f>
        <v>301</v>
      </c>
      <c r="I32" s="60"/>
      <c r="J32" s="222">
        <f>ROUNDUP(F32*R$5,0)</f>
        <v>183</v>
      </c>
      <c r="K32" s="60"/>
      <c r="L32" s="85">
        <f>ROUNDUP(F32*R$6,0)</f>
        <v>37</v>
      </c>
      <c r="M32" s="60"/>
      <c r="N32" s="85">
        <f>ROUNDUP(F32*R$7,0)</f>
        <v>53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24088.78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9668.112242594907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4">
        <f>F35+F34</f>
        <v>33756.892242594906</v>
      </c>
      <c r="G36" s="60"/>
      <c r="H36" s="85">
        <f>ROUNDUP(F36*R$4,0)</f>
        <v>17759</v>
      </c>
      <c r="I36" s="60"/>
      <c r="J36" s="222">
        <f>ROUNDUP(F36*R$5,0)</f>
        <v>10776</v>
      </c>
      <c r="K36" s="60"/>
      <c r="L36" s="85">
        <f>ROUNDUP(F36*R$6,0)</f>
        <v>2138</v>
      </c>
      <c r="M36" s="60"/>
      <c r="N36" s="85">
        <f>ROUNDUP(F36*R$7,0)</f>
        <v>3086</v>
      </c>
    </row>
    <row r="37" spans="1:17" x14ac:dyDescent="0.25">
      <c r="B37" t="s">
        <v>195</v>
      </c>
      <c r="F37" s="85">
        <f>'Allocation Charges'!L16</f>
        <v>2278.7600000000002</v>
      </c>
      <c r="G37" s="60"/>
      <c r="H37" s="85">
        <f>ROUNDUP(F37*R$4,0)</f>
        <v>1199</v>
      </c>
      <c r="I37" s="60"/>
      <c r="J37" s="222">
        <f>ROUNDUP(F37*R$5,0)</f>
        <v>728</v>
      </c>
      <c r="K37" s="60"/>
      <c r="L37" s="85">
        <f>ROUNDUP(F37*R$6,0)</f>
        <v>145</v>
      </c>
      <c r="M37" s="60"/>
      <c r="N37" s="85">
        <f>ROUNDUP(F37*R$7,0)</f>
        <v>209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2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2513.7798953017286</v>
      </c>
      <c r="G39" s="60"/>
      <c r="H39" s="85">
        <f>ROUNDUP(F39*R$4,0)</f>
        <v>1323</v>
      </c>
      <c r="I39" s="60"/>
      <c r="J39" s="222">
        <f>ROUNDUP(F39*R$5,0)</f>
        <v>803</v>
      </c>
      <c r="K39" s="60"/>
      <c r="L39" s="85">
        <f>ROUNDUP(F39*R$6,0)</f>
        <v>160</v>
      </c>
      <c r="M39" s="60"/>
      <c r="N39" s="85">
        <f>ROUNDUP(F39*R$7,0)</f>
        <v>230</v>
      </c>
    </row>
    <row r="40" spans="1:17" x14ac:dyDescent="0.25">
      <c r="B40" t="s">
        <v>30</v>
      </c>
      <c r="F40" s="85">
        <f>'Allocation Charges'!L19</f>
        <v>2412.8459225657316</v>
      </c>
      <c r="G40" s="60"/>
      <c r="H40" s="85">
        <f>ROUNDUP(F40*R$4,0)</f>
        <v>1270</v>
      </c>
      <c r="I40" s="60"/>
      <c r="J40" s="222">
        <f>ROUNDUP(F40*R$5,0)</f>
        <v>771</v>
      </c>
      <c r="K40" s="60"/>
      <c r="L40" s="85">
        <f>ROUNDUP(F40*R$6,0)</f>
        <v>153</v>
      </c>
      <c r="M40" s="60"/>
      <c r="N40" s="85">
        <f>ROUNDUP(F40*R$7,0)</f>
        <v>221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19">
        <f>F6+F7+F8+F9+F13+F17+F18+F19+F23+F27+F28+F32++F37+F38+F39+F40+F36</f>
        <v>307046.99700798397</v>
      </c>
      <c r="G42" s="60"/>
      <c r="H42" s="219">
        <f>SUM(H6:H41)</f>
        <v>155571</v>
      </c>
      <c r="I42" s="60"/>
      <c r="J42" s="219">
        <f>SUM(J6:J41)</f>
        <v>94396</v>
      </c>
      <c r="K42" s="60"/>
      <c r="L42" s="219">
        <f>SUM(L6:L41)</f>
        <v>30073</v>
      </c>
      <c r="M42" s="60"/>
      <c r="N42" s="219">
        <f>SUM(N6:N41)</f>
        <v>27033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99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100</v>
      </c>
      <c r="F46" s="85">
        <f>'Allocation Charges'!L27</f>
        <v>12280.300016212957</v>
      </c>
      <c r="G46" s="8"/>
      <c r="H46" s="85">
        <f t="shared" ref="H46:H51" si="0">ROUNDUP(F46*R$4,0)</f>
        <v>6461</v>
      </c>
      <c r="I46" s="8"/>
      <c r="J46" s="222">
        <f t="shared" ref="J46:J51" si="1">ROUNDUP(F46*R$5,0)</f>
        <v>3920</v>
      </c>
      <c r="K46" s="8"/>
      <c r="L46" s="85">
        <f t="shared" ref="L46:L51" si="2">ROUNDUP(F46*R$6,0)</f>
        <v>778</v>
      </c>
      <c r="M46" s="8"/>
      <c r="N46" s="85">
        <f t="shared" ref="N46:N51" si="3">ROUNDUP(F46*R$7,0)</f>
        <v>1123</v>
      </c>
    </row>
    <row r="47" spans="1:17" x14ac:dyDescent="0.25">
      <c r="B47" t="s">
        <v>101</v>
      </c>
      <c r="F47" s="85">
        <f>'Allocation Charges'!L28</f>
        <v>3809.8438069611948</v>
      </c>
      <c r="G47" s="8"/>
      <c r="H47" s="85">
        <f t="shared" si="0"/>
        <v>2005</v>
      </c>
      <c r="I47" s="8"/>
      <c r="J47" s="222">
        <f t="shared" si="1"/>
        <v>1217</v>
      </c>
      <c r="K47" s="8"/>
      <c r="L47" s="85">
        <f t="shared" si="2"/>
        <v>242</v>
      </c>
      <c r="M47" s="8"/>
      <c r="N47" s="85">
        <f t="shared" si="3"/>
        <v>349</v>
      </c>
    </row>
    <row r="48" spans="1:17" x14ac:dyDescent="0.25">
      <c r="B48" t="s">
        <v>102</v>
      </c>
      <c r="F48" s="85">
        <f>'Allocation Charges'!L29</f>
        <v>6068.4482788404703</v>
      </c>
      <c r="G48" s="8"/>
      <c r="H48" s="85">
        <f t="shared" si="0"/>
        <v>3193</v>
      </c>
      <c r="I48" s="8"/>
      <c r="J48" s="222">
        <f t="shared" si="1"/>
        <v>1938</v>
      </c>
      <c r="K48" s="8"/>
      <c r="L48" s="85">
        <f t="shared" si="2"/>
        <v>385</v>
      </c>
      <c r="M48" s="8"/>
      <c r="N48" s="85">
        <f t="shared" si="3"/>
        <v>555</v>
      </c>
    </row>
    <row r="49" spans="1:14" x14ac:dyDescent="0.25">
      <c r="B49" t="s">
        <v>103</v>
      </c>
      <c r="F49" s="85">
        <f>'Allocation Charges'!L30</f>
        <v>3688.502418972565</v>
      </c>
      <c r="G49" s="8"/>
      <c r="H49" s="85">
        <f t="shared" si="0"/>
        <v>1941</v>
      </c>
      <c r="I49" s="8"/>
      <c r="J49" s="222">
        <f t="shared" si="1"/>
        <v>1178</v>
      </c>
      <c r="K49" s="8"/>
      <c r="L49" s="85">
        <f t="shared" si="2"/>
        <v>234</v>
      </c>
      <c r="M49" s="8"/>
      <c r="N49" s="85">
        <f t="shared" si="3"/>
        <v>338</v>
      </c>
    </row>
    <row r="50" spans="1:14" x14ac:dyDescent="0.25">
      <c r="B50" t="s">
        <v>104</v>
      </c>
      <c r="F50" s="85">
        <f>'Allocation Charges'!L31</f>
        <v>3503.7325781716963</v>
      </c>
      <c r="G50" s="8"/>
      <c r="H50" s="85">
        <f t="shared" si="0"/>
        <v>1844</v>
      </c>
      <c r="I50" s="8"/>
      <c r="J50" s="222">
        <f t="shared" si="1"/>
        <v>1119</v>
      </c>
      <c r="K50" s="8"/>
      <c r="L50" s="85">
        <f t="shared" si="2"/>
        <v>222</v>
      </c>
      <c r="M50" s="8"/>
      <c r="N50" s="85">
        <f t="shared" si="3"/>
        <v>321</v>
      </c>
    </row>
    <row r="51" spans="1:14" x14ac:dyDescent="0.25">
      <c r="B51" t="s">
        <v>105</v>
      </c>
      <c r="F51" s="85">
        <f>'Allocation Charges'!L32</f>
        <v>11144.792822932992</v>
      </c>
      <c r="G51" s="8"/>
      <c r="H51" s="85">
        <f t="shared" si="0"/>
        <v>5864</v>
      </c>
      <c r="I51" s="8"/>
      <c r="J51" s="222">
        <f t="shared" si="1"/>
        <v>3558</v>
      </c>
      <c r="K51" s="8"/>
      <c r="L51" s="85">
        <f t="shared" si="2"/>
        <v>706</v>
      </c>
      <c r="M51" s="8"/>
      <c r="N51" s="85">
        <f t="shared" si="3"/>
        <v>1019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19">
        <f>SUM(F46:F51)</f>
        <v>40495.619922091879</v>
      </c>
      <c r="G53" s="8"/>
      <c r="H53" s="219">
        <f>SUM(H46:H51)</f>
        <v>21308</v>
      </c>
      <c r="I53" s="8"/>
      <c r="J53" s="220">
        <f>SUM(J46:J51)</f>
        <v>12930</v>
      </c>
      <c r="K53" s="8"/>
      <c r="L53" s="219">
        <f>SUM(L46:L51)</f>
        <v>2567</v>
      </c>
      <c r="M53" s="8"/>
      <c r="N53" s="219">
        <f>SUM(N46:N51)</f>
        <v>3705</v>
      </c>
    </row>
    <row r="54" spans="1:14" x14ac:dyDescent="0.25">
      <c r="F54" s="6"/>
      <c r="H54" s="6"/>
      <c r="J54" s="120"/>
    </row>
    <row r="55" spans="1:14" x14ac:dyDescent="0.25">
      <c r="A55" s="16" t="s">
        <v>83</v>
      </c>
      <c r="F55" s="20"/>
      <c r="G55" s="16"/>
      <c r="H55" s="20"/>
      <c r="I55" s="16"/>
      <c r="J55" s="221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1"/>
      <c r="K56" s="16"/>
      <c r="L56" s="20"/>
      <c r="M56" s="16"/>
      <c r="N56" s="20"/>
    </row>
    <row r="57" spans="1:14" x14ac:dyDescent="0.25">
      <c r="A57" s="16"/>
      <c r="B57" t="s">
        <v>106</v>
      </c>
      <c r="F57" s="85">
        <f>SUM(H57:N57)</f>
        <v>8060</v>
      </c>
      <c r="G57" s="8"/>
      <c r="H57" s="85">
        <v>0</v>
      </c>
      <c r="I57" s="8"/>
      <c r="J57" s="222">
        <f>ROUNDUP('Commodity OK'!F24+'Commodity OK'!F25+'Commodity OK'!F26,0)</f>
        <v>8060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107</v>
      </c>
      <c r="F58" s="85">
        <f>SUM(H58:N58)</f>
        <v>99449</v>
      </c>
      <c r="G58" s="120"/>
      <c r="H58" s="85">
        <f>ROUNDUP('Commodity OK'!Q6-H59,0)</f>
        <v>53406</v>
      </c>
      <c r="I58" s="120"/>
      <c r="J58" s="222">
        <f>ROUNDUP('Commodity OK'!Q8-J59-J57,0)</f>
        <v>19882</v>
      </c>
      <c r="K58" s="120"/>
      <c r="L58" s="222">
        <f>ROUNDUP('Commodity OK'!Q7-L59,0)</f>
        <v>6351</v>
      </c>
      <c r="M58" s="120"/>
      <c r="N58" s="222">
        <f>ROUNDUP('Commodity OK'!Q9-N59-N60,0)</f>
        <v>19810</v>
      </c>
    </row>
    <row r="59" spans="1:14" x14ac:dyDescent="0.25">
      <c r="A59" s="16"/>
      <c r="B59" t="s">
        <v>108</v>
      </c>
      <c r="F59" s="85">
        <f>SUM(H59:N59)</f>
        <v>9031</v>
      </c>
      <c r="G59" s="120"/>
      <c r="H59" s="85">
        <f>ROUNDUP(('Commodity OK'!F43-'Commodity OK'!F40)*'Commodity OK'!O6,0)</f>
        <v>4484</v>
      </c>
      <c r="I59" s="120"/>
      <c r="J59" s="222">
        <f>ROUNDUP(('Commodity OK'!F43-'Commodity OK'!F40)*'Commodity OK'!O8,0)</f>
        <v>2346</v>
      </c>
      <c r="K59" s="120"/>
      <c r="L59" s="222">
        <f>ROUNDUP(('Commodity OK'!F43-'Commodity OK'!F40)*'Commodity OK'!O7,0)</f>
        <v>534</v>
      </c>
      <c r="M59" s="120"/>
      <c r="N59" s="222">
        <f>ROUNDUP(('Commodity OK'!F43-'Commodity OK'!F40)*'Commodity OK'!O9,0)</f>
        <v>1667</v>
      </c>
    </row>
    <row r="60" spans="1:14" x14ac:dyDescent="0.25">
      <c r="A60" s="16"/>
      <c r="B60" t="s">
        <v>113</v>
      </c>
      <c r="F60" s="85">
        <f>SUM(H60:N60)</f>
        <v>41</v>
      </c>
      <c r="G60" s="120"/>
      <c r="H60" s="85">
        <v>0</v>
      </c>
      <c r="I60" s="120"/>
      <c r="J60" s="222">
        <v>0</v>
      </c>
      <c r="K60" s="120"/>
      <c r="L60" s="222">
        <v>0</v>
      </c>
      <c r="M60" s="120"/>
      <c r="N60" s="222">
        <f>ROUNDUP('Commodity OK'!F40,0)</f>
        <v>41</v>
      </c>
    </row>
    <row r="61" spans="1:14" x14ac:dyDescent="0.25">
      <c r="A61" s="16"/>
      <c r="F61" s="20"/>
      <c r="G61" s="23"/>
      <c r="H61" s="20"/>
      <c r="I61" s="23"/>
      <c r="J61" s="221"/>
      <c r="K61" s="23"/>
      <c r="L61" s="23"/>
      <c r="M61" s="23"/>
      <c r="N61" s="23"/>
    </row>
    <row r="62" spans="1:14" x14ac:dyDescent="0.25">
      <c r="A62" s="16"/>
      <c r="F62" s="219">
        <f>SUM(F57:F60)</f>
        <v>116581</v>
      </c>
      <c r="G62" s="221"/>
      <c r="H62" s="219">
        <f>SUM(H57:H60)</f>
        <v>57890</v>
      </c>
      <c r="I62" s="221"/>
      <c r="J62" s="219">
        <f>SUM(J57:J60)</f>
        <v>30288</v>
      </c>
      <c r="K62" s="221"/>
      <c r="L62" s="219">
        <f>SUM(L57:L60)</f>
        <v>6885</v>
      </c>
      <c r="M62" s="221"/>
      <c r="N62" s="220">
        <f>SUM(N57:N60)</f>
        <v>21518</v>
      </c>
    </row>
    <row r="63" spans="1:14" ht="7.5" customHeight="1" x14ac:dyDescent="0.25">
      <c r="A63" s="16"/>
      <c r="F63" s="20"/>
      <c r="G63" s="23"/>
      <c r="H63" s="20"/>
      <c r="I63" s="23"/>
      <c r="J63" s="221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3"/>
      <c r="G64" s="58"/>
      <c r="H64" s="223"/>
      <c r="I64" s="58"/>
      <c r="J64" s="225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56</v>
      </c>
      <c r="F66" s="219">
        <f>F53+F42+F62</f>
        <v>464123.61693007586</v>
      </c>
      <c r="G66" s="120"/>
      <c r="H66" s="219">
        <f>H53+H42+H62</f>
        <v>234769</v>
      </c>
      <c r="I66" s="120"/>
      <c r="J66" s="220">
        <f>J53+J42+J62</f>
        <v>137614</v>
      </c>
      <c r="K66" s="120"/>
      <c r="L66" s="220">
        <f>L53+L42+L62</f>
        <v>39525</v>
      </c>
      <c r="M66" s="120"/>
      <c r="N66" s="220">
        <f>N53+N42+N62</f>
        <v>52256</v>
      </c>
    </row>
    <row r="68" spans="4:14" x14ac:dyDescent="0.25">
      <c r="F68" s="6">
        <f>SUM(H66:N66)</f>
        <v>464164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9"/>
  <sheetViews>
    <sheetView topLeftCell="A9" zoomScaleNormal="100" workbookViewId="0">
      <selection activeCell="J48" sqref="J48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62</v>
      </c>
      <c r="F2" s="96" t="s">
        <v>274</v>
      </c>
      <c r="G2" s="97"/>
      <c r="H2" s="97" t="s">
        <v>275</v>
      </c>
      <c r="I2" s="99"/>
      <c r="J2" s="54"/>
    </row>
    <row r="3" spans="2:21" x14ac:dyDescent="0.25">
      <c r="M3" s="101" t="s">
        <v>276</v>
      </c>
    </row>
    <row r="4" spans="2:21" x14ac:dyDescent="0.25">
      <c r="C4" s="16" t="s">
        <v>71</v>
      </c>
      <c r="D4" s="26" t="s">
        <v>74</v>
      </c>
      <c r="E4" s="26"/>
      <c r="F4" s="29" t="s">
        <v>72</v>
      </c>
      <c r="G4" s="29"/>
      <c r="H4" s="29" t="s">
        <v>73</v>
      </c>
      <c r="I4" s="29"/>
      <c r="J4" s="19" t="s">
        <v>140</v>
      </c>
      <c r="K4" s="19" t="s">
        <v>77</v>
      </c>
      <c r="L4" s="19"/>
      <c r="M4" s="159" t="s">
        <v>277</v>
      </c>
      <c r="N4" s="19"/>
      <c r="O4" s="19" t="s">
        <v>78</v>
      </c>
      <c r="P4" s="19"/>
      <c r="Q4" s="19" t="s">
        <v>79</v>
      </c>
      <c r="R4" s="19"/>
      <c r="S4" s="176" t="s">
        <v>278</v>
      </c>
    </row>
    <row r="5" spans="2:21" x14ac:dyDescent="0.25">
      <c r="M5" s="19" t="s">
        <v>130</v>
      </c>
      <c r="S5" s="19" t="s">
        <v>130</v>
      </c>
    </row>
    <row r="6" spans="2:21" x14ac:dyDescent="0.25">
      <c r="C6" s="127" t="s">
        <v>264</v>
      </c>
      <c r="D6" s="88">
        <v>178</v>
      </c>
      <c r="E6" s="27"/>
      <c r="F6" s="214">
        <v>33.82</v>
      </c>
      <c r="H6" s="6">
        <f t="shared" ref="H6:H16" si="0">F6/D6</f>
        <v>0.19</v>
      </c>
      <c r="K6" t="s">
        <v>33</v>
      </c>
      <c r="M6" s="132">
        <v>193101</v>
      </c>
      <c r="O6" s="25">
        <f>+M6/$M$11</f>
        <v>0.49656827071188131</v>
      </c>
      <c r="Q6" s="6">
        <f>O6*F45</f>
        <v>57889.393897622605</v>
      </c>
      <c r="S6" s="132">
        <v>222969</v>
      </c>
      <c r="U6" s="110" t="s">
        <v>152</v>
      </c>
    </row>
    <row r="7" spans="2:21" x14ac:dyDescent="0.25">
      <c r="C7" s="127" t="s">
        <v>141</v>
      </c>
      <c r="D7" s="88">
        <f>4381+458</f>
        <v>4839</v>
      </c>
      <c r="E7" s="27"/>
      <c r="F7" s="214">
        <f>1676.6+1242.8</f>
        <v>2919.3999999999996</v>
      </c>
      <c r="H7" s="6">
        <f t="shared" si="0"/>
        <v>0.60330646827856993</v>
      </c>
      <c r="K7" t="s">
        <v>81</v>
      </c>
      <c r="M7" s="132">
        <v>22964</v>
      </c>
      <c r="O7" s="25">
        <f t="shared" ref="O7:O9" si="1">+M7/$M$11</f>
        <v>5.9053002152384723E-2</v>
      </c>
      <c r="Q7" s="6">
        <f>O7*F45</f>
        <v>6884.3353554098912</v>
      </c>
      <c r="S7" s="132">
        <v>11532</v>
      </c>
    </row>
    <row r="8" spans="2:21" x14ac:dyDescent="0.25">
      <c r="C8" s="127" t="s">
        <v>164</v>
      </c>
      <c r="D8" s="88">
        <f>565+686</f>
        <v>1251</v>
      </c>
      <c r="E8" s="27"/>
      <c r="F8" s="214">
        <f>558.39+1329.59</f>
        <v>1887.98</v>
      </c>
      <c r="H8" s="6">
        <f t="shared" si="0"/>
        <v>1.5091766586730615</v>
      </c>
      <c r="K8" t="s">
        <v>82</v>
      </c>
      <c r="M8" s="132">
        <v>101030</v>
      </c>
      <c r="O8" s="25">
        <f t="shared" si="1"/>
        <v>0.25980337952688681</v>
      </c>
      <c r="Q8" s="6">
        <f>O8*F45</f>
        <v>30287.598021122685</v>
      </c>
      <c r="S8" s="132">
        <v>238388</v>
      </c>
    </row>
    <row r="9" spans="2:21" x14ac:dyDescent="0.25">
      <c r="C9" s="127" t="s">
        <v>63</v>
      </c>
      <c r="D9" s="88">
        <v>10668</v>
      </c>
      <c r="E9" s="27"/>
      <c r="F9" s="214">
        <v>20269.87</v>
      </c>
      <c r="H9" s="6">
        <f t="shared" si="0"/>
        <v>1.9000628046494188</v>
      </c>
      <c r="K9" t="s">
        <v>109</v>
      </c>
      <c r="M9" s="132">
        <v>71776</v>
      </c>
      <c r="O9" s="25">
        <f t="shared" si="1"/>
        <v>0.18457534760884714</v>
      </c>
      <c r="Q9" s="6">
        <f>O9*F45</f>
        <v>21517.595125844815</v>
      </c>
      <c r="S9" s="132">
        <v>99414</v>
      </c>
    </row>
    <row r="10" spans="2:21" x14ac:dyDescent="0.25">
      <c r="C10" s="127" t="s">
        <v>64</v>
      </c>
      <c r="D10" s="88">
        <v>1751.98</v>
      </c>
      <c r="E10" s="27"/>
      <c r="F10" s="214">
        <v>1779.78</v>
      </c>
      <c r="H10" s="6">
        <f t="shared" si="0"/>
        <v>1.0158677610475004</v>
      </c>
    </row>
    <row r="11" spans="2:21" x14ac:dyDescent="0.25">
      <c r="C11" s="127" t="s">
        <v>65</v>
      </c>
      <c r="D11" s="88">
        <v>37</v>
      </c>
      <c r="E11" s="27"/>
      <c r="F11" s="214">
        <v>558.67999999999995</v>
      </c>
      <c r="H11" s="6">
        <f t="shared" si="0"/>
        <v>15.099459459459458</v>
      </c>
      <c r="M11" s="28">
        <f>SUM(M6:M10)</f>
        <v>388871</v>
      </c>
      <c r="N11" s="32"/>
      <c r="O11" s="33">
        <f>SUM(O6:O9)</f>
        <v>1</v>
      </c>
      <c r="P11" s="32"/>
      <c r="Q11" s="30">
        <f>SUM(Q6:Q9)</f>
        <v>116578.92240000001</v>
      </c>
      <c r="R11" s="32"/>
      <c r="S11" s="28">
        <f>SUM(S6:S10)</f>
        <v>572303</v>
      </c>
    </row>
    <row r="12" spans="2:21" x14ac:dyDescent="0.25">
      <c r="C12" s="127" t="s">
        <v>66</v>
      </c>
      <c r="D12" s="88">
        <v>64</v>
      </c>
      <c r="E12" s="27"/>
      <c r="F12" s="214">
        <v>172.19</v>
      </c>
      <c r="H12" s="6">
        <f t="shared" si="0"/>
        <v>2.69046875</v>
      </c>
      <c r="K12" s="217"/>
    </row>
    <row r="13" spans="2:21" x14ac:dyDescent="0.25">
      <c r="C13" s="127" t="s">
        <v>67</v>
      </c>
      <c r="D13" s="88">
        <v>14</v>
      </c>
      <c r="E13" s="27"/>
      <c r="F13" s="214">
        <v>146.26</v>
      </c>
      <c r="H13" s="6">
        <f t="shared" si="0"/>
        <v>10.447142857142856</v>
      </c>
      <c r="M13" t="s">
        <v>197</v>
      </c>
      <c r="Q13" s="6"/>
    </row>
    <row r="14" spans="2:21" x14ac:dyDescent="0.25">
      <c r="C14" s="127" t="s">
        <v>68</v>
      </c>
      <c r="D14" s="88">
        <v>534</v>
      </c>
      <c r="E14" s="27"/>
      <c r="F14" s="214">
        <v>516.12</v>
      </c>
      <c r="H14" s="6">
        <f t="shared" si="0"/>
        <v>0.96651685393258424</v>
      </c>
      <c r="O14" t="s">
        <v>206</v>
      </c>
    </row>
    <row r="15" spans="2:21" x14ac:dyDescent="0.25">
      <c r="C15" s="127" t="s">
        <v>69</v>
      </c>
      <c r="D15" s="88">
        <v>2391</v>
      </c>
      <c r="E15" s="27"/>
      <c r="F15" s="214">
        <v>2252.83</v>
      </c>
      <c r="H15" s="6">
        <f t="shared" si="0"/>
        <v>0.94221246340443321</v>
      </c>
      <c r="O15" s="7" t="s">
        <v>202</v>
      </c>
      <c r="Q15" s="134">
        <v>102024.75</v>
      </c>
      <c r="S15" t="s">
        <v>213</v>
      </c>
    </row>
    <row r="16" spans="2:21" x14ac:dyDescent="0.25">
      <c r="C16" s="127" t="s">
        <v>70</v>
      </c>
      <c r="D16" s="88">
        <v>216</v>
      </c>
      <c r="E16" s="27"/>
      <c r="F16" s="214">
        <v>574.41999999999996</v>
      </c>
      <c r="H16" s="6">
        <f t="shared" si="0"/>
        <v>2.6593518518518517</v>
      </c>
      <c r="O16" s="7" t="s">
        <v>204</v>
      </c>
      <c r="Q16" s="102">
        <v>6183.16</v>
      </c>
      <c r="S16" t="s">
        <v>213</v>
      </c>
    </row>
    <row r="17" spans="3:24" x14ac:dyDescent="0.25">
      <c r="C17" s="127" t="s">
        <v>175</v>
      </c>
      <c r="D17" s="88">
        <v>85</v>
      </c>
      <c r="E17" s="27"/>
      <c r="F17" s="214">
        <f>494.7+2.11</f>
        <v>496.81</v>
      </c>
      <c r="H17" s="6">
        <f>F17/D17</f>
        <v>5.844823529411765</v>
      </c>
      <c r="J17" s="6"/>
      <c r="O17" s="7" t="s">
        <v>205</v>
      </c>
      <c r="Q17" s="102">
        <v>3965.22</v>
      </c>
      <c r="S17" t="s">
        <v>213</v>
      </c>
    </row>
    <row r="18" spans="3:24" ht="15.75" thickBot="1" x14ac:dyDescent="0.3">
      <c r="C18" s="16" t="s">
        <v>162</v>
      </c>
      <c r="D18" s="28">
        <f>SUM(D6:D17)</f>
        <v>22028.98</v>
      </c>
      <c r="E18" s="31"/>
      <c r="F18" s="30">
        <f>SUM(F6:F17)</f>
        <v>31608.159999999993</v>
      </c>
      <c r="G18" s="20"/>
      <c r="H18" s="6">
        <f>F18/D18</f>
        <v>1.4348444639742737</v>
      </c>
      <c r="I18" s="20"/>
      <c r="J18" s="6"/>
      <c r="M18" s="6"/>
      <c r="O18" s="6" t="s">
        <v>145</v>
      </c>
      <c r="Q18" s="104">
        <f>SUM(Q15:Q17)</f>
        <v>112173.13</v>
      </c>
      <c r="S18" t="s">
        <v>214</v>
      </c>
    </row>
    <row r="19" spans="3:24" ht="15.75" thickTop="1" x14ac:dyDescent="0.25">
      <c r="K19" s="6"/>
      <c r="M19" s="6"/>
      <c r="O19" s="6" t="s">
        <v>203</v>
      </c>
      <c r="Q19" s="6">
        <f>+F42</f>
        <v>4405.7960000000003</v>
      </c>
      <c r="S19" t="s">
        <v>214</v>
      </c>
      <c r="W19" s="6"/>
    </row>
    <row r="20" spans="3:24" x14ac:dyDescent="0.25">
      <c r="O20" s="6" t="s">
        <v>50</v>
      </c>
      <c r="Q20" s="173">
        <f>+Q18+Q19</f>
        <v>116578.92600000001</v>
      </c>
      <c r="S20" t="s">
        <v>214</v>
      </c>
    </row>
    <row r="21" spans="3:24" x14ac:dyDescent="0.25">
      <c r="C21" s="16" t="s">
        <v>76</v>
      </c>
      <c r="D21" s="26" t="s">
        <v>74</v>
      </c>
      <c r="E21" s="26"/>
      <c r="F21" s="29" t="s">
        <v>72</v>
      </c>
      <c r="G21" s="29"/>
      <c r="H21" s="29" t="s">
        <v>73</v>
      </c>
      <c r="I21" s="29"/>
      <c r="Q21" s="6">
        <f>+Q20-Q11</f>
        <v>3.599999996367842E-3</v>
      </c>
      <c r="S21" t="s">
        <v>214</v>
      </c>
    </row>
    <row r="22" spans="3:24" x14ac:dyDescent="0.25">
      <c r="Q22" s="6"/>
      <c r="X22" s="6"/>
    </row>
    <row r="23" spans="3:24" x14ac:dyDescent="0.25">
      <c r="C23" s="127" t="s">
        <v>207</v>
      </c>
      <c r="D23" s="88">
        <v>178</v>
      </c>
      <c r="F23" s="214">
        <v>568.44000000000005</v>
      </c>
      <c r="H23" s="6">
        <f t="shared" ref="H23:H26" si="2">F23/D23</f>
        <v>3.193483146067416</v>
      </c>
      <c r="Q23" s="6"/>
    </row>
    <row r="24" spans="3:24" x14ac:dyDescent="0.25">
      <c r="C24" t="s">
        <v>160</v>
      </c>
      <c r="D24" s="88"/>
      <c r="F24" s="63"/>
      <c r="H24" t="e">
        <f>F24/D24</f>
        <v>#DIV/0!</v>
      </c>
      <c r="J24" t="s">
        <v>139</v>
      </c>
      <c r="Q24" s="6"/>
    </row>
    <row r="25" spans="3:24" x14ac:dyDescent="0.25">
      <c r="C25" t="s">
        <v>273</v>
      </c>
      <c r="D25" s="88">
        <v>4482</v>
      </c>
      <c r="F25" s="63">
        <v>8059.15</v>
      </c>
      <c r="H25" s="6">
        <f t="shared" si="2"/>
        <v>1.7981146809460062</v>
      </c>
      <c r="Q25" s="6"/>
    </row>
    <row r="26" spans="3:24" x14ac:dyDescent="0.25">
      <c r="C26" t="s">
        <v>238</v>
      </c>
      <c r="D26" s="88"/>
      <c r="F26" s="63"/>
      <c r="H26" s="6" t="e">
        <f t="shared" si="2"/>
        <v>#DIV/0!</v>
      </c>
      <c r="J26" t="s">
        <v>138</v>
      </c>
      <c r="S26" s="6"/>
    </row>
    <row r="27" spans="3:24" x14ac:dyDescent="0.25">
      <c r="C27" s="127" t="s">
        <v>260</v>
      </c>
      <c r="D27" s="88">
        <v>11634</v>
      </c>
      <c r="F27" s="214">
        <v>22918.98</v>
      </c>
      <c r="H27" s="6">
        <f>F29/D29</f>
        <v>9.9100000000000008E-2</v>
      </c>
      <c r="S27" s="6"/>
    </row>
    <row r="28" spans="3:24" x14ac:dyDescent="0.25">
      <c r="C28" s="127" t="s">
        <v>258</v>
      </c>
      <c r="D28" s="88">
        <v>7660</v>
      </c>
      <c r="F28" s="214">
        <v>14560.4</v>
      </c>
      <c r="H28" s="6">
        <f>F28/D28</f>
        <v>1.9008355091383811</v>
      </c>
      <c r="S28" s="6"/>
    </row>
    <row r="29" spans="3:24" x14ac:dyDescent="0.25">
      <c r="C29" s="127" t="s">
        <v>259</v>
      </c>
      <c r="D29" s="88">
        <v>6000</v>
      </c>
      <c r="F29" s="214">
        <v>594.6</v>
      </c>
      <c r="H29" s="6">
        <f>F30/D30</f>
        <v>2.0788984040482679</v>
      </c>
      <c r="S29" s="6"/>
    </row>
    <row r="30" spans="3:24" x14ac:dyDescent="0.25">
      <c r="C30" s="127" t="s">
        <v>174</v>
      </c>
      <c r="D30" s="88">
        <v>2569</v>
      </c>
      <c r="F30" s="214">
        <v>5340.69</v>
      </c>
      <c r="H30" s="6">
        <f>F27/D27</f>
        <v>1.97</v>
      </c>
      <c r="O30" s="6"/>
      <c r="Q30" s="6"/>
    </row>
    <row r="31" spans="3:24" x14ac:dyDescent="0.25">
      <c r="C31" s="127" t="s">
        <v>263</v>
      </c>
      <c r="D31" s="88">
        <f>8+7</f>
        <v>15</v>
      </c>
      <c r="F31" s="214">
        <f>50.07+51.45</f>
        <v>101.52000000000001</v>
      </c>
      <c r="H31" s="6">
        <f>F31/D31</f>
        <v>6.7680000000000007</v>
      </c>
    </row>
    <row r="32" spans="3:24" x14ac:dyDescent="0.25">
      <c r="C32" s="127" t="s">
        <v>247</v>
      </c>
      <c r="D32" s="88"/>
      <c r="F32" s="214"/>
      <c r="H32" s="6" t="e">
        <f>F32/D32</f>
        <v>#DIV/0!</v>
      </c>
    </row>
    <row r="33" spans="3:22" x14ac:dyDescent="0.25">
      <c r="C33" s="127" t="s">
        <v>110</v>
      </c>
      <c r="D33" s="88">
        <v>4059</v>
      </c>
      <c r="F33" s="214">
        <v>17575.47</v>
      </c>
      <c r="H33" s="6">
        <f t="shared" ref="H33:H35" si="3">F33/D33</f>
        <v>4.33</v>
      </c>
    </row>
    <row r="34" spans="3:22" x14ac:dyDescent="0.25">
      <c r="C34" s="127" t="s">
        <v>246</v>
      </c>
      <c r="D34" s="88"/>
      <c r="F34" s="214"/>
      <c r="H34" s="6" t="e">
        <f t="shared" si="3"/>
        <v>#DIV/0!</v>
      </c>
    </row>
    <row r="35" spans="3:22" x14ac:dyDescent="0.25">
      <c r="C35" t="s">
        <v>190</v>
      </c>
      <c r="D35" s="88"/>
      <c r="F35" s="214">
        <v>6183.16</v>
      </c>
      <c r="H35" s="6" t="e">
        <f t="shared" si="3"/>
        <v>#DIV/0!</v>
      </c>
      <c r="J35" s="6"/>
    </row>
    <row r="36" spans="3:22" x14ac:dyDescent="0.25">
      <c r="D36" s="28">
        <f>SUM(D23:D35)</f>
        <v>36597</v>
      </c>
      <c r="E36" s="16"/>
      <c r="F36" s="89">
        <f>SUM(F23:F35)</f>
        <v>75902.41</v>
      </c>
      <c r="H36" s="6">
        <f>F36/D36</f>
        <v>2.0740063393174304</v>
      </c>
      <c r="J36" s="6"/>
      <c r="K36" s="74" t="s">
        <v>131</v>
      </c>
      <c r="O36" s="55"/>
      <c r="Q36" s="55"/>
    </row>
    <row r="37" spans="3:22" x14ac:dyDescent="0.25">
      <c r="K37" s="74" t="s">
        <v>132</v>
      </c>
    </row>
    <row r="38" spans="3:22" x14ac:dyDescent="0.25">
      <c r="K38" s="74" t="s">
        <v>133</v>
      </c>
    </row>
    <row r="39" spans="3:22" x14ac:dyDescent="0.25">
      <c r="C39" t="s">
        <v>134</v>
      </c>
      <c r="F39" s="214">
        <v>657</v>
      </c>
      <c r="J39" t="s">
        <v>234</v>
      </c>
      <c r="K39" s="74" t="s">
        <v>136</v>
      </c>
    </row>
    <row r="40" spans="3:22" ht="15.75" thickBot="1" x14ac:dyDescent="0.3">
      <c r="C40" t="s">
        <v>111</v>
      </c>
      <c r="F40" s="214">
        <v>40.340000000000003</v>
      </c>
      <c r="Q40" s="6"/>
      <c r="S40" s="6"/>
    </row>
    <row r="41" spans="3:22" ht="15.75" thickBot="1" x14ac:dyDescent="0.3">
      <c r="C41" t="s">
        <v>75</v>
      </c>
      <c r="F41" s="109">
        <f>+D18*0.18</f>
        <v>3965.2163999999998</v>
      </c>
      <c r="J41" s="76" t="s">
        <v>192</v>
      </c>
      <c r="K41" s="74"/>
      <c r="S41" s="54"/>
    </row>
    <row r="42" spans="3:22" ht="15.75" thickBot="1" x14ac:dyDescent="0.3">
      <c r="C42" t="s">
        <v>135</v>
      </c>
      <c r="F42" s="6">
        <f>D18*0.2</f>
        <v>4405.7960000000003</v>
      </c>
      <c r="J42" s="76" t="s">
        <v>194</v>
      </c>
    </row>
    <row r="43" spans="3:22" x14ac:dyDescent="0.25">
      <c r="F43" s="30">
        <f>SUM(F39:F42)</f>
        <v>9068.3523999999998</v>
      </c>
      <c r="J43" s="162" t="s">
        <v>162</v>
      </c>
      <c r="K43" s="165" t="s">
        <v>193</v>
      </c>
      <c r="L43" s="163"/>
      <c r="M43" s="164" t="s">
        <v>50</v>
      </c>
    </row>
    <row r="44" spans="3:22" ht="15.75" thickBot="1" x14ac:dyDescent="0.3">
      <c r="C44" s="102">
        <f>102024.75+6183.16</f>
        <v>108207.91</v>
      </c>
      <c r="D44" s="117" t="s">
        <v>215</v>
      </c>
      <c r="J44" s="160">
        <f>+D18</f>
        <v>22028.98</v>
      </c>
      <c r="K44" s="147">
        <v>0.18</v>
      </c>
      <c r="L44" s="147"/>
      <c r="M44" s="161">
        <f>+J44*K44</f>
        <v>3965.2163999999998</v>
      </c>
      <c r="S44" s="54"/>
      <c r="T44" s="54"/>
      <c r="U44" s="54"/>
      <c r="V44" s="169"/>
    </row>
    <row r="45" spans="3:22" x14ac:dyDescent="0.25">
      <c r="C45" s="6">
        <f>+F18+F36+F39+F40</f>
        <v>108207.90999999999</v>
      </c>
      <c r="D45" s="15" t="s">
        <v>39</v>
      </c>
      <c r="E45" s="16"/>
      <c r="F45" s="173">
        <f>F18+F36+F43</f>
        <v>116578.9224</v>
      </c>
    </row>
    <row r="46" spans="3:22" x14ac:dyDescent="0.25">
      <c r="C46" s="6">
        <f>+C45-C44</f>
        <v>0</v>
      </c>
      <c r="F46" s="99">
        <f>F45-F42-F41</f>
        <v>108207.90999999999</v>
      </c>
      <c r="H46" s="177">
        <f>F46-F35</f>
        <v>102024.74999999999</v>
      </c>
      <c r="I46" s="177"/>
      <c r="J46" s="178" t="s">
        <v>208</v>
      </c>
    </row>
    <row r="47" spans="3:22" x14ac:dyDescent="0.25">
      <c r="F47"/>
      <c r="G47"/>
    </row>
    <row r="48" spans="3:22" x14ac:dyDescent="0.25">
      <c r="D48" s="168"/>
      <c r="E48" s="54"/>
      <c r="F48" s="54"/>
      <c r="G48" s="169">
        <v>44280</v>
      </c>
    </row>
    <row r="49" spans="6:7" x14ac:dyDescent="0.25">
      <c r="F49"/>
      <c r="G49"/>
    </row>
    <row r="50" spans="6:7" x14ac:dyDescent="0.25">
      <c r="F50"/>
      <c r="G50"/>
    </row>
    <row r="67" spans="19:19" x14ac:dyDescent="0.25">
      <c r="S67" s="102"/>
    </row>
    <row r="68" spans="19:19" x14ac:dyDescent="0.25">
      <c r="S68" s="102"/>
    </row>
    <row r="69" spans="19:19" x14ac:dyDescent="0.25">
      <c r="S69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topLeftCell="A12" zoomScaleNormal="100" workbookViewId="0">
      <selection activeCell="I45" sqref="I45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244</v>
      </c>
      <c r="F1" s="6" t="str">
        <f>+'Commodity OK'!H2</f>
        <v>Data Input May 24 billing =May invoices = Apr Flow  data= Apr Sales Volume</v>
      </c>
    </row>
    <row r="3" spans="1:16" x14ac:dyDescent="0.25">
      <c r="A3" s="16" t="s">
        <v>98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10748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507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221.95</v>
      </c>
      <c r="G11" s="6"/>
      <c r="J11" s="1"/>
    </row>
    <row r="12" spans="1:16" x14ac:dyDescent="0.25">
      <c r="C12" t="s">
        <v>38</v>
      </c>
      <c r="F12" s="6">
        <f>'Allocation Charges'!J7</f>
        <v>539.63943685297875</v>
      </c>
      <c r="G12" s="6"/>
      <c r="J12" s="1"/>
    </row>
    <row r="13" spans="1:16" x14ac:dyDescent="0.25">
      <c r="D13" s="7" t="s">
        <v>39</v>
      </c>
      <c r="E13" s="36"/>
      <c r="F13" s="224">
        <f>ROUNDUP(F12+F11,0)</f>
        <v>762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1398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8879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575.13</v>
      </c>
      <c r="G19" s="6"/>
    </row>
    <row r="20" spans="2:7" x14ac:dyDescent="0.25">
      <c r="C20" t="s">
        <v>38</v>
      </c>
      <c r="F20" s="6">
        <f>'Allocation Charges'!J11</f>
        <v>943.27338923010223</v>
      </c>
      <c r="G20" s="6"/>
    </row>
    <row r="21" spans="2:7" x14ac:dyDescent="0.25">
      <c r="D21" s="7" t="s">
        <v>39</v>
      </c>
      <c r="E21" s="36"/>
      <c r="F21" s="224">
        <f>ROUNDUP(F20+F19,0)</f>
        <v>1519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206.43</v>
      </c>
      <c r="G23" s="6"/>
    </row>
    <row r="24" spans="2:7" x14ac:dyDescent="0.25">
      <c r="C24" t="s">
        <v>38</v>
      </c>
      <c r="F24" s="6">
        <f>'Allocation Charges'!J12</f>
        <v>295.70716775369937</v>
      </c>
      <c r="G24" s="6"/>
    </row>
    <row r="25" spans="2:7" x14ac:dyDescent="0.25">
      <c r="D25" s="7" t="s">
        <v>39</v>
      </c>
      <c r="E25" s="36"/>
      <c r="F25" s="224">
        <f>ROUNDUP(F24+F23,0)</f>
        <v>503</v>
      </c>
      <c r="G25" s="6"/>
    </row>
    <row r="26" spans="2:7" x14ac:dyDescent="0.25">
      <c r="B26" t="s">
        <v>25</v>
      </c>
      <c r="F26" s="85">
        <f>ROUNDUP('Allocation Charges'!J13,0)</f>
        <v>2923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0</v>
      </c>
      <c r="G29" s="6"/>
    </row>
    <row r="30" spans="2:7" x14ac:dyDescent="0.25">
      <c r="D30" s="7" t="s">
        <v>39</v>
      </c>
      <c r="E30" s="36"/>
      <c r="F30" s="224">
        <f>ROUNDUP(F29+F28,0)</f>
        <v>0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283.64999999999998</v>
      </c>
      <c r="G32" s="6"/>
    </row>
    <row r="33" spans="1:7" x14ac:dyDescent="0.25">
      <c r="C33" t="s">
        <v>38</v>
      </c>
      <c r="F33" s="6">
        <f>'Allocation Charges'!J15</f>
        <v>1288.6651966876566</v>
      </c>
      <c r="G33" s="6"/>
    </row>
    <row r="34" spans="1:7" x14ac:dyDescent="0.25">
      <c r="D34" s="7" t="s">
        <v>39</v>
      </c>
      <c r="E34" s="36"/>
      <c r="F34" s="224">
        <f>ROUNDUP(F33+F32,0)</f>
        <v>1573</v>
      </c>
      <c r="G34" s="6"/>
    </row>
    <row r="35" spans="1:7" x14ac:dyDescent="0.25">
      <c r="B35" t="s">
        <v>195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336</v>
      </c>
      <c r="G37" s="6"/>
    </row>
    <row r="38" spans="1:7" x14ac:dyDescent="0.25">
      <c r="B38" t="s">
        <v>30</v>
      </c>
      <c r="F38" s="85">
        <f>ROUNDUP('Allocation Charges'!J19,0)</f>
        <v>322</v>
      </c>
      <c r="G38" s="6"/>
    </row>
    <row r="39" spans="1:7" x14ac:dyDescent="0.25">
      <c r="F39" s="6"/>
      <c r="G39" s="6"/>
    </row>
    <row r="40" spans="1:7" x14ac:dyDescent="0.25">
      <c r="F40" s="219">
        <f>F6+F7+F8+F9+F13+F15+F16+F17+F21+F25+F26+F30+F34+F35+F36+F37+F38</f>
        <v>29470</v>
      </c>
      <c r="G40" s="6"/>
    </row>
    <row r="41" spans="1:7" x14ac:dyDescent="0.25">
      <c r="A41" s="16" t="s">
        <v>99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271</v>
      </c>
      <c r="G43" s="6"/>
    </row>
    <row r="44" spans="1:7" x14ac:dyDescent="0.25">
      <c r="B44" t="s">
        <v>46</v>
      </c>
      <c r="F44" s="85">
        <f>ROUNDUP('Allocation Charges'!J27,0)</f>
        <v>1637</v>
      </c>
      <c r="G44" s="6"/>
    </row>
    <row r="45" spans="1:7" x14ac:dyDescent="0.25">
      <c r="B45" t="s">
        <v>32</v>
      </c>
      <c r="F45" s="85">
        <f>ROUNDUP('Allocation Charges'!J28,0)</f>
        <v>508</v>
      </c>
      <c r="G45" s="6"/>
    </row>
    <row r="46" spans="1:7" x14ac:dyDescent="0.25">
      <c r="B46" t="s">
        <v>47</v>
      </c>
      <c r="F46" s="85">
        <f>ROUNDUP('Allocation Charges'!J29,0)</f>
        <v>809</v>
      </c>
      <c r="G46" s="6"/>
    </row>
    <row r="47" spans="1:7" x14ac:dyDescent="0.25">
      <c r="B47" t="s">
        <v>48</v>
      </c>
      <c r="F47" s="85">
        <f>ROUNDUP('Allocation Charges'!J30,0)</f>
        <v>492</v>
      </c>
      <c r="G47" s="6"/>
    </row>
    <row r="48" spans="1:7" x14ac:dyDescent="0.25">
      <c r="B48" t="s">
        <v>41</v>
      </c>
      <c r="F48" s="85">
        <f>ROUNDUP('Allocation Charges'!J31,0)</f>
        <v>468</v>
      </c>
      <c r="G48" s="6"/>
    </row>
    <row r="49" spans="1:8" x14ac:dyDescent="0.25">
      <c r="B49" t="s">
        <v>31</v>
      </c>
      <c r="F49" s="85">
        <f>ROUNDUP('Allocation Charges'!J32,0)</f>
        <v>1486</v>
      </c>
      <c r="G49" s="6"/>
    </row>
    <row r="50" spans="1:8" x14ac:dyDescent="0.25">
      <c r="F50" s="6"/>
    </row>
    <row r="51" spans="1:8" x14ac:dyDescent="0.25">
      <c r="F51" s="219">
        <f>SUM(F44:F49)</f>
        <v>5400</v>
      </c>
    </row>
    <row r="52" spans="1:8" x14ac:dyDescent="0.25">
      <c r="A52" s="16" t="s">
        <v>83</v>
      </c>
      <c r="F52" s="6"/>
      <c r="H52" t="s">
        <v>74</v>
      </c>
    </row>
    <row r="53" spans="1:8" x14ac:dyDescent="0.25">
      <c r="A53" s="16"/>
      <c r="B53" t="s">
        <v>240</v>
      </c>
      <c r="F53" s="6">
        <f>ROUNDUP('Commodity TN KY'!I20,0)</f>
        <v>2691</v>
      </c>
      <c r="H53" s="106">
        <f>'Commodity TN KY'!E15*'Commodity TN KY'!G20</f>
        <v>743.13180620608898</v>
      </c>
    </row>
    <row r="54" spans="1:8" x14ac:dyDescent="0.25">
      <c r="A54" s="16"/>
      <c r="B54" t="s">
        <v>241</v>
      </c>
      <c r="F54" s="6">
        <f>ROUNDUP('Commodity TN KY'!I27,0)</f>
        <v>3135</v>
      </c>
      <c r="H54" s="106">
        <f>+'Commodity TN KY'!E27</f>
        <v>1551.9</v>
      </c>
    </row>
    <row r="55" spans="1:8" x14ac:dyDescent="0.25">
      <c r="A55" s="16"/>
      <c r="B55" t="s">
        <v>242</v>
      </c>
      <c r="F55" s="6">
        <f>ROUNDUP('Commodity TN KY'!I28,0)</f>
        <v>507</v>
      </c>
      <c r="H55" s="106">
        <f>+'Commodity TN KY'!E28</f>
        <v>411</v>
      </c>
    </row>
    <row r="56" spans="1:8" x14ac:dyDescent="0.25">
      <c r="F56" s="218">
        <f>SUM(F53:F55)</f>
        <v>6333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1"/>
      <c r="G58" s="35"/>
    </row>
    <row r="59" spans="1:8" x14ac:dyDescent="0.25">
      <c r="F59" s="6"/>
    </row>
    <row r="60" spans="1:8" x14ac:dyDescent="0.25">
      <c r="D60" s="15" t="s">
        <v>56</v>
      </c>
      <c r="F60" s="219">
        <f>F40+F51+F56</f>
        <v>41203</v>
      </c>
    </row>
  </sheetData>
  <pageMargins left="0.7" right="0.7" top="0.75" bottom="0.75" header="0.3" footer="0.3"/>
  <pageSetup scale="76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zoomScaleNormal="100" workbookViewId="0">
      <selection activeCell="P50" sqref="P50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245</v>
      </c>
      <c r="F1" s="6" t="str">
        <f>+'Commodity OK'!H2</f>
        <v>Data Input May 24 billing =May invoices = Apr Flow  data= Apr Sales Volume</v>
      </c>
    </row>
    <row r="3" spans="1:11" x14ac:dyDescent="0.25">
      <c r="A3" s="16" t="s">
        <v>98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15042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17077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958.79</v>
      </c>
      <c r="G11" s="6"/>
      <c r="J11" s="1"/>
    </row>
    <row r="12" spans="1:11" x14ac:dyDescent="0.25">
      <c r="C12" t="s">
        <v>38</v>
      </c>
      <c r="F12" s="60">
        <f>'Allocation Charges'!H7</f>
        <v>1155.6696972550349</v>
      </c>
      <c r="G12" s="6"/>
      <c r="J12" s="1"/>
    </row>
    <row r="13" spans="1:11" x14ac:dyDescent="0.25">
      <c r="D13" s="7" t="s">
        <v>39</v>
      </c>
      <c r="F13" s="86">
        <f>ROUNDUP(F11+F12,0)</f>
        <v>2115</v>
      </c>
      <c r="G13" s="6"/>
      <c r="J13" s="1"/>
    </row>
    <row r="14" spans="1:11" x14ac:dyDescent="0.25">
      <c r="B14" t="s">
        <v>15</v>
      </c>
      <c r="F14" s="83">
        <f>ROUNDUP('Allocation Charges'!H8,0)</f>
        <v>2993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19014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31.91</v>
      </c>
      <c r="G18" s="6"/>
    </row>
    <row r="19" spans="2:7" x14ac:dyDescent="0.25">
      <c r="C19" t="s">
        <v>38</v>
      </c>
      <c r="F19" s="60">
        <f>'Allocation Charges'!H11</f>
        <v>2020.0756240453882</v>
      </c>
      <c r="G19" s="6"/>
    </row>
    <row r="20" spans="2:7" x14ac:dyDescent="0.25">
      <c r="D20" s="7" t="s">
        <v>39</v>
      </c>
      <c r="F20" s="86">
        <f>ROUNDUP(F18+F19,0)</f>
        <v>2052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1708</v>
      </c>
      <c r="G22" s="6"/>
    </row>
    <row r="23" spans="2:7" x14ac:dyDescent="0.25">
      <c r="C23" t="s">
        <v>38</v>
      </c>
      <c r="F23" s="60">
        <f>'Allocation Charges'!H12</f>
        <v>633.27434893748568</v>
      </c>
      <c r="G23" s="6"/>
    </row>
    <row r="24" spans="2:7" x14ac:dyDescent="0.25">
      <c r="D24" s="7" t="s">
        <v>39</v>
      </c>
      <c r="F24" s="86">
        <f>ROUNDUP(F22+F23,0)</f>
        <v>2342</v>
      </c>
      <c r="G24" s="6"/>
    </row>
    <row r="25" spans="2:7" x14ac:dyDescent="0.25">
      <c r="B25" t="s">
        <v>25</v>
      </c>
      <c r="F25" s="83">
        <f>ROUNDUP('Allocation Charges'!H13,0)</f>
        <v>6258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150.5</v>
      </c>
      <c r="G27" s="6"/>
    </row>
    <row r="28" spans="2:7" x14ac:dyDescent="0.25">
      <c r="C28" t="s">
        <v>38</v>
      </c>
      <c r="F28" s="60">
        <f>'Allocation Charges'!H14</f>
        <v>0</v>
      </c>
      <c r="G28" s="6"/>
    </row>
    <row r="29" spans="2:7" x14ac:dyDescent="0.25">
      <c r="D29" s="7" t="s">
        <v>39</v>
      </c>
      <c r="F29" s="86">
        <f>ROUNDUP(F27+F28,0)</f>
        <v>151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2319.09</v>
      </c>
      <c r="G31" s="6"/>
    </row>
    <row r="32" spans="2:7" x14ac:dyDescent="0.25">
      <c r="C32" t="s">
        <v>38</v>
      </c>
      <c r="F32" s="60">
        <f>'Allocation Charges'!H15</f>
        <v>2759.7525607174375</v>
      </c>
      <c r="G32" s="6"/>
    </row>
    <row r="33" spans="1:10" x14ac:dyDescent="0.25">
      <c r="D33" s="7" t="s">
        <v>39</v>
      </c>
      <c r="F33" s="86">
        <f>ROUNDUP(F31+F32,0)</f>
        <v>5079</v>
      </c>
      <c r="G33" s="6"/>
    </row>
    <row r="34" spans="1:10" x14ac:dyDescent="0.25">
      <c r="B34" t="s">
        <v>195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718</v>
      </c>
      <c r="G36" s="6"/>
    </row>
    <row r="37" spans="1:10" x14ac:dyDescent="0.25">
      <c r="B37" t="s">
        <v>30</v>
      </c>
      <c r="F37" s="83">
        <f>ROUNDUP('Allocation Charges'!H19,0)</f>
        <v>689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73530</v>
      </c>
      <c r="G39" s="6"/>
    </row>
    <row r="40" spans="1:10" x14ac:dyDescent="0.25">
      <c r="F40" s="6"/>
      <c r="G40" s="6"/>
    </row>
    <row r="41" spans="1:10" x14ac:dyDescent="0.25">
      <c r="A41" s="16" t="s">
        <v>99</v>
      </c>
      <c r="F41" s="124" t="s">
        <v>270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115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3506</v>
      </c>
      <c r="G44" s="6"/>
    </row>
    <row r="45" spans="1:10" x14ac:dyDescent="0.25">
      <c r="B45" t="s">
        <v>32</v>
      </c>
      <c r="F45" s="79">
        <f>ROUNDUP('Allocation Charges'!H28,0)</f>
        <v>1088</v>
      </c>
      <c r="G45" s="6"/>
    </row>
    <row r="46" spans="1:10" x14ac:dyDescent="0.25">
      <c r="B46" t="s">
        <v>47</v>
      </c>
      <c r="F46" s="79">
        <f>ROUNDUP('Allocation Charges'!H29,0)</f>
        <v>1733</v>
      </c>
      <c r="G46" s="6"/>
    </row>
    <row r="47" spans="1:10" x14ac:dyDescent="0.25">
      <c r="B47" t="s">
        <v>48</v>
      </c>
      <c r="F47" s="79">
        <f>ROUNDUP('Allocation Charges'!H30,0)</f>
        <v>1053</v>
      </c>
      <c r="G47" s="6"/>
      <c r="J47" s="8"/>
    </row>
    <row r="48" spans="1:10" x14ac:dyDescent="0.25">
      <c r="B48" t="s">
        <v>41</v>
      </c>
      <c r="F48" s="79">
        <f>ROUNDUP('Allocation Charges'!H31,0)</f>
        <v>1001</v>
      </c>
      <c r="G48" s="6"/>
      <c r="J48" s="8"/>
    </row>
    <row r="49" spans="1:10" x14ac:dyDescent="0.25">
      <c r="B49" t="s">
        <v>31</v>
      </c>
      <c r="F49" s="79">
        <f>ROUNDUP('Allocation Charges'!H32,0)</f>
        <v>3182</v>
      </c>
      <c r="J49" s="8"/>
    </row>
    <row r="50" spans="1:10" x14ac:dyDescent="0.25">
      <c r="F50" s="8"/>
    </row>
    <row r="51" spans="1:10" x14ac:dyDescent="0.25">
      <c r="F51" s="84">
        <f>SUM(F43:F49)</f>
        <v>11563</v>
      </c>
      <c r="I51" s="23"/>
      <c r="J51" s="23"/>
    </row>
    <row r="52" spans="1:10" x14ac:dyDescent="0.25">
      <c r="H52" t="s">
        <v>162</v>
      </c>
    </row>
    <row r="53" spans="1:10" x14ac:dyDescent="0.25">
      <c r="A53" s="16" t="s">
        <v>83</v>
      </c>
      <c r="F53" s="218">
        <f>ROUNDUP('Commodity TN KY'!I19,0)</f>
        <v>28917</v>
      </c>
      <c r="H53" s="114">
        <f>'Commodity TN KY'!E15*'Commodity TN KY'!G19</f>
        <v>7987.8681937939118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56</v>
      </c>
      <c r="F57" s="219">
        <f>F39+F51+F53</f>
        <v>114010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topLeftCell="A19" zoomScaleNormal="100" workbookViewId="0">
      <selection activeCell="I14" sqref="I14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2405 file =</v>
      </c>
      <c r="J1" s="99"/>
      <c r="K1" s="100" t="str">
        <f>+'Commodity OK'!H2</f>
        <v>Data Input May 24 billing =May invoices = Apr Flow  data= Apr Sales Volume</v>
      </c>
    </row>
    <row r="2" spans="1:18" x14ac:dyDescent="0.25">
      <c r="B2" s="16" t="s">
        <v>84</v>
      </c>
      <c r="G2" s="75"/>
      <c r="I2" t="s">
        <v>137</v>
      </c>
    </row>
    <row r="4" spans="1:18" x14ac:dyDescent="0.25">
      <c r="B4" t="s">
        <v>87</v>
      </c>
    </row>
    <row r="5" spans="1:18" x14ac:dyDescent="0.25">
      <c r="A5" s="48"/>
      <c r="B5" s="48"/>
      <c r="C5" s="48"/>
      <c r="D5" s="48"/>
      <c r="E5" s="47" t="s">
        <v>85</v>
      </c>
      <c r="F5" s="48"/>
      <c r="G5" s="47" t="s">
        <v>86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191</v>
      </c>
      <c r="D6" s="48"/>
      <c r="E6" s="90" t="s">
        <v>212</v>
      </c>
      <c r="F6" s="48"/>
      <c r="G6" s="156"/>
      <c r="H6" s="49"/>
      <c r="I6" s="174">
        <v>3700</v>
      </c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154</v>
      </c>
      <c r="D7" s="48"/>
      <c r="E7" s="90">
        <v>1143</v>
      </c>
      <c r="F7" s="51"/>
      <c r="G7" s="49">
        <f t="shared" ref="G7:G14" si="0">I7/E7</f>
        <v>1.6446369203849518</v>
      </c>
      <c r="H7" s="49"/>
      <c r="I7" s="174">
        <v>1879.82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142</v>
      </c>
      <c r="D8" s="153"/>
      <c r="E8" s="90">
        <f>922+1143</f>
        <v>2065</v>
      </c>
      <c r="F8" s="48"/>
      <c r="G8" s="49">
        <f>I8/E8</f>
        <v>4.2590799031476996</v>
      </c>
      <c r="H8" s="49"/>
      <c r="I8" s="174">
        <f>3697.22+5097.78</f>
        <v>8795</v>
      </c>
      <c r="J8" s="153"/>
      <c r="K8" s="48"/>
      <c r="L8" s="48"/>
      <c r="N8" s="25"/>
      <c r="R8" s="27"/>
    </row>
    <row r="9" spans="1:18" x14ac:dyDescent="0.25">
      <c r="A9" s="48"/>
      <c r="B9" s="48"/>
      <c r="C9" s="48" t="s">
        <v>189</v>
      </c>
      <c r="D9" s="48"/>
      <c r="E9" s="90">
        <v>2369</v>
      </c>
      <c r="F9" s="48"/>
      <c r="G9" s="49">
        <f t="shared" si="0"/>
        <v>2.7172013507809205</v>
      </c>
      <c r="H9" s="49"/>
      <c r="I9" s="174">
        <v>6437.05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201</v>
      </c>
      <c r="D10" s="48"/>
      <c r="E10" s="90" t="s">
        <v>138</v>
      </c>
      <c r="F10" s="48"/>
      <c r="G10" s="49" t="e">
        <f t="shared" si="0"/>
        <v>#VALUE!</v>
      </c>
      <c r="H10" s="49"/>
      <c r="I10" s="174">
        <v>1086.44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243</v>
      </c>
      <c r="D11" s="48"/>
      <c r="E11" s="90"/>
      <c r="F11" s="48"/>
      <c r="G11" s="49" t="e">
        <f t="shared" si="0"/>
        <v>#DIV/0!</v>
      </c>
      <c r="H11" s="49"/>
      <c r="I11" s="174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216</v>
      </c>
      <c r="D12" s="48"/>
      <c r="E12" s="90">
        <f>418+151</f>
        <v>569</v>
      </c>
      <c r="F12" s="48"/>
      <c r="G12" s="49">
        <f>I12/E12</f>
        <v>3.7507732864674868</v>
      </c>
      <c r="H12" s="49"/>
      <c r="I12" s="174">
        <f>1440.14+694.05</f>
        <v>2134.19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184</v>
      </c>
      <c r="D13" s="48"/>
      <c r="E13" s="90">
        <v>2585</v>
      </c>
      <c r="F13" s="48"/>
      <c r="G13" s="49">
        <f>I13/E13</f>
        <v>2.93</v>
      </c>
      <c r="H13" s="49"/>
      <c r="I13" s="174">
        <v>7574.05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218</v>
      </c>
      <c r="D14" s="48"/>
      <c r="E14" s="90"/>
      <c r="F14" s="48"/>
      <c r="G14" s="49" t="e">
        <f t="shared" si="0"/>
        <v>#DIV/0!</v>
      </c>
      <c r="H14" s="49"/>
      <c r="I14" s="174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8731</v>
      </c>
      <c r="F15" s="48"/>
      <c r="G15" s="42">
        <f>I15/(E8+E13)</f>
        <v>6.7971075268817192</v>
      </c>
      <c r="H15" s="49"/>
      <c r="I15" s="175">
        <f>SUM(I6:I14)</f>
        <v>31606.549999999996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77</v>
      </c>
      <c r="D17" s="40"/>
      <c r="E17" s="40" t="s">
        <v>181</v>
      </c>
      <c r="F17" s="48"/>
      <c r="G17" s="40" t="s">
        <v>78</v>
      </c>
      <c r="H17" s="48"/>
      <c r="I17" s="40" t="s">
        <v>79</v>
      </c>
      <c r="J17" s="48"/>
      <c r="K17" s="40" t="s">
        <v>80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88</v>
      </c>
      <c r="D19" s="48"/>
      <c r="E19" s="92">
        <f>20788+16343+11728+1145</f>
        <v>50004</v>
      </c>
      <c r="F19" s="48"/>
      <c r="G19" s="45">
        <f>E19/E22</f>
        <v>0.91488583138173307</v>
      </c>
      <c r="H19" s="48"/>
      <c r="I19" s="167">
        <f>I15*G19</f>
        <v>28916.38477385831</v>
      </c>
      <c r="J19" s="48"/>
      <c r="K19" s="92">
        <f>21993+19485+14884+12714</f>
        <v>69076</v>
      </c>
      <c r="L19" s="48"/>
      <c r="P19" t="s">
        <v>196</v>
      </c>
    </row>
    <row r="20" spans="1:25" x14ac:dyDescent="0.25">
      <c r="A20" s="48"/>
      <c r="B20" s="48"/>
      <c r="C20" s="41" t="s">
        <v>89</v>
      </c>
      <c r="D20" s="41"/>
      <c r="E20" s="92">
        <f>1320+1222+2110</f>
        <v>4652</v>
      </c>
      <c r="F20" s="41"/>
      <c r="G20" s="45">
        <f>E20/E22</f>
        <v>8.5114168618266983E-2</v>
      </c>
      <c r="H20" s="41"/>
      <c r="I20" s="166">
        <f>I15*G20</f>
        <v>2690.1652261416862</v>
      </c>
      <c r="J20" s="41"/>
      <c r="K20" s="92">
        <f>2010+2052+5165</f>
        <v>9227</v>
      </c>
      <c r="L20" s="48"/>
      <c r="P20" t="s">
        <v>209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90</v>
      </c>
      <c r="D22" s="48"/>
      <c r="E22" s="38">
        <f>SUM(E19:E20)</f>
        <v>54656</v>
      </c>
      <c r="F22" s="48"/>
      <c r="G22" s="45">
        <f>SUM(G19:G20)</f>
        <v>1</v>
      </c>
      <c r="H22" s="48"/>
      <c r="I22" s="154">
        <f>SUM(I19:I20)</f>
        <v>31606.549999999996</v>
      </c>
      <c r="J22" s="48"/>
      <c r="K22" s="38">
        <f>SUM(K19:K20)</f>
        <v>78303</v>
      </c>
      <c r="L22" s="48"/>
      <c r="V22" s="62"/>
      <c r="X22" s="27"/>
    </row>
    <row r="23" spans="1:25" x14ac:dyDescent="0.25">
      <c r="C23" s="217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85</v>
      </c>
      <c r="F26" s="48"/>
      <c r="G26" s="47" t="s">
        <v>86</v>
      </c>
      <c r="H26" s="48"/>
      <c r="I26" s="47" t="s">
        <v>50</v>
      </c>
      <c r="J26" s="48"/>
      <c r="K26" s="48"/>
      <c r="L26" s="48"/>
      <c r="P26" s="234" t="s">
        <v>188</v>
      </c>
      <c r="V26" s="67"/>
    </row>
    <row r="27" spans="1:25" x14ac:dyDescent="0.25">
      <c r="A27" s="48"/>
      <c r="B27" s="48"/>
      <c r="C27" s="48" t="s">
        <v>182</v>
      </c>
      <c r="D27" s="48"/>
      <c r="E27" s="93">
        <v>1551.9</v>
      </c>
      <c r="F27" s="51"/>
      <c r="G27" s="49">
        <f>I27/E27</f>
        <v>2.0199432953154197</v>
      </c>
      <c r="H27" s="48"/>
      <c r="I27" s="157">
        <v>3134.75</v>
      </c>
      <c r="J27" s="48"/>
      <c r="K27" s="48"/>
      <c r="L27" s="48"/>
      <c r="P27" s="8">
        <f>I35+I20</f>
        <v>6331.4652261416868</v>
      </c>
      <c r="V27" s="27"/>
    </row>
    <row r="28" spans="1:25" x14ac:dyDescent="0.25">
      <c r="A28" s="48"/>
      <c r="B28" s="48"/>
      <c r="C28" s="48" t="s">
        <v>183</v>
      </c>
      <c r="D28" s="48"/>
      <c r="E28" s="90">
        <v>411</v>
      </c>
      <c r="F28" s="48"/>
      <c r="G28" s="49">
        <f>I28/E28</f>
        <v>1.2324817518248175</v>
      </c>
      <c r="H28" s="49"/>
      <c r="I28" s="158">
        <v>506.55</v>
      </c>
      <c r="J28" s="48"/>
      <c r="K28" s="48"/>
      <c r="L28" s="48"/>
      <c r="P28" s="134">
        <f>+E20+E33</f>
        <v>20676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0">
        <f>SUM(I27:I28)</f>
        <v>3641.3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77</v>
      </c>
      <c r="D31" s="40"/>
      <c r="E31" s="40" t="s">
        <v>181</v>
      </c>
      <c r="F31" s="48"/>
      <c r="G31" s="40" t="s">
        <v>78</v>
      </c>
      <c r="H31" s="48"/>
      <c r="I31" s="40" t="s">
        <v>79</v>
      </c>
      <c r="J31" s="48"/>
      <c r="K31" s="40" t="s">
        <v>80</v>
      </c>
      <c r="L31" s="48"/>
      <c r="V31" s="27"/>
      <c r="W31" s="27"/>
      <c r="Y31" s="67"/>
    </row>
    <row r="33" spans="1:25" x14ac:dyDescent="0.25">
      <c r="A33" s="48"/>
      <c r="B33" s="48"/>
      <c r="C33" s="48" t="s">
        <v>92</v>
      </c>
      <c r="D33" s="48"/>
      <c r="E33" s="238">
        <f>9051+5633+1340</f>
        <v>16024</v>
      </c>
      <c r="F33" s="48"/>
      <c r="G33" s="45">
        <f>E33/E35</f>
        <v>1</v>
      </c>
      <c r="H33" s="48"/>
      <c r="I33" s="49">
        <f>+I27+I28</f>
        <v>3641.3</v>
      </c>
      <c r="J33" s="48"/>
      <c r="K33" s="238">
        <f>14008+6777+2014</f>
        <v>22799</v>
      </c>
      <c r="L33" s="48"/>
      <c r="P33" t="s">
        <v>209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90</v>
      </c>
      <c r="D35" s="48"/>
      <c r="E35" s="38">
        <f>E33</f>
        <v>16024</v>
      </c>
      <c r="F35" s="48"/>
      <c r="G35" s="45">
        <f>G33</f>
        <v>1</v>
      </c>
      <c r="H35" s="48"/>
      <c r="I35" s="154">
        <f>I33</f>
        <v>3641.3</v>
      </c>
      <c r="J35" s="48"/>
      <c r="K35" s="38">
        <f>K33</f>
        <v>22799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1" t="s">
        <v>169</v>
      </c>
      <c r="H38" s="182"/>
      <c r="I38" s="183">
        <f>+I19</f>
        <v>28916.38477385831</v>
      </c>
      <c r="J38" s="184"/>
    </row>
    <row r="39" spans="1:25" x14ac:dyDescent="0.25">
      <c r="G39" s="185" t="s">
        <v>168</v>
      </c>
      <c r="I39" s="233">
        <f>+I20+I29</f>
        <v>6331.4652261416868</v>
      </c>
      <c r="J39" s="186"/>
      <c r="P39" s="6"/>
    </row>
    <row r="40" spans="1:25" ht="15.75" thickBot="1" x14ac:dyDescent="0.3">
      <c r="G40" s="185"/>
      <c r="I40" s="105">
        <f>SUM(I38:I39)</f>
        <v>35247.85</v>
      </c>
      <c r="J40" s="186"/>
    </row>
    <row r="41" spans="1:25" ht="15.75" thickTop="1" x14ac:dyDescent="0.25">
      <c r="G41" s="185"/>
      <c r="I41" s="55"/>
      <c r="J41" s="186"/>
    </row>
    <row r="42" spans="1:25" x14ac:dyDescent="0.25">
      <c r="G42" s="212" t="s">
        <v>217</v>
      </c>
      <c r="I42" s="55"/>
      <c r="J42" s="186"/>
    </row>
    <row r="43" spans="1:25" x14ac:dyDescent="0.25">
      <c r="D43" s="16"/>
      <c r="E43" s="20"/>
      <c r="G43" s="185" t="s">
        <v>199</v>
      </c>
      <c r="I43" s="187">
        <v>12436.3</v>
      </c>
      <c r="J43" s="186"/>
    </row>
    <row r="44" spans="1:25" x14ac:dyDescent="0.25">
      <c r="G44" s="185" t="s">
        <v>200</v>
      </c>
      <c r="I44" s="187">
        <v>22811.55</v>
      </c>
      <c r="J44" s="186"/>
    </row>
    <row r="45" spans="1:25" x14ac:dyDescent="0.25">
      <c r="G45" s="185" t="s">
        <v>198</v>
      </c>
      <c r="I45" s="187">
        <f>+I43+I44</f>
        <v>35247.85</v>
      </c>
      <c r="J45" s="186"/>
    </row>
    <row r="46" spans="1:25" x14ac:dyDescent="0.25">
      <c r="G46" s="185"/>
      <c r="J46" s="186"/>
    </row>
    <row r="47" spans="1:25" ht="15.75" thickBot="1" x14ac:dyDescent="0.3">
      <c r="G47" s="188" t="s">
        <v>211</v>
      </c>
      <c r="H47" s="189"/>
      <c r="I47" s="190">
        <f>I40-I45</f>
        <v>0</v>
      </c>
      <c r="J47" s="191"/>
    </row>
  </sheetData>
  <pageMargins left="0.7" right="0.7" top="0.75" bottom="0.75" header="0.3" footer="0.3"/>
  <pageSetup scale="44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61"/>
  <sheetViews>
    <sheetView zoomScaleNormal="100" workbookViewId="0">
      <selection activeCell="J24" sqref="J24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  <col min="18" max="19" width="9.5703125" bestFit="1" customWidth="1"/>
  </cols>
  <sheetData>
    <row r="1" spans="1:21" x14ac:dyDescent="0.25">
      <c r="A1" s="16" t="s">
        <v>128</v>
      </c>
    </row>
    <row r="2" spans="1:21" x14ac:dyDescent="0.25">
      <c r="H2" s="16" t="s">
        <v>129</v>
      </c>
      <c r="J2" s="6"/>
      <c r="L2" s="107" t="str">
        <f>+'Commodity OK'!F2</f>
        <v>2405 file =</v>
      </c>
      <c r="M2" s="54"/>
      <c r="N2" s="97" t="str">
        <f>+'Commodity OK'!H2</f>
        <v>Data Input May 24 billing =May invoices = Apr Flow  data= Apr Sales Volume</v>
      </c>
    </row>
    <row r="3" spans="1:21" x14ac:dyDescent="0.25">
      <c r="A3" s="16" t="s">
        <v>98</v>
      </c>
      <c r="J3" s="6"/>
      <c r="L3" s="6"/>
    </row>
    <row r="4" spans="1:21" x14ac:dyDescent="0.25">
      <c r="F4" s="216" t="s">
        <v>8</v>
      </c>
      <c r="J4" s="6"/>
      <c r="L4" s="6"/>
    </row>
    <row r="5" spans="1:21" x14ac:dyDescent="0.25">
      <c r="H5" s="48"/>
      <c r="I5" s="48"/>
      <c r="J5" s="47" t="s">
        <v>85</v>
      </c>
      <c r="L5" s="47" t="s">
        <v>86</v>
      </c>
      <c r="N5" s="47" t="s">
        <v>50</v>
      </c>
      <c r="P5" s="133"/>
    </row>
    <row r="6" spans="1:21" x14ac:dyDescent="0.25">
      <c r="B6" t="s">
        <v>0</v>
      </c>
      <c r="F6" s="226">
        <f>ROUNDUP('Direct Charges'!N9,0)</f>
        <v>370</v>
      </c>
      <c r="I6" s="68" t="s">
        <v>150</v>
      </c>
      <c r="J6" s="90">
        <v>895</v>
      </c>
      <c r="L6" s="49">
        <f t="shared" ref="L6:L11" si="0">N6/J6</f>
        <v>1.0483687150837988</v>
      </c>
      <c r="N6" s="91">
        <v>938.29</v>
      </c>
      <c r="P6" s="48"/>
    </row>
    <row r="7" spans="1:21" x14ac:dyDescent="0.25">
      <c r="B7" t="s">
        <v>4</v>
      </c>
      <c r="F7" s="226">
        <f>ROUNDUP('Direct Charges'!N15,0)</f>
        <v>434</v>
      </c>
      <c r="I7" s="68" t="s">
        <v>151</v>
      </c>
      <c r="J7" s="90">
        <v>-4</v>
      </c>
      <c r="L7" s="49">
        <f t="shared" si="0"/>
        <v>-1.6975</v>
      </c>
      <c r="N7" s="91">
        <v>6.79</v>
      </c>
    </row>
    <row r="8" spans="1:21" x14ac:dyDescent="0.25">
      <c r="B8" t="s">
        <v>13</v>
      </c>
      <c r="F8" s="226">
        <f>ROUNDUP('Allocation Charges'!N6,0)</f>
        <v>0</v>
      </c>
      <c r="I8" s="68" t="s">
        <v>146</v>
      </c>
      <c r="J8" s="90">
        <v>900</v>
      </c>
      <c r="L8" s="49">
        <f t="shared" si="0"/>
        <v>4.1500000000000004</v>
      </c>
      <c r="N8" s="91">
        <v>3735</v>
      </c>
      <c r="P8" s="48"/>
    </row>
    <row r="9" spans="1:21" x14ac:dyDescent="0.25">
      <c r="B9" t="s">
        <v>14</v>
      </c>
      <c r="F9" s="226">
        <v>0</v>
      </c>
      <c r="I9" s="68" t="s">
        <v>257</v>
      </c>
      <c r="J9" s="90">
        <v>18000</v>
      </c>
      <c r="L9" s="49">
        <f>N9/J9</f>
        <v>2.48075</v>
      </c>
      <c r="N9" s="91">
        <v>44653.5</v>
      </c>
      <c r="P9" s="48"/>
    </row>
    <row r="10" spans="1:21" x14ac:dyDescent="0.25">
      <c r="B10" t="s">
        <v>17</v>
      </c>
      <c r="F10" s="134"/>
      <c r="I10" s="68" t="s">
        <v>149</v>
      </c>
      <c r="J10" s="90">
        <v>18000</v>
      </c>
      <c r="L10" s="49">
        <f>N10/J10</f>
        <v>0.24</v>
      </c>
      <c r="N10" s="91">
        <v>4320</v>
      </c>
      <c r="P10" s="171" t="s">
        <v>267</v>
      </c>
      <c r="Q10" s="172"/>
      <c r="R10" s="172"/>
      <c r="S10" s="172"/>
      <c r="T10" s="172"/>
      <c r="U10" s="172"/>
    </row>
    <row r="11" spans="1:21" x14ac:dyDescent="0.25">
      <c r="C11" t="s">
        <v>37</v>
      </c>
      <c r="F11" s="226">
        <f>'Direct Charges'!N27</f>
        <v>0</v>
      </c>
      <c r="G11" s="6"/>
      <c r="I11" s="68" t="s">
        <v>147</v>
      </c>
      <c r="J11" s="108">
        <f>SUM(J6:J10)</f>
        <v>37791</v>
      </c>
      <c r="L11" s="72">
        <f t="shared" si="0"/>
        <v>1.4197449128099284</v>
      </c>
      <c r="N11" s="213">
        <f>SUM(N6:N10)</f>
        <v>53653.58</v>
      </c>
      <c r="P11" s="48"/>
    </row>
    <row r="12" spans="1:21" x14ac:dyDescent="0.25">
      <c r="C12" t="s">
        <v>38</v>
      </c>
      <c r="F12" s="226">
        <f>'Allocation Charges'!N7</f>
        <v>128.3971948720274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27">
        <f>ROUNDUP(F11+F12,0)</f>
        <v>129</v>
      </c>
      <c r="G13" s="6"/>
    </row>
    <row r="14" spans="1:21" x14ac:dyDescent="0.25">
      <c r="D14" s="7"/>
      <c r="F14" s="102"/>
      <c r="G14" s="6"/>
      <c r="I14" s="69" t="s">
        <v>77</v>
      </c>
      <c r="J14" s="40" t="s">
        <v>181</v>
      </c>
      <c r="K14" s="6"/>
      <c r="L14" s="40" t="s">
        <v>78</v>
      </c>
      <c r="M14" s="6"/>
      <c r="N14" s="40" t="s">
        <v>79</v>
      </c>
      <c r="O14" s="6"/>
      <c r="P14" s="40" t="s">
        <v>80</v>
      </c>
    </row>
    <row r="15" spans="1:21" x14ac:dyDescent="0.25">
      <c r="B15" t="s">
        <v>15</v>
      </c>
      <c r="F15" s="226">
        <f>ROUNDUP('Allocation Charges'!N8,0)</f>
        <v>333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26">
        <f>ROUNDUP('Allocation Charges'!N9,0)</f>
        <v>0</v>
      </c>
      <c r="G16" s="6"/>
      <c r="I16" s="68" t="s">
        <v>148</v>
      </c>
      <c r="J16" s="92">
        <v>254290</v>
      </c>
      <c r="K16" s="6"/>
      <c r="L16" s="45">
        <v>1</v>
      </c>
      <c r="M16" s="6"/>
      <c r="N16" s="49">
        <f>L16*N11</f>
        <v>53653.58</v>
      </c>
      <c r="O16" s="6"/>
      <c r="P16" s="92">
        <v>309142</v>
      </c>
    </row>
    <row r="17" spans="2:18" x14ac:dyDescent="0.25">
      <c r="B17" t="s">
        <v>19</v>
      </c>
      <c r="F17" s="226">
        <f>ROUNDUP('Allocation Charges'!N10,0)</f>
        <v>2113</v>
      </c>
      <c r="G17" s="6"/>
      <c r="H17" s="48"/>
    </row>
    <row r="18" spans="2:18" x14ac:dyDescent="0.25">
      <c r="B18" t="s">
        <v>20</v>
      </c>
      <c r="F18" s="102"/>
      <c r="G18" s="6"/>
      <c r="H18" s="48"/>
      <c r="I18" t="s">
        <v>90</v>
      </c>
      <c r="J18" s="70">
        <f>J16</f>
        <v>254290</v>
      </c>
      <c r="N18" s="71">
        <f>N16</f>
        <v>53653.58</v>
      </c>
      <c r="P18" s="70">
        <f>P16</f>
        <v>309142</v>
      </c>
    </row>
    <row r="19" spans="2:18" ht="15.75" thickBot="1" x14ac:dyDescent="0.3">
      <c r="C19" t="s">
        <v>37</v>
      </c>
      <c r="F19" s="134">
        <f>'Direct Charges'!N38</f>
        <v>0</v>
      </c>
      <c r="G19" s="6"/>
      <c r="H19" s="48"/>
      <c r="I19" s="48"/>
      <c r="J19" s="217"/>
      <c r="K19" s="6"/>
      <c r="L19" s="45"/>
      <c r="M19" s="6"/>
      <c r="N19" s="49"/>
      <c r="O19" s="6"/>
      <c r="P19" s="38"/>
    </row>
    <row r="20" spans="2:18" ht="15.75" thickBot="1" x14ac:dyDescent="0.3">
      <c r="C20" t="s">
        <v>38</v>
      </c>
      <c r="F20" s="134">
        <f>'Allocation Charges'!N11</f>
        <v>224.43440731625367</v>
      </c>
      <c r="G20" s="6"/>
      <c r="I20" t="s">
        <v>75</v>
      </c>
      <c r="L20" s="109">
        <f>+J10*0.18</f>
        <v>3240</v>
      </c>
      <c r="M20" s="6"/>
      <c r="O20" s="6"/>
      <c r="P20" s="76" t="s">
        <v>192</v>
      </c>
      <c r="Q20" s="74"/>
    </row>
    <row r="21" spans="2:18" ht="15.75" thickBot="1" x14ac:dyDescent="0.3">
      <c r="D21" s="7" t="s">
        <v>39</v>
      </c>
      <c r="F21" s="227">
        <f>ROUNDUP(F19+F20,0)</f>
        <v>225</v>
      </c>
      <c r="G21" s="6"/>
      <c r="I21" t="s">
        <v>135</v>
      </c>
      <c r="L21" s="6">
        <f>J10*0.2</f>
        <v>3600</v>
      </c>
      <c r="M21" s="6"/>
      <c r="O21" s="6"/>
      <c r="P21" s="76" t="s">
        <v>194</v>
      </c>
    </row>
    <row r="22" spans="2:18" x14ac:dyDescent="0.25">
      <c r="B22" t="s">
        <v>21</v>
      </c>
      <c r="F22" s="102"/>
      <c r="G22" s="6"/>
      <c r="L22" s="30">
        <f>SUM(L18:L21)</f>
        <v>6840</v>
      </c>
      <c r="M22" s="6"/>
      <c r="O22" s="6"/>
      <c r="P22" s="162" t="s">
        <v>162</v>
      </c>
      <c r="Q22" s="165" t="s">
        <v>193</v>
      </c>
      <c r="R22" s="164" t="s">
        <v>50</v>
      </c>
    </row>
    <row r="23" spans="2:18" ht="15.75" thickBot="1" x14ac:dyDescent="0.3">
      <c r="C23" t="s">
        <v>37</v>
      </c>
      <c r="F23" s="134">
        <f>'Direct Charges'!N44</f>
        <v>245.83</v>
      </c>
      <c r="G23" s="6"/>
      <c r="K23" s="6"/>
      <c r="M23" s="6"/>
      <c r="O23" s="6"/>
      <c r="P23" s="160">
        <f>+J10</f>
        <v>18000</v>
      </c>
      <c r="Q23" s="147">
        <v>0.18</v>
      </c>
      <c r="R23" s="161">
        <f>+P23*Q23</f>
        <v>3240</v>
      </c>
    </row>
    <row r="24" spans="2:18" x14ac:dyDescent="0.25">
      <c r="C24" t="s">
        <v>38</v>
      </c>
      <c r="F24" s="134">
        <f>'Allocation Charges'!N12</f>
        <v>70.358035848056744</v>
      </c>
      <c r="G24" s="6"/>
      <c r="K24" s="6"/>
      <c r="M24" s="6"/>
      <c r="O24" s="6"/>
    </row>
    <row r="25" spans="2:18" x14ac:dyDescent="0.25">
      <c r="D25" s="7" t="s">
        <v>39</v>
      </c>
      <c r="F25" s="227">
        <f>ROUNDUP(F23+F24,0)</f>
        <v>317</v>
      </c>
      <c r="G25" s="6"/>
      <c r="K25" s="6"/>
      <c r="M25" s="6"/>
      <c r="O25" s="6"/>
    </row>
    <row r="26" spans="2:18" x14ac:dyDescent="0.25">
      <c r="B26" t="s">
        <v>25</v>
      </c>
      <c r="F26" s="226">
        <f>ROUNDUP('Allocation Charges'!N13,0)</f>
        <v>696</v>
      </c>
      <c r="G26" s="6"/>
      <c r="K26" s="6"/>
      <c r="M26" s="6"/>
      <c r="O26" s="6"/>
    </row>
    <row r="27" spans="2:18" x14ac:dyDescent="0.25">
      <c r="B27" t="s">
        <v>26</v>
      </c>
      <c r="F27" s="134"/>
      <c r="G27" s="6"/>
      <c r="K27" s="6"/>
      <c r="M27" s="6"/>
      <c r="O27" s="6"/>
    </row>
    <row r="28" spans="2:18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8" x14ac:dyDescent="0.25">
      <c r="C29" t="s">
        <v>38</v>
      </c>
      <c r="F29" s="134">
        <f>'Allocation Charges'!N14</f>
        <v>0</v>
      </c>
      <c r="G29" s="6"/>
      <c r="K29" s="6"/>
      <c r="M29" s="6"/>
      <c r="O29" s="6"/>
    </row>
    <row r="30" spans="2:18" x14ac:dyDescent="0.25">
      <c r="D30" s="7" t="s">
        <v>39</v>
      </c>
      <c r="F30" s="227">
        <f>ROUNDUP(F28+F29,0)</f>
        <v>0</v>
      </c>
      <c r="G30" s="6"/>
      <c r="K30" s="6"/>
      <c r="M30" s="6"/>
      <c r="O30" s="6"/>
    </row>
    <row r="31" spans="2:18" x14ac:dyDescent="0.25">
      <c r="B31" t="s">
        <v>27</v>
      </c>
      <c r="F31" s="134"/>
      <c r="G31" s="6"/>
      <c r="K31" s="6"/>
      <c r="M31" s="6"/>
      <c r="O31" s="6"/>
    </row>
    <row r="32" spans="2:18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27">
        <f>ROUNDUP(F32+F33,0)</f>
        <v>1000</v>
      </c>
      <c r="G34" s="6"/>
      <c r="K34" s="6"/>
      <c r="M34" s="6"/>
      <c r="O34" s="6"/>
    </row>
    <row r="35" spans="1:15" x14ac:dyDescent="0.25">
      <c r="B35" t="s">
        <v>195</v>
      </c>
      <c r="F35" s="226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26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26">
        <f>ROUNDUP('Allocation Charges'!N18,0)</f>
        <v>80</v>
      </c>
      <c r="G37" s="6"/>
      <c r="K37" s="6"/>
      <c r="M37" s="6"/>
      <c r="O37" s="6"/>
    </row>
    <row r="38" spans="1:15" x14ac:dyDescent="0.25">
      <c r="B38" t="s">
        <v>30</v>
      </c>
      <c r="F38" s="226">
        <f>ROUNDUP('Allocation Charges'!N19,0)</f>
        <v>77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28">
        <f>F6+F7+F8+F9+F13+F15+F16+F17+F21+F25+F26+F30+F34+F35+F36+F37+F38</f>
        <v>5774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99</v>
      </c>
      <c r="F42" s="229" t="s">
        <v>270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26">
        <f>ROUNDUP('Allocation Charges'!N27,0)</f>
        <v>390</v>
      </c>
      <c r="G44" s="6"/>
      <c r="K44" s="6"/>
      <c r="M44" s="6"/>
      <c r="O44" s="6"/>
    </row>
    <row r="45" spans="1:15" x14ac:dyDescent="0.25">
      <c r="B45" t="s">
        <v>32</v>
      </c>
      <c r="F45" s="226">
        <f>ROUNDUP('Allocation Charges'!N28,0)</f>
        <v>121</v>
      </c>
      <c r="G45" s="6"/>
      <c r="K45" s="6"/>
      <c r="M45" s="6"/>
      <c r="O45" s="6"/>
    </row>
    <row r="46" spans="1:15" x14ac:dyDescent="0.25">
      <c r="B46" t="s">
        <v>47</v>
      </c>
      <c r="F46" s="226">
        <f>ROUNDUP('Allocation Charges'!N29,0)</f>
        <v>193</v>
      </c>
      <c r="G46" s="6"/>
      <c r="K46" s="6"/>
      <c r="M46" s="6"/>
      <c r="O46" s="6"/>
    </row>
    <row r="47" spans="1:15" x14ac:dyDescent="0.25">
      <c r="B47" t="s">
        <v>48</v>
      </c>
      <c r="F47" s="226">
        <f>ROUNDUP('Allocation Charges'!N30,0)</f>
        <v>117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26">
        <f>ROUNDUP('Allocation Charges'!N31,0)</f>
        <v>112</v>
      </c>
      <c r="G48" s="6"/>
      <c r="I48" s="60"/>
    </row>
    <row r="49" spans="1:9" x14ac:dyDescent="0.25">
      <c r="B49" t="s">
        <v>31</v>
      </c>
      <c r="F49" s="226">
        <f>ROUNDUP('Allocation Charges'!N32,0)</f>
        <v>354</v>
      </c>
      <c r="G49" s="6"/>
      <c r="I49" s="60"/>
    </row>
    <row r="50" spans="1:9" x14ac:dyDescent="0.25">
      <c r="F50" s="102"/>
    </row>
    <row r="51" spans="1:9" x14ac:dyDescent="0.25">
      <c r="F51" s="228">
        <f>SUM(F44:F49)</f>
        <v>1287</v>
      </c>
      <c r="H51" s="23"/>
      <c r="I51" s="23"/>
    </row>
    <row r="52" spans="1:9" x14ac:dyDescent="0.25">
      <c r="F52" s="102"/>
    </row>
    <row r="53" spans="1:9" x14ac:dyDescent="0.25">
      <c r="A53" s="16" t="s">
        <v>83</v>
      </c>
    </row>
    <row r="54" spans="1:9" x14ac:dyDescent="0.25">
      <c r="A54" s="16"/>
      <c r="B54" t="s">
        <v>107</v>
      </c>
      <c r="F54" s="240">
        <f>ROUNDUP(N16,0)</f>
        <v>53654</v>
      </c>
    </row>
    <row r="55" spans="1:9" x14ac:dyDescent="0.25">
      <c r="A55" s="16"/>
      <c r="B55" t="s">
        <v>108</v>
      </c>
      <c r="F55" s="240">
        <f>ROUNDUP(L22,0)</f>
        <v>6840</v>
      </c>
    </row>
    <row r="56" spans="1:9" x14ac:dyDescent="0.25">
      <c r="A56" s="16"/>
      <c r="F56" s="239"/>
    </row>
    <row r="57" spans="1:9" x14ac:dyDescent="0.25">
      <c r="A57" s="16"/>
      <c r="F57" s="228">
        <f>SUM(F54:F55)</f>
        <v>60494</v>
      </c>
    </row>
    <row r="58" spans="1:9" x14ac:dyDescent="0.25">
      <c r="A58" s="16"/>
      <c r="F58" s="239"/>
    </row>
    <row r="59" spans="1:9" ht="7.5" customHeight="1" x14ac:dyDescent="0.25">
      <c r="F59" s="102"/>
    </row>
    <row r="60" spans="1:9" x14ac:dyDescent="0.25">
      <c r="A60" s="35"/>
      <c r="B60" s="35"/>
      <c r="C60" s="35"/>
      <c r="D60" s="35"/>
      <c r="E60" s="35"/>
      <c r="F60" s="230"/>
      <c r="G60" s="35"/>
      <c r="H60" s="35"/>
    </row>
    <row r="61" spans="1:9" x14ac:dyDescent="0.25">
      <c r="D61" s="15" t="s">
        <v>56</v>
      </c>
      <c r="F61" s="228">
        <f>F40+F51+F57</f>
        <v>67555</v>
      </c>
    </row>
  </sheetData>
  <pageMargins left="0.25" right="0.25" top="0.5" bottom="0.75" header="0" footer="0.3"/>
  <pageSetup scale="41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H21" sqref="H21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256</v>
      </c>
      <c r="F1" s="6" t="str">
        <f>+'Commodity OK'!H2</f>
        <v>Data Input May 24 billing =May invoices = Apr Flow  data= Apr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98</v>
      </c>
      <c r="H3" s="19" t="s">
        <v>253</v>
      </c>
      <c r="I3" s="19"/>
      <c r="J3" s="19" t="s">
        <v>254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255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249</v>
      </c>
      <c r="F7" s="85">
        <f>+'Direct Charges'!P21</f>
        <v>696.64</v>
      </c>
      <c r="G7" s="60"/>
      <c r="H7" s="85">
        <f>ROUNDUP(F7,0)</f>
        <v>697</v>
      </c>
      <c r="I7" s="60"/>
      <c r="J7" s="222"/>
      <c r="K7" s="60"/>
    </row>
    <row r="8" spans="1:12" x14ac:dyDescent="0.25">
      <c r="C8" t="s">
        <v>250</v>
      </c>
      <c r="F8" s="85">
        <f>+'Direct Charges'!P22</f>
        <v>1795.23</v>
      </c>
      <c r="G8" s="60"/>
      <c r="H8" s="85"/>
      <c r="I8" s="60"/>
      <c r="J8" s="85">
        <f>ROUNDUP(F8,0)</f>
        <v>1796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251</v>
      </c>
      <c r="F11" s="85">
        <f>+'Direct Charges'!F34</f>
        <v>133.08000000000001</v>
      </c>
      <c r="G11" s="60"/>
      <c r="H11" s="85">
        <f>ROUNDUP(F11,0)</f>
        <v>134</v>
      </c>
      <c r="I11" s="60"/>
      <c r="J11" s="222"/>
      <c r="K11" s="60"/>
    </row>
    <row r="12" spans="1:12" x14ac:dyDescent="0.25">
      <c r="C12" t="s">
        <v>252</v>
      </c>
      <c r="F12" s="85">
        <f>+'Direct Charges'!F35</f>
        <v>175.77</v>
      </c>
      <c r="G12" s="60"/>
      <c r="H12" s="85"/>
      <c r="I12" s="60"/>
      <c r="J12" s="85">
        <f>ROUNDUP(F12,0)</f>
        <v>176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56</v>
      </c>
      <c r="F14" s="219">
        <f>SUM(F7:F13)</f>
        <v>2800.72</v>
      </c>
      <c r="G14" s="120"/>
      <c r="H14" s="219">
        <f>SUM(H7:H13)</f>
        <v>831</v>
      </c>
      <c r="I14" s="120"/>
      <c r="J14" s="219">
        <f>SUM(J7:J13)</f>
        <v>1972</v>
      </c>
      <c r="K14" s="120"/>
    </row>
    <row r="16" spans="1:12" x14ac:dyDescent="0.25">
      <c r="F16" s="6">
        <f>SUM(H14:K14)</f>
        <v>2803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2024 Allocation Source</vt:lpstr>
      <vt:lpstr>2023 Allocation Source</vt:lpstr>
      <vt:lpstr>2024 NUC Rent</vt:lpstr>
      <vt:lpstr>2024 NALLC Rent</vt:lpstr>
      <vt:lpstr>2024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2024-09-25T23:14:17Z</cp:lastPrinted>
  <dcterms:created xsi:type="dcterms:W3CDTF">2013-02-08T00:44:54Z</dcterms:created>
  <dcterms:modified xsi:type="dcterms:W3CDTF">2024-09-26T17:43:44Z</dcterms:modified>
</cp:coreProperties>
</file>