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25B1BF86-038D-4A38-A20E-4A9536053CAD}" xr6:coauthVersionLast="47" xr6:coauthVersionMax="47" xr10:uidLastSave="{00000000-0000-0000-0000-000000000000}"/>
  <bookViews>
    <workbookView xWindow="-120" yWindow="-120" windowWidth="29040" windowHeight="15720" tabRatio="837" activeTab="8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Texas'!$A$1:$Z$61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5" l="1"/>
  <c r="N7" i="15"/>
  <c r="E19" i="28"/>
  <c r="E33" i="28"/>
  <c r="E20" i="28"/>
  <c r="I8" i="28"/>
  <c r="E8" i="28"/>
  <c r="I7" i="28"/>
  <c r="E7" i="28"/>
  <c r="I13" i="28"/>
  <c r="E13" i="28"/>
  <c r="I12" i="28"/>
  <c r="E12" i="28"/>
  <c r="C44" i="11" l="1"/>
  <c r="F7" i="11"/>
  <c r="D7" i="11"/>
  <c r="F8" i="11"/>
  <c r="D8" i="11"/>
  <c r="F17" i="11"/>
  <c r="F12" i="4"/>
  <c r="F11" i="4"/>
  <c r="F7" i="4"/>
  <c r="J57" i="6" l="1"/>
  <c r="H25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l="1"/>
  <c r="F42" i="11"/>
  <c r="F56" i="8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<sst xmlns="http://schemas.openxmlformats.org/spreadsheetml/2006/main" count="641" uniqueCount="279">
  <si>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</si>
  <si>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</si>
  <si>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</si>
  <si>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</si>
  <si>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</si>
  <si>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</si>
  <si>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</si>
  <si>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</si>
  <si>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</si>
  <si>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</si>
  <si>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</si>
  <si>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</si>
  <si>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</si>
  <si>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</si>
  <si>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</si>
  <si>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</si>
  <si>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</si>
  <si>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</si>
  <si>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</si>
  <si>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</si>
  <si>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</si>
  <si>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</si>
  <si>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</si>
  <si>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</si>
  <si>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</si>
  <si>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</si>
  <si>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</si>
  <si>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</si>
  <si>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</si>
  <si>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</si>
  <si>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</si>
  <si>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</si>
  <si>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</si>
  <si>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</si>
  <si>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</si>
  <si>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</si>
  <si>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</si>
  <si>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</si>
  <si>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</si>
  <si>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</si>
  <si>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</si>
  <si>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</si>
  <si>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</si>
  <si>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</si>
  <si>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</si>
  <si>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</si>
  <si>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</si>
  <si>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</si>
  <si>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</si>
  <si>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</si>
  <si>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</si>
  <si>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</si>
  <si>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</si>
  <si>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</si>
  <si>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</si>
  <si>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</si>
  <si>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</si>
  <si>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</si>
  <si>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</si>
  <si>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</si>
  <si>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</si>
  <si>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</si>
  <si>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</si>
  <si>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</si>
  <si>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</si>
  <si>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</si>
  <si>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</si>
  <si>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</si>
  <si>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</si>
  <si>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</si>
  <si>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</si>
  <si>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</si>
  <si>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</si>
  <si>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</si>
  <si>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</si>
  <si>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</si>
  <si>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</si>
  <si>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</si>
  <si>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</si>
  <si>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</si>
  <si>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</si>
  <si>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</si>
  <si>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</si>
  <si>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</si>
  <si>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</si>
  <si>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</si>
  <si>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</si>
  <si>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</si>
  <si>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</si>
  <si>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</si>
  <si>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</si>
  <si>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</si>
  <si>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</si>
  <si>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</si>
  <si>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</si>
  <si>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</si>
  <si>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</si>
  <si>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</si>
  <si>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</si>
  <si>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</si>
  <si>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</si>
  <si>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</si>
  <si>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</si>
  <si>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</si>
  <si>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</si>
  <si>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</si>
  <si>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</si>
  <si>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</si>
  <si>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</si>
  <si>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</si>
  <si>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</si>
  <si>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</si>
  <si>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</si>
  <si>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</si>
  <si>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</si>
  <si>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</si>
  <si>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</si>
  <si>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</si>
  <si>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</si>
  <si>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</si>
  <si>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</si>
  <si>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</si>
  <si>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</si>
  <si>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</si>
  <si>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</si>
  <si>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</si>
  <si>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</si>
  <si>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</si>
  <si>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</si>
  <si>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</si>
  <si>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</si>
  <si>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</si>
  <si>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</si>
  <si>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</si>
  <si>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</si>
  <si>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</si>
  <si>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</si>
  <si>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</si>
  <si>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</si>
  <si>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</si>
  <si>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</si>
  <si>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</si>
  <si>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</si>
  <si>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</si>
  <si>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</si>
  <si>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</si>
  <si>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</si>
  <si>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</si>
  <si>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</si>
  <si>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</si>
  <si>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</si>
  <si>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</si>
  <si>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</si>
  <si>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</si>
  <si>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</si>
  <si>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</si>
  <si>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</si>
  <si>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</si>
  <si>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</si>
  <si>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</si>
  <si>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</si>
  <si>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</si>
  <si>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</si>
  <si>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</si>
  <si>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</si>
  <si>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</si>
  <si>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</si>
  <si>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</si>
  <si>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</si>
  <si>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</si>
  <si>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</si>
  <si>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</si>
  <si>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</si>
  <si>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</si>
  <si>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</si>
  <si>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</si>
  <si>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</si>
  <si>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</si>
  <si>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</si>
  <si>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</si>
  <si>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</si>
  <si>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</si>
  <si>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</si>
  <si>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</si>
  <si>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</si>
  <si>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</si>
  <si>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</si>
  <si>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</si>
  <si>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</si>
  <si>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</si>
  <si>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</si>
  <si>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</si>
  <si>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</si>
  <si>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</si>
  <si>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</si>
  <si>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</si>
  <si>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</si>
  <si>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</si>
  <si>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</si>
  <si>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</si>
  <si>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</si>
  <si>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</si>
  <si>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</si>
  <si>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</si>
  <si>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</si>
  <si>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</si>
  <si>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</si>
  <si>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</si>
  <si>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</si>
  <si>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</si>
  <si>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</si>
  <si>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</si>
  <si>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</si>
  <si>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</si>
  <si>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</si>
  <si>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</si>
  <si>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</si>
  <si>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</si>
  <si>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</si>
  <si>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</si>
  <si>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</si>
  <si>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</si>
  <si>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</si>
  <si>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</si>
  <si>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</si>
  <si>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</si>
  <si>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</si>
  <si>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</si>
  <si>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</si>
  <si>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</si>
  <si>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</si>
  <si>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</si>
  <si>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</si>
  <si>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</si>
  <si>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</si>
  <si>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</si>
  <si>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</si>
  <si>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</si>
  <si>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</si>
  <si>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</si>
  <si>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</si>
  <si>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</si>
  <si>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</si>
  <si>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</si>
  <si>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</si>
  <si>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</si>
  <si>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</si>
  <si>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</si>
  <si>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</si>
  <si>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</si>
  <si>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</si>
  <si>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</si>
  <si>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</si>
  <si>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</si>
  <si>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</si>
  <si>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</si>
  <si>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</si>
  <si>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</si>
  <si>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</si>
  <si>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</si>
  <si>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</si>
  <si>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</si>
  <si>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</si>
  <si>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</si>
  <si>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</si>
  <si>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</si>
  <si>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</si>
  <si>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</si>
  <si>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</si>
  <si>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</si>
  <si>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2024</t>
  </si>
  <si>
    <t>204</t>
  </si>
  <si>
    <t>Monthly Avg Cust Count - 2023</t>
  </si>
  <si>
    <t>Skye OK, LLC</t>
  </si>
  <si>
    <t>Feb.24 Usage</t>
  </si>
  <si>
    <t>Prior Month = Jan Usage</t>
  </si>
  <si>
    <t>2404 file =</t>
  </si>
  <si>
    <r>
      <t xml:space="preserve">Data Input Apr 24 billing =Apr invoices = Mar </t>
    </r>
    <r>
      <rPr>
        <b/>
        <u val="singleAccounting"/>
        <sz val="11"/>
        <color theme="1"/>
        <rFont val="Calibri"/>
        <family val="2"/>
        <scheme val="minor"/>
      </rPr>
      <t>Flow  data= Mar Sales Volume</t>
    </r>
  </si>
  <si>
    <t>BB 2404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</si>
</sst>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27</xdr:col>
      <xdr:colOff>96034</xdr:colOff>
      <xdr:row>40</xdr:row>
      <xdr:rowOff>67721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1CDFD-8A8C-4D24-6D1F-F0732F80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190500"/>
          <a:ext cx="5620534" cy="7497221"/>
        </a:xfrm>
        <a:prstGeom prst="rect">
          <a:avLst/>
        </a:prstGeom>
      </xdr:spPr>
    </xdr:pic>
    <xdr:clientData/>
  </xdr:twoCellAnchor>
  <xdr:twoCellAnchor editAs="oneCell">
    <xdr:from>
      <xdr:col>18</xdr:col>
      <xdr:colOff>21166</xdr:colOff>
      <xdr:row>40</xdr:row>
      <xdr:rowOff>63500</xdr:rowOff>
    </xdr:from>
    <xdr:to>
      <xdr:col>27</xdr:col>
      <xdr:colOff>126727</xdr:colOff>
      <xdr:row>77</xdr:row>
      <xdr:rowOff>54957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233B22-7F4C-97F1-5A6F-492B1452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666" y="7683500"/>
          <a:ext cx="5630061" cy="7039957"/>
        </a:xfrm>
        <a:prstGeom prst="rect">
          <a:avLst/>
        </a:prstGeom>
      </xdr:spPr>
    </xdr:pic>
    <xdr:clientData/>
  </xdr:twoCellAnchor>
  <xdr:twoCellAnchor editAs="oneCell">
    <xdr:from>
      <xdr:col>18</xdr:col>
      <xdr:colOff>10583</xdr:colOff>
      <xdr:row>77</xdr:row>
      <xdr:rowOff>31750</xdr:rowOff>
    </xdr:from>
    <xdr:to>
      <xdr:col>27</xdr:col>
      <xdr:colOff>173302</xdr:colOff>
      <xdr:row>108</xdr:row>
      <xdr:rowOff>137364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C6468F-7128-A413-9918-9B93F8F7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0083" y="14700250"/>
          <a:ext cx="5687219" cy="6011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21</xdr:col>
      <xdr:colOff>287635</xdr:colOff>
      <xdr:row>80</xdr:row>
      <xdr:rowOff>96088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44BCAE-2196-802E-78DA-9BA46308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3508335" cy="6001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24</xdr:col>
      <xdr:colOff>449405</xdr:colOff>
      <xdr:row>66</xdr:row>
      <xdr:rowOff>152873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FE710C-A69C-9586-21CB-F85D7C64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391650"/>
          <a:ext cx="12393755" cy="3391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27</xdr:col>
      <xdr:colOff>201752</xdr:colOff>
      <xdr:row>33</xdr:row>
      <xdr:rowOff>57344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F0A9E1-F24C-D7CA-4CDA-03369291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991100"/>
          <a:ext cx="12374702" cy="1390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F60" sqref="F60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Apr 24 billing =Apr invoices = Mar Flow  data= Mar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12138.09</v>
      </c>
      <c r="G7" s="56"/>
      <c r="H7" s="79">
        <f>F7</f>
        <v>12138.09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7379.31</v>
      </c>
      <c r="G8" s="56"/>
      <c r="H8" s="79"/>
      <c r="I8" s="8"/>
      <c r="J8" s="79">
        <f>F8</f>
        <v>7379.31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371.4</v>
      </c>
      <c r="G9" s="56"/>
      <c r="H9" s="79"/>
      <c r="I9" s="8"/>
      <c r="J9" s="79"/>
      <c r="K9" s="8"/>
      <c r="L9" s="79"/>
      <c r="M9" s="8"/>
      <c r="N9" s="79">
        <f>F9</f>
        <v>371.4</v>
      </c>
      <c r="P9" s="79"/>
    </row>
    <row r="10" spans="1:16" x14ac:dyDescent="0.25">
      <c r="C10" t="s">
        <v>3</v>
      </c>
      <c r="F10" s="112">
        <v>80433.070000000007</v>
      </c>
      <c r="G10" s="56"/>
      <c r="H10" s="79"/>
      <c r="I10" s="8"/>
      <c r="J10" s="79"/>
      <c r="K10" s="8"/>
      <c r="L10" s="79">
        <f>F10</f>
        <v>80433.070000000007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2905.06</v>
      </c>
      <c r="G13" s="56"/>
      <c r="H13" s="79">
        <f>F13</f>
        <v>2905.06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12633.95</v>
      </c>
      <c r="G14" s="56"/>
      <c r="H14" s="79"/>
      <c r="I14" s="8"/>
      <c r="J14" s="79">
        <f>F14</f>
        <v>12633.95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889.82</v>
      </c>
      <c r="G15" s="56"/>
      <c r="H15" s="79"/>
      <c r="I15" s="8"/>
      <c r="J15" s="79"/>
      <c r="K15" s="8"/>
      <c r="L15" s="79"/>
      <c r="M15" s="8"/>
      <c r="N15" s="79">
        <f>F15</f>
        <v>889.82</v>
      </c>
      <c r="P15" s="79"/>
    </row>
    <row r="16" spans="1:16" x14ac:dyDescent="0.25">
      <c r="C16" t="s">
        <v>7</v>
      </c>
      <c r="F16" s="112">
        <v>21159.8</v>
      </c>
      <c r="G16" s="56"/>
      <c r="H16" s="79"/>
      <c r="I16" s="8"/>
      <c r="J16" s="79"/>
      <c r="K16" s="8"/>
      <c r="L16" s="79">
        <f>F16</f>
        <v>21159.8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7465.17</v>
      </c>
      <c r="G18" s="56"/>
      <c r="H18" s="79"/>
      <c r="I18" s="8"/>
      <c r="J18" s="79"/>
      <c r="K18" s="8"/>
      <c r="L18" s="79">
        <f>F18</f>
        <v>7465.17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464.87</v>
      </c>
      <c r="G21" s="56"/>
      <c r="H21" s="79"/>
      <c r="I21" s="8"/>
      <c r="J21" s="79"/>
      <c r="K21" s="8"/>
      <c r="L21" s="79"/>
      <c r="M21" s="8"/>
      <c r="N21" s="79"/>
      <c r="P21" s="79">
        <f>+F21</f>
        <v>464.87</v>
      </c>
    </row>
    <row r="22" spans="2:16" x14ac:dyDescent="0.25">
      <c r="C22" t="s">
        <v>250</v>
      </c>
      <c r="F22" s="112">
        <v>2700.43</v>
      </c>
      <c r="G22" s="56"/>
      <c r="H22" s="79"/>
      <c r="I22" s="8"/>
      <c r="J22" s="79"/>
      <c r="K22" s="8"/>
      <c r="L22" s="79"/>
      <c r="M22" s="8"/>
      <c r="N22" s="79"/>
      <c r="P22" s="79">
        <f>+F22</f>
        <v>2700.43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183.17</v>
      </c>
      <c r="G25" s="56"/>
      <c r="H25" s="79">
        <f>F25</f>
        <v>183.17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210.85</v>
      </c>
      <c r="G26" s="56"/>
      <c r="H26" s="79"/>
      <c r="I26" s="8"/>
      <c r="J26" s="79">
        <f>F26</f>
        <v>210.85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1334.29</v>
      </c>
      <c r="G28" s="56"/>
      <c r="H28" s="79"/>
      <c r="I28" s="8"/>
      <c r="J28" s="79"/>
      <c r="K28" s="8"/>
      <c r="L28" s="79">
        <f>F28</f>
        <v>1334.29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3048</v>
      </c>
      <c r="G31" s="56"/>
      <c r="H31" s="79"/>
      <c r="I31" s="8"/>
      <c r="J31" s="79"/>
      <c r="K31" s="8"/>
      <c r="L31" s="79">
        <f>F31</f>
        <v>3048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181.61</v>
      </c>
      <c r="G34" s="56"/>
      <c r="H34" s="79"/>
      <c r="I34" s="8"/>
      <c r="J34" s="79"/>
      <c r="K34" s="8"/>
      <c r="L34" s="79"/>
      <c r="M34" s="8"/>
      <c r="N34" s="79"/>
      <c r="P34" s="79">
        <f>+F34</f>
        <v>181.61</v>
      </c>
    </row>
    <row r="35" spans="2:16" x14ac:dyDescent="0.25">
      <c r="C35" t="s">
        <v>252</v>
      </c>
      <c r="F35" s="112">
        <v>346.22</v>
      </c>
      <c r="G35" s="56"/>
      <c r="H35" s="79"/>
      <c r="I35" s="8"/>
      <c r="J35" s="79"/>
      <c r="K35" s="8"/>
      <c r="L35" s="79"/>
      <c r="M35" s="8"/>
      <c r="N35" s="79"/>
      <c r="P35" s="79">
        <f>+F35</f>
        <v>346.22</v>
      </c>
    </row>
    <row r="36" spans="2:16" x14ac:dyDescent="0.25">
      <c r="C36" t="s">
        <v>119</v>
      </c>
      <c r="F36" s="112">
        <v>320.54000000000002</v>
      </c>
      <c r="G36" s="56"/>
      <c r="H36" s="79">
        <f>F36</f>
        <v>320.54000000000002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2738.57</v>
      </c>
      <c r="G39" s="56"/>
      <c r="H39" s="79"/>
      <c r="I39" s="8"/>
      <c r="J39" s="79"/>
      <c r="K39" s="8"/>
      <c r="L39" s="79">
        <f>F39</f>
        <v>2738.57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6146.75</v>
      </c>
      <c r="G42" s="56"/>
      <c r="H42" s="79">
        <f>F42</f>
        <v>6146.75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264.39999999999998</v>
      </c>
      <c r="G43" s="56"/>
      <c r="H43" s="79"/>
      <c r="I43" s="8"/>
      <c r="J43" s="79">
        <f>F43</f>
        <v>264.39999999999998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745.83</v>
      </c>
      <c r="G44" s="56"/>
      <c r="H44" s="79"/>
      <c r="I44" s="8"/>
      <c r="J44" s="79"/>
      <c r="K44" s="8"/>
      <c r="L44" s="79"/>
      <c r="M44" s="8"/>
      <c r="N44" s="79">
        <f>F44</f>
        <v>745.83</v>
      </c>
      <c r="P44" s="79"/>
    </row>
    <row r="45" spans="2:16" x14ac:dyDescent="0.25">
      <c r="C45" t="s">
        <v>24</v>
      </c>
      <c r="F45" s="112">
        <v>18368.07</v>
      </c>
      <c r="G45" s="56"/>
      <c r="H45" s="79"/>
      <c r="I45" s="8"/>
      <c r="J45" s="79"/>
      <c r="K45" s="8"/>
      <c r="L45" s="79">
        <f>F45</f>
        <v>18368.07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78</v>
      </c>
      <c r="G48" s="56"/>
      <c r="H48" s="79">
        <f>F48</f>
        <v>78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3716.94</v>
      </c>
      <c r="G49" s="56"/>
      <c r="H49" s="79"/>
      <c r="I49" s="8"/>
      <c r="J49" s="79">
        <f>F49</f>
        <v>3716.94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/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321.88</v>
      </c>
      <c r="G51" s="56"/>
      <c r="H51" s="79"/>
      <c r="I51" s="8"/>
      <c r="J51" s="79"/>
      <c r="K51" s="8"/>
      <c r="L51" s="79">
        <f>F51</f>
        <v>321.88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677.14</v>
      </c>
      <c r="G55" s="56"/>
      <c r="H55" s="79"/>
      <c r="I55" s="8"/>
      <c r="J55" s="79">
        <f>F55</f>
        <v>677.14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39296.339999999997</v>
      </c>
      <c r="G57" s="56"/>
      <c r="H57" s="79"/>
      <c r="I57" s="8"/>
      <c r="J57" s="79"/>
      <c r="K57" s="8"/>
      <c r="L57" s="79">
        <f>F57</f>
        <v>39296.339999999997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229833.64000000004</v>
      </c>
      <c r="G59" s="57"/>
      <c r="H59" s="113">
        <f>SUM(H7:H57)</f>
        <v>24890.7</v>
      </c>
      <c r="I59" s="23"/>
      <c r="J59" s="113">
        <f>SUM(J7:J57)</f>
        <v>25077.57</v>
      </c>
      <c r="K59" s="23"/>
      <c r="L59" s="113">
        <f>SUM(L7:L57)</f>
        <v>174165.19</v>
      </c>
      <c r="M59" s="23"/>
      <c r="N59" s="113">
        <f>SUM(N7:N57)</f>
        <v>2007.0500000000002</v>
      </c>
      <c r="P59" s="113">
        <f>SUM(P7:P57)</f>
        <v>3693.13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31927.040000000001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296602.54974428355</v>
      </c>
      <c r="P63" s="60">
        <f>+L59+'Allocation Charges'!L21</f>
        <v>296602.54974428349</v>
      </c>
    </row>
    <row r="64" spans="1:16" x14ac:dyDescent="0.25">
      <c r="B64" s="16"/>
      <c r="D64" t="s">
        <v>155</v>
      </c>
      <c r="F64" s="102">
        <f>+F59</f>
        <v>229833.64000000004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59195</v>
      </c>
      <c r="P64" s="60">
        <f>+H59+'Allocation Charges'!H21</f>
        <v>59189.847032606747</v>
      </c>
    </row>
    <row r="65" spans="4:16" x14ac:dyDescent="0.25">
      <c r="D65" t="s">
        <v>156</v>
      </c>
      <c r="F65" s="102">
        <f>+'Allocation Charges'!F21</f>
        <v>177138.54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41097</v>
      </c>
      <c r="P65" s="60">
        <f>+J59+'Allocation Charges'!J21</f>
        <v>41093.541028033964</v>
      </c>
    </row>
    <row r="66" spans="4:16" x14ac:dyDescent="0.25">
      <c r="D66" t="s">
        <v>50</v>
      </c>
      <c r="F66" s="102">
        <f>SUM(F63:F65)</f>
        <v>438899.22000000009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6399</v>
      </c>
      <c r="P66" s="60">
        <f>+N59+'Allocation Charges'!N21</f>
        <v>6393.112195075787</v>
      </c>
    </row>
    <row r="67" spans="4:16" x14ac:dyDescent="0.25">
      <c r="D67" s="16" t="s">
        <v>157</v>
      </c>
      <c r="F67" s="115">
        <v>438899.22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3693.13</v>
      </c>
      <c r="P67" s="60">
        <f>+P59</f>
        <v>3693.13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406986.67974428355</v>
      </c>
      <c r="P68" s="60">
        <f>SUM(P63:P67)</f>
        <v>406972.18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-14.499744283501059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F32" sqref="F32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272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272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F20" sqref="F20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Apr 24 billing =Apr invoices = Mar Flow  data= Mar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7426.65-SUM('Direct Charges'!F25:F28)</f>
        <v>5698.34</v>
      </c>
      <c r="G7" s="8"/>
      <c r="H7" s="79">
        <f>F7*R$4</f>
        <v>1121.4324282362911</v>
      </c>
      <c r="I7" s="8"/>
      <c r="J7" s="79">
        <f>F7*R$5</f>
        <v>523.65235973523238</v>
      </c>
      <c r="K7" s="8"/>
      <c r="L7" s="79">
        <f>F7*R$6</f>
        <v>3928.6618456314254</v>
      </c>
      <c r="M7" s="8"/>
      <c r="N7" s="79">
        <f>F7*R$7</f>
        <v>124.59336639705134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10211.719999999999</v>
      </c>
      <c r="G8" s="8"/>
      <c r="H8" s="79">
        <f t="shared" ref="H8:H19" si="0">F8*R$4</f>
        <v>2009.6649122497249</v>
      </c>
      <c r="I8" s="8"/>
      <c r="J8" s="79">
        <f>F8*R$5</f>
        <v>938.41211211606662</v>
      </c>
      <c r="K8" s="8"/>
      <c r="L8" s="79">
        <f>F8*R$6</f>
        <v>7040.3652190412186</v>
      </c>
      <c r="M8" s="8"/>
      <c r="N8" s="79">
        <f>F8*R$7</f>
        <v>223.2777565929897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93887.12</v>
      </c>
      <c r="G10" s="8"/>
      <c r="H10" s="79">
        <f>IF(N10=2000,(F10-N10)*(R4/(R8-R7)),(F10*R4))</f>
        <v>18476.97065491214</v>
      </c>
      <c r="I10" s="8"/>
      <c r="J10" s="83">
        <f>IF(N10=2000,(F10-N10)*(R5/(R8-R7)),(F10*R5))</f>
        <v>8627.8130011099602</v>
      </c>
      <c r="K10" s="8"/>
      <c r="L10" s="83">
        <f>IF(N10=2000,(F10-N10)*(R6/(R8-R7)),(F10*R6))</f>
        <v>64729.508267358404</v>
      </c>
      <c r="M10" s="8"/>
      <c r="N10" s="83">
        <f>IF((F10*R$7&lt;2000),(2000),F10*R$7)</f>
        <v>2052.8280766194935</v>
      </c>
      <c r="O10" s="8"/>
      <c r="P10" s="8"/>
      <c r="Q10" s="8"/>
      <c r="U10" s="73"/>
    </row>
    <row r="11" spans="1:21" x14ac:dyDescent="0.25">
      <c r="B11" t="s">
        <v>20</v>
      </c>
      <c r="F11" s="112">
        <f>17503.53-SUM('Direct Charges'!F34:F39)</f>
        <v>13721.609999999999</v>
      </c>
      <c r="G11" s="8"/>
      <c r="H11" s="79">
        <f t="shared" si="0"/>
        <v>2700.4107198958595</v>
      </c>
      <c r="I11" s="8"/>
      <c r="J11" s="79">
        <f>F11*R$5</f>
        <v>1260.9555512423901</v>
      </c>
      <c r="K11" s="8"/>
      <c r="L11" s="79">
        <f>F11*R$6</f>
        <v>9460.2227434015203</v>
      </c>
      <c r="M11" s="8"/>
      <c r="N11" s="79">
        <f>F11*R$7</f>
        <v>300.02098546022938</v>
      </c>
      <c r="O11" s="8"/>
      <c r="U11" s="73"/>
    </row>
    <row r="12" spans="1:21" x14ac:dyDescent="0.25">
      <c r="B12" t="s">
        <v>21</v>
      </c>
      <c r="F12" s="155">
        <f>28279.37-SUM('Direct Charges'!F42:F45)</f>
        <v>2754.3199999999997</v>
      </c>
      <c r="G12" s="8"/>
      <c r="H12" s="79">
        <f t="shared" si="0"/>
        <v>542.04974882856777</v>
      </c>
      <c r="I12" s="8"/>
      <c r="J12" s="79">
        <f>F12*R$5</f>
        <v>253.109882433471</v>
      </c>
      <c r="K12" s="8"/>
      <c r="L12" s="79">
        <f>F12*R$6</f>
        <v>1898.9375668457035</v>
      </c>
      <c r="M12" s="8"/>
      <c r="N12" s="79">
        <f>F12*R$7</f>
        <v>60.222801892257465</v>
      </c>
      <c r="O12" s="8"/>
    </row>
    <row r="13" spans="1:21" x14ac:dyDescent="0.25">
      <c r="B13" t="s">
        <v>25</v>
      </c>
      <c r="F13" s="112">
        <v>19674.349999999999</v>
      </c>
      <c r="G13" s="8"/>
      <c r="H13" s="79">
        <f t="shared" si="0"/>
        <v>3871.9090286768906</v>
      </c>
      <c r="I13" s="8"/>
      <c r="J13" s="79">
        <f>F13*R$5</f>
        <v>1807.9861510118506</v>
      </c>
      <c r="K13" s="8"/>
      <c r="L13" s="79">
        <f>F13*R$6</f>
        <v>13564.278049852874</v>
      </c>
      <c r="M13" s="8"/>
      <c r="N13" s="79">
        <f>F13*R$7</f>
        <v>430.17677045838377</v>
      </c>
      <c r="O13" s="8"/>
    </row>
    <row r="14" spans="1:21" x14ac:dyDescent="0.25">
      <c r="B14" t="s">
        <v>26</v>
      </c>
      <c r="F14" s="112">
        <v>157.5</v>
      </c>
      <c r="G14" s="8"/>
      <c r="H14" s="79">
        <f>F14*R$4</f>
        <v>30.995975573099507</v>
      </c>
      <c r="I14" s="8"/>
      <c r="J14" s="79">
        <f>F14*R$5</f>
        <v>14.473556624964306</v>
      </c>
      <c r="K14" s="8"/>
      <c r="L14" s="79">
        <f>F14*R$6</f>
        <v>108.58675345573438</v>
      </c>
      <c r="M14" s="8"/>
      <c r="N14" s="79">
        <f>F14*R$7</f>
        <v>3.4437143462018036</v>
      </c>
      <c r="O14" s="8"/>
    </row>
    <row r="15" spans="1:21" x14ac:dyDescent="0.25">
      <c r="B15" t="s">
        <v>27</v>
      </c>
      <c r="F15" s="112">
        <v>19996.53</v>
      </c>
      <c r="G15" s="8"/>
      <c r="H15" s="79">
        <f>IF(N15=1000,(F15-N15)*(R4/(R8-R7)),(F15*R4))</f>
        <v>3822.0834505699049</v>
      </c>
      <c r="I15" s="8"/>
      <c r="J15" s="83">
        <f>IF(N15=1000,(F15-N15)*(R5/(R8-R7)),(F15*R5))</f>
        <v>1784.7201200910847</v>
      </c>
      <c r="K15" s="8"/>
      <c r="L15" s="83">
        <f>IF(N15=1000,(F15-N15)*(R6/(R8-R7)),(F15*R6))</f>
        <v>13389.726429339009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3645.09</v>
      </c>
      <c r="G18" s="8"/>
      <c r="H18" s="79">
        <f t="shared" si="0"/>
        <v>717.35314667777322</v>
      </c>
      <c r="I18" s="8"/>
      <c r="J18" s="79">
        <f>F18*R$5</f>
        <v>334.96772392438822</v>
      </c>
      <c r="K18" s="8"/>
      <c r="L18" s="79">
        <f>F18*R$6</f>
        <v>2513.0697724061133</v>
      </c>
      <c r="M18" s="8"/>
      <c r="N18" s="79">
        <f>F18*R$7</f>
        <v>79.699356991725281</v>
      </c>
      <c r="O18" s="8"/>
    </row>
    <row r="19" spans="1:19" x14ac:dyDescent="0.25">
      <c r="B19" t="s">
        <v>30</v>
      </c>
      <c r="F19" s="112">
        <v>5113.2</v>
      </c>
      <c r="G19" s="8"/>
      <c r="H19" s="79">
        <f t="shared" si="0"/>
        <v>1006.2769669864914</v>
      </c>
      <c r="I19" s="8"/>
      <c r="J19" s="79">
        <f>F19*R$5</f>
        <v>469.88056974455549</v>
      </c>
      <c r="K19" s="8"/>
      <c r="L19" s="79">
        <f>F19*R$6</f>
        <v>3525.2430969514985</v>
      </c>
      <c r="M19" s="8"/>
      <c r="N19" s="79">
        <f>F19*R$7</f>
        <v>111.79936631745436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34860.837199330228</v>
      </c>
      <c r="S20" s="55">
        <f>+H21-R20</f>
        <v>-561.69016672347789</v>
      </c>
    </row>
    <row r="21" spans="1:19" x14ac:dyDescent="0.25">
      <c r="F21" s="84">
        <f>SUM(F6:F19)</f>
        <v>177138.54</v>
      </c>
      <c r="G21" s="23"/>
      <c r="H21" s="84">
        <f>SUM(H6:H19)</f>
        <v>34299.14703260675</v>
      </c>
      <c r="I21" s="23"/>
      <c r="J21" s="84">
        <f>SUM(J6:J19)</f>
        <v>16015.971028033962</v>
      </c>
      <c r="K21" s="23"/>
      <c r="L21" s="84">
        <f>SUM(L6:L19)</f>
        <v>122437.3597442835</v>
      </c>
      <c r="M21" s="23"/>
      <c r="N21" s="84">
        <f>SUM(N6:N19)</f>
        <v>4386.0621950757868</v>
      </c>
      <c r="O21" s="23"/>
      <c r="P21" s="241" t="s">
        <v>11</v>
      </c>
      <c r="Q21" s="241"/>
      <c r="R21" s="149">
        <f>+F21*R5</f>
        <v>16278.251994625427</v>
      </c>
      <c r="S21" s="55">
        <f>+J21-R21</f>
        <v>-262.28096659146468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122126.3426697698</v>
      </c>
      <c r="S22" s="55">
        <f>+L21-R22</f>
        <v>311.01707451370021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3873.1081362745526</v>
      </c>
      <c r="S23" s="55">
        <f>+N21-R23</f>
        <v>512.95405880123417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177138.54</v>
      </c>
      <c r="S24" s="152">
        <f>SUM(S20:S23)</f>
        <v>-8.1854523159563541E-12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N59" sqref="N59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Apr 24 billing =Apr invoices = Mar Flow  data= Mar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80433.070000000007</v>
      </c>
      <c r="G6" s="60"/>
      <c r="H6" s="85">
        <f>ROUNDUP(IF(N6=2500,(F6-L6-N6)*(Q4/(Q8-Q6-Q7)),(F6*R4)),0)</f>
        <v>42315</v>
      </c>
      <c r="I6" s="60"/>
      <c r="J6" s="222">
        <f>ROUNDUP(IF(SUM(H6,L6,N6,F6*R5)&gt;F6,((F6-L6-N6)*(Q5/(Q8-Q6-Q7))),(F6*R5)),0)</f>
        <v>25674</v>
      </c>
      <c r="K6" s="60"/>
      <c r="L6" s="85">
        <f>ROUNDUP(IF((F6*R$6&lt;2500),(2500),F6*R$6),0)</f>
        <v>5094</v>
      </c>
      <c r="M6" s="60"/>
      <c r="N6" s="85">
        <f>ROUNDUP(IF((F6*R$7&lt;2500),(2500),F6*R$7),0)</f>
        <v>7352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21159.8</v>
      </c>
      <c r="G7" s="60"/>
      <c r="H7" s="85">
        <f>ROUNDUP(F7*R$4,0)</f>
        <v>11132</v>
      </c>
      <c r="I7" s="60"/>
      <c r="J7" s="222">
        <f>ROUNDUP(F7*R$5,0)</f>
        <v>6755</v>
      </c>
      <c r="K7" s="60"/>
      <c r="L7" s="85">
        <f>ROUNDUP(F7*R$6,0)</f>
        <v>1340</v>
      </c>
      <c r="M7" s="60"/>
      <c r="N7" s="85">
        <f>ROUNDUP(F7*R$7,0)</f>
        <v>1934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7465.17</v>
      </c>
      <c r="G9" s="60"/>
      <c r="H9" s="85">
        <v>0</v>
      </c>
      <c r="I9" s="60"/>
      <c r="J9" s="222">
        <v>0</v>
      </c>
      <c r="K9" s="60"/>
      <c r="L9" s="85">
        <f>ROUNDUP(F9,0)</f>
        <v>7466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1334.29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3928.6618456314254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5262.9518456314254</v>
      </c>
      <c r="G13" s="60"/>
      <c r="H13" s="85">
        <f>ROUNDUP(F13*R$4,0)</f>
        <v>2769</v>
      </c>
      <c r="I13" s="60"/>
      <c r="J13" s="222">
        <f>ROUNDUP(F13*R$5,0)</f>
        <v>1680</v>
      </c>
      <c r="K13" s="60"/>
      <c r="L13" s="85">
        <f>ROUNDUP(F13*R$6,0)</f>
        <v>334</v>
      </c>
      <c r="M13" s="60"/>
      <c r="N13" s="85">
        <f>ROUNDUP(F13*R$7,0)</f>
        <v>481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3048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7040.3652190412186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10088.365219041218</v>
      </c>
      <c r="G17" s="60"/>
      <c r="H17" s="85">
        <f>ROUNDUP(F17*R$4,0)</f>
        <v>5308</v>
      </c>
      <c r="I17" s="60"/>
      <c r="J17" s="222">
        <f>ROUNDUP(F17*R$5,0)</f>
        <v>3221</v>
      </c>
      <c r="K17" s="60"/>
      <c r="L17" s="85">
        <f>ROUNDUP(F17*R$6,0)</f>
        <v>639</v>
      </c>
      <c r="M17" s="60"/>
      <c r="N17" s="85">
        <f>ROUNDUP(F17*R$7,0)</f>
        <v>923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64729.508267358404</v>
      </c>
      <c r="G19" s="60"/>
      <c r="H19" s="85">
        <f>ROUNDUP(F19*R$4,0)</f>
        <v>34054</v>
      </c>
      <c r="I19" s="60"/>
      <c r="J19" s="222">
        <f>ROUNDUP(F19*R$5,0)</f>
        <v>20662</v>
      </c>
      <c r="K19" s="60"/>
      <c r="L19" s="85">
        <f>ROUNDUP(F19*R$6,0)</f>
        <v>4099</v>
      </c>
      <c r="M19" s="60"/>
      <c r="N19" s="85">
        <f>ROUNDUP(F19*R$7,0)</f>
        <v>5916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2738.57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9460.2227434015203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12198.79274340152</v>
      </c>
      <c r="G23" s="60"/>
      <c r="H23" s="85">
        <f>ROUNDUP(F23*R$4,0)</f>
        <v>6418</v>
      </c>
      <c r="I23" s="60"/>
      <c r="J23" s="222">
        <f>ROUNDUP(F23*R$5,0)</f>
        <v>3894</v>
      </c>
      <c r="K23" s="60"/>
      <c r="L23" s="85">
        <f>ROUNDUP(F23*R$6,0)</f>
        <v>773</v>
      </c>
      <c r="M23" s="60"/>
      <c r="N23" s="85">
        <f>ROUNDUP(F23*R$7,0)</f>
        <v>1115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18368.07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1898.9375668457035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20267.007566845703</v>
      </c>
      <c r="G27" s="60"/>
      <c r="H27" s="85">
        <f>ROUNDUP(F27*R$4,0)</f>
        <v>10663</v>
      </c>
      <c r="I27" s="60"/>
      <c r="J27" s="222">
        <f>ROUNDUP(F27*R$5,0)</f>
        <v>6470</v>
      </c>
      <c r="K27" s="60"/>
      <c r="L27" s="85">
        <f>ROUNDUP(F27*R$6,0)</f>
        <v>1284</v>
      </c>
      <c r="M27" s="60"/>
      <c r="N27" s="85">
        <f>ROUNDUP(F27*R$7,0)</f>
        <v>1853</v>
      </c>
    </row>
    <row r="28" spans="2:22" x14ac:dyDescent="0.25">
      <c r="B28" t="s">
        <v>25</v>
      </c>
      <c r="F28" s="85">
        <f>'Allocation Charges'!L13</f>
        <v>13564.278049852874</v>
      </c>
      <c r="G28" s="60"/>
      <c r="H28" s="85">
        <f>ROUNDUP(F28*R$4,0)</f>
        <v>7136</v>
      </c>
      <c r="I28" s="60"/>
      <c r="J28" s="222">
        <f>ROUNDUP(F28*R$5,0)</f>
        <v>4330</v>
      </c>
      <c r="K28" s="60"/>
      <c r="L28" s="85">
        <f>ROUNDUP(F28*R$6,0)</f>
        <v>859</v>
      </c>
      <c r="M28" s="60"/>
      <c r="N28" s="85">
        <f>ROUNDUP(F28*R$7,0)</f>
        <v>1240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321.88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108.58675345573438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430.46675345573436</v>
      </c>
      <c r="G32" s="60"/>
      <c r="H32" s="85">
        <f>ROUNDUP(F32*R$4,0)</f>
        <v>227</v>
      </c>
      <c r="I32" s="60"/>
      <c r="J32" s="222">
        <f>ROUNDUP(F32*R$5,0)</f>
        <v>138</v>
      </c>
      <c r="K32" s="60"/>
      <c r="L32" s="85">
        <f>ROUNDUP(F32*R$6,0)</f>
        <v>28</v>
      </c>
      <c r="M32" s="60"/>
      <c r="N32" s="85">
        <f>ROUNDUP(F32*R$7,0)</f>
        <v>40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39296.339999999997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13389.726429339009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52686.066429339007</v>
      </c>
      <c r="G36" s="60"/>
      <c r="H36" s="85">
        <f>ROUNDUP(F36*R$4,0)</f>
        <v>27718</v>
      </c>
      <c r="I36" s="60"/>
      <c r="J36" s="222">
        <f>ROUNDUP(F36*R$5,0)</f>
        <v>16818</v>
      </c>
      <c r="K36" s="60"/>
      <c r="L36" s="85">
        <f>ROUNDUP(F36*R$6,0)</f>
        <v>3337</v>
      </c>
      <c r="M36" s="60"/>
      <c r="N36" s="85">
        <f>ROUNDUP(F36*R$7,0)</f>
        <v>4816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2513.0697724061133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3525.2430969514985</v>
      </c>
      <c r="G40" s="60"/>
      <c r="H40" s="85">
        <f>ROUNDUP(F40*R$4,0)</f>
        <v>1855</v>
      </c>
      <c r="I40" s="60"/>
      <c r="J40" s="222">
        <f>ROUNDUP(F40*R$5,0)</f>
        <v>1126</v>
      </c>
      <c r="K40" s="60"/>
      <c r="L40" s="85">
        <f>ROUNDUP(F40*R$6,0)</f>
        <v>224</v>
      </c>
      <c r="M40" s="60"/>
      <c r="N40" s="85">
        <f>ROUNDUP(F40*R$7,0)</f>
        <v>323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296602.54974428355</v>
      </c>
      <c r="G42" s="60"/>
      <c r="H42" s="219">
        <f>SUM(H6:H41)</f>
        <v>152117</v>
      </c>
      <c r="I42" s="60"/>
      <c r="J42" s="219">
        <f>SUM(J6:J41)</f>
        <v>92299</v>
      </c>
      <c r="K42" s="60"/>
      <c r="L42" s="219">
        <f>SUM(L6:L41)</f>
        <v>25782</v>
      </c>
      <c r="M42" s="60"/>
      <c r="N42" s="219">
        <f>SUM(N6:N41)</f>
        <v>26432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8090</v>
      </c>
      <c r="G57" s="8"/>
      <c r="H57" s="85">
        <v>0</v>
      </c>
      <c r="I57" s="8"/>
      <c r="J57" s="222">
        <f>ROUNDUP('Commodity OK'!F24+'Commodity OK'!F25+'Commodity OK'!F26,0)</f>
        <v>8090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130357</v>
      </c>
      <c r="G58" s="120"/>
      <c r="H58" s="85">
        <f>ROUNDUP('Commodity OK'!Q6-H59,0)</f>
        <v>53956</v>
      </c>
      <c r="I58" s="120"/>
      <c r="J58" s="222">
        <f>ROUNDUP('Commodity OK'!Q8-J59-J57,0)</f>
        <v>49597</v>
      </c>
      <c r="K58" s="120"/>
      <c r="L58" s="222">
        <f>ROUNDUP('Commodity OK'!Q7-L59,0)</f>
        <v>2790</v>
      </c>
      <c r="M58" s="120"/>
      <c r="N58" s="222">
        <f>ROUNDUP('Commodity OK'!Q9-N59-N60,0)</f>
        <v>24014</v>
      </c>
    </row>
    <row r="59" spans="1:14" x14ac:dyDescent="0.25">
      <c r="A59" s="16"/>
      <c r="B59" t="s">
        <v>108</v>
      </c>
      <c r="F59" s="85">
        <f>SUM(H59:N59)</f>
        <v>12372</v>
      </c>
      <c r="G59" s="120"/>
      <c r="H59" s="85">
        <f>ROUNDUP(('Commodity OK'!F43-'Commodity OK'!F40)*'Commodity OK'!O6,0)</f>
        <v>4820</v>
      </c>
      <c r="I59" s="120"/>
      <c r="J59" s="222">
        <f>ROUNDUP(('Commodity OK'!F43-'Commodity OK'!F40)*'Commodity OK'!O8,0)</f>
        <v>5153</v>
      </c>
      <c r="K59" s="120"/>
      <c r="L59" s="222">
        <f>ROUNDUP(('Commodity OK'!F43-'Commodity OK'!F40)*'Commodity OK'!O7,0)</f>
        <v>250</v>
      </c>
      <c r="M59" s="120"/>
      <c r="N59" s="222">
        <f>ROUNDUP(('Commodity OK'!F43-'Commodity OK'!F40)*'Commodity OK'!O9,0)</f>
        <v>2149</v>
      </c>
    </row>
    <row r="60" spans="1:14" x14ac:dyDescent="0.25">
      <c r="A60" s="16"/>
      <c r="B60" t="s">
        <v>113</v>
      </c>
      <c r="F60" s="85">
        <f>SUM(H60:N60)</f>
        <v>43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43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150862</v>
      </c>
      <c r="G62" s="221"/>
      <c r="H62" s="219">
        <f>SUM(H57:H60)</f>
        <v>58776</v>
      </c>
      <c r="I62" s="221"/>
      <c r="J62" s="219">
        <f>SUM(J57:J60)</f>
        <v>62840</v>
      </c>
      <c r="K62" s="221"/>
      <c r="L62" s="219">
        <f>SUM(L57:L60)</f>
        <v>3040</v>
      </c>
      <c r="M62" s="221"/>
      <c r="N62" s="220">
        <f>SUM(N57:N60)</f>
        <v>26206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487960.16966637544</v>
      </c>
      <c r="G66" s="120"/>
      <c r="H66" s="219">
        <f>H53+H42+H62</f>
        <v>232201</v>
      </c>
      <c r="I66" s="120"/>
      <c r="J66" s="220">
        <f>J53+J42+J62</f>
        <v>168069</v>
      </c>
      <c r="K66" s="120"/>
      <c r="L66" s="220">
        <f>L53+L42+L62</f>
        <v>31389</v>
      </c>
      <c r="M66" s="120"/>
      <c r="N66" s="220">
        <f>N53+N42+N62</f>
        <v>56343</v>
      </c>
    </row>
    <row r="68" spans="4:14" x14ac:dyDescent="0.25">
      <c r="F68" s="6">
        <f>SUM(H66:N66)</f>
        <v>488002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zoomScaleNormal="100" workbookViewId="0">
      <selection activeCell="F29" sqref="F29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276</v>
      </c>
      <c r="G2" s="97"/>
      <c r="H2" s="97" t="s">
        <v>277</v>
      </c>
      <c r="I2" s="99"/>
      <c r="J2" s="54"/>
    </row>
    <row r="3" spans="2:21" x14ac:dyDescent="0.25">
      <c r="M3" s="101" t="s">
        <v>278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274</v>
      </c>
      <c r="N4" s="19"/>
      <c r="O4" s="19" t="s">
        <v>78</v>
      </c>
      <c r="P4" s="19"/>
      <c r="Q4" s="19" t="s">
        <v>79</v>
      </c>
      <c r="R4" s="19"/>
      <c r="S4" s="176" t="s">
        <v>275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329</v>
      </c>
      <c r="E6" s="27"/>
      <c r="F6" s="214">
        <v>47.31</v>
      </c>
      <c r="H6" s="6">
        <f t="shared" ref="H6:H16" si="0">F6/D6</f>
        <v>0.14379939209726444</v>
      </c>
      <c r="K6" t="s">
        <v>33</v>
      </c>
      <c r="M6" s="132">
        <v>222969</v>
      </c>
      <c r="O6" s="25">
        <f>+M6/$M$11</f>
        <v>0.38959956526525286</v>
      </c>
      <c r="Q6" s="6">
        <f>O6*F45</f>
        <v>58775.407287450871</v>
      </c>
      <c r="S6" s="132">
        <v>372010</v>
      </c>
      <c r="U6" s="110" t="s">
        <v>152</v>
      </c>
    </row>
    <row r="7" spans="2:21" x14ac:dyDescent="0.25">
      <c r="C7" s="127" t="s">
        <v>141</v>
      </c>
      <c r="D7" s="88">
        <f>3053+818</f>
        <v>3871</v>
      </c>
      <c r="E7" s="27"/>
      <c r="F7" s="214">
        <f>1092+1284.2</f>
        <v>2376.1999999999998</v>
      </c>
      <c r="H7" s="6">
        <f t="shared" si="0"/>
        <v>0.61384655127873933</v>
      </c>
      <c r="K7" t="s">
        <v>81</v>
      </c>
      <c r="M7" s="132">
        <v>11532</v>
      </c>
      <c r="O7" s="25">
        <f t="shared" ref="O7:O9" si="1">+M7/$M$11</f>
        <v>2.0150165209687876E-2</v>
      </c>
      <c r="Q7" s="6">
        <f>O7*F45</f>
        <v>3039.8754842102867</v>
      </c>
      <c r="S7" s="132">
        <v>13348</v>
      </c>
    </row>
    <row r="8" spans="2:21" x14ac:dyDescent="0.25">
      <c r="C8" s="127" t="s">
        <v>164</v>
      </c>
      <c r="D8" s="88">
        <f>354+1700</f>
        <v>2054</v>
      </c>
      <c r="E8" s="27"/>
      <c r="F8" s="214">
        <f>535.57+1341.09</f>
        <v>1876.6599999999999</v>
      </c>
      <c r="H8" s="6">
        <f t="shared" si="0"/>
        <v>0.91366114897760464</v>
      </c>
      <c r="K8" t="s">
        <v>82</v>
      </c>
      <c r="M8" s="132">
        <v>238388</v>
      </c>
      <c r="O8" s="25">
        <f t="shared" si="1"/>
        <v>0.41654158723613188</v>
      </c>
      <c r="Q8" s="6">
        <f>O8*F45</f>
        <v>62839.909549941192</v>
      </c>
      <c r="S8" s="132">
        <v>342084</v>
      </c>
    </row>
    <row r="9" spans="2:21" x14ac:dyDescent="0.25">
      <c r="C9" s="127" t="s">
        <v>63</v>
      </c>
      <c r="D9" s="88">
        <v>17648</v>
      </c>
      <c r="E9" s="27"/>
      <c r="F9" s="214">
        <v>21099.41</v>
      </c>
      <c r="H9" s="6">
        <f t="shared" si="0"/>
        <v>1.1955694696282866</v>
      </c>
      <c r="K9" t="s">
        <v>109</v>
      </c>
      <c r="M9" s="132">
        <v>99414</v>
      </c>
      <c r="O9" s="25">
        <f t="shared" si="1"/>
        <v>0.17370868228892736</v>
      </c>
      <c r="Q9" s="6">
        <f>O9*F45</f>
        <v>26205.877678397628</v>
      </c>
      <c r="S9" s="132">
        <v>102552</v>
      </c>
    </row>
    <row r="10" spans="2:21" x14ac:dyDescent="0.25">
      <c r="C10" s="127" t="s">
        <v>64</v>
      </c>
      <c r="D10" s="88">
        <v>2661</v>
      </c>
      <c r="E10" s="27"/>
      <c r="F10" s="214">
        <v>1995.37</v>
      </c>
      <c r="H10" s="6">
        <f t="shared" si="0"/>
        <v>0.74985719654265315</v>
      </c>
    </row>
    <row r="11" spans="2:21" x14ac:dyDescent="0.25">
      <c r="C11" s="127" t="s">
        <v>65</v>
      </c>
      <c r="D11" s="88">
        <v>272</v>
      </c>
      <c r="E11" s="27"/>
      <c r="F11" s="214">
        <v>596.91</v>
      </c>
      <c r="H11" s="6">
        <f t="shared" si="0"/>
        <v>2.1945220588235292</v>
      </c>
      <c r="M11" s="28">
        <f>SUM(M6:M10)</f>
        <v>572303</v>
      </c>
      <c r="N11" s="32"/>
      <c r="O11" s="33">
        <f>SUM(O6:O9)</f>
        <v>1</v>
      </c>
      <c r="P11" s="32"/>
      <c r="Q11" s="30">
        <f>SUM(Q6:Q9)</f>
        <v>150861.06999999998</v>
      </c>
      <c r="R11" s="32"/>
      <c r="S11" s="28">
        <f>SUM(S6:S10)</f>
        <v>829994</v>
      </c>
    </row>
    <row r="12" spans="2:21" x14ac:dyDescent="0.25">
      <c r="C12" s="127" t="s">
        <v>66</v>
      </c>
      <c r="D12" s="88">
        <v>2647</v>
      </c>
      <c r="E12" s="27"/>
      <c r="F12" s="214">
        <v>2293.87</v>
      </c>
      <c r="H12" s="6">
        <f t="shared" si="0"/>
        <v>0.86659236871930478</v>
      </c>
      <c r="K12" s="217"/>
    </row>
    <row r="13" spans="2:21" x14ac:dyDescent="0.25">
      <c r="C13" s="127" t="s">
        <v>67</v>
      </c>
      <c r="D13" s="88">
        <v>200</v>
      </c>
      <c r="E13" s="27"/>
      <c r="F13" s="214">
        <v>636.83000000000004</v>
      </c>
      <c r="H13" s="6">
        <f t="shared" si="0"/>
        <v>3.1841500000000003</v>
      </c>
      <c r="M13" t="s">
        <v>197</v>
      </c>
      <c r="Q13" s="6"/>
    </row>
    <row r="14" spans="2:21" x14ac:dyDescent="0.25">
      <c r="C14" s="127" t="s">
        <v>68</v>
      </c>
      <c r="D14" s="88">
        <v>918</v>
      </c>
      <c r="E14" s="27"/>
      <c r="F14" s="214">
        <v>783.24</v>
      </c>
      <c r="H14" s="6">
        <f t="shared" si="0"/>
        <v>0.85320261437908496</v>
      </c>
      <c r="O14" t="s">
        <v>206</v>
      </c>
    </row>
    <row r="15" spans="2:21" x14ac:dyDescent="0.25">
      <c r="C15" s="127" t="s">
        <v>69</v>
      </c>
      <c r="D15" s="88">
        <v>23</v>
      </c>
      <c r="E15" s="27"/>
      <c r="F15" s="214">
        <v>150.68</v>
      </c>
      <c r="H15" s="6">
        <f t="shared" si="0"/>
        <v>6.5513043478260871</v>
      </c>
      <c r="O15" s="7" t="s">
        <v>202</v>
      </c>
      <c r="Q15" s="134">
        <v>132951.94</v>
      </c>
      <c r="S15" t="s">
        <v>213</v>
      </c>
    </row>
    <row r="16" spans="2:21" x14ac:dyDescent="0.25">
      <c r="C16" s="127" t="s">
        <v>70</v>
      </c>
      <c r="D16" s="88">
        <v>114</v>
      </c>
      <c r="E16" s="27"/>
      <c r="F16" s="214">
        <v>202.87</v>
      </c>
      <c r="H16" s="6">
        <f t="shared" si="0"/>
        <v>1.7795614035087719</v>
      </c>
      <c r="O16" s="7" t="s">
        <v>204</v>
      </c>
      <c r="Q16" s="102">
        <v>6196.77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f>494.7+1.69</f>
        <v>496.39</v>
      </c>
      <c r="H17" s="6">
        <f>F17/D17</f>
        <v>5.8398823529411761</v>
      </c>
      <c r="J17" s="6"/>
      <c r="O17" s="7" t="s">
        <v>205</v>
      </c>
      <c r="Q17" s="102">
        <v>5547.96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30822</v>
      </c>
      <c r="E18" s="31"/>
      <c r="F18" s="30">
        <f>SUM(F6:F17)</f>
        <v>32555.74</v>
      </c>
      <c r="G18" s="20"/>
      <c r="H18" s="6">
        <f>F18/D18</f>
        <v>1.0562500811108948</v>
      </c>
      <c r="I18" s="20"/>
      <c r="J18" s="6"/>
      <c r="M18" s="6"/>
      <c r="O18" s="6" t="s">
        <v>145</v>
      </c>
      <c r="Q18" s="104">
        <f>SUM(Q15:Q17)</f>
        <v>144696.66999999998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6164.4000000000005</v>
      </c>
      <c r="S19" t="s">
        <v>214</v>
      </c>
      <c r="W19" s="6"/>
    </row>
    <row r="20" spans="3:24" x14ac:dyDescent="0.25">
      <c r="O20" s="6" t="s">
        <v>50</v>
      </c>
      <c r="Q20" s="173">
        <f>+Q18+Q19</f>
        <v>150861.06999999998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0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329</v>
      </c>
      <c r="F23" s="214">
        <v>564.29</v>
      </c>
      <c r="H23" s="6">
        <f t="shared" ref="H23:H26" si="2">F23/D23</f>
        <v>1.7151671732522795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273</v>
      </c>
      <c r="D25" s="88">
        <v>4390</v>
      </c>
      <c r="F25" s="63">
        <v>8089.85</v>
      </c>
      <c r="H25" s="6">
        <f t="shared" si="2"/>
        <v>1.8427904328018223</v>
      </c>
      <c r="Q25" s="6"/>
    </row>
    <row r="26" spans="3:24" x14ac:dyDescent="0.25">
      <c r="C26" t="s">
        <v>238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260</v>
      </c>
      <c r="D27" s="88">
        <v>18510</v>
      </c>
      <c r="F27" s="214">
        <v>44470.28</v>
      </c>
      <c r="H27" s="6">
        <f>F29/D29</f>
        <v>2.0127974616604969</v>
      </c>
      <c r="S27" s="6"/>
    </row>
    <row r="28" spans="3:24" x14ac:dyDescent="0.25">
      <c r="C28" s="127" t="s">
        <v>258</v>
      </c>
      <c r="D28" s="88">
        <v>6386</v>
      </c>
      <c r="F28" s="214">
        <v>12522.14</v>
      </c>
      <c r="H28" s="6">
        <f>F28/D28</f>
        <v>1.960873786407767</v>
      </c>
      <c r="S28" s="6"/>
    </row>
    <row r="29" spans="3:24" x14ac:dyDescent="0.25">
      <c r="C29" s="127" t="s">
        <v>259</v>
      </c>
      <c r="D29" s="88">
        <v>1891</v>
      </c>
      <c r="F29" s="214">
        <v>3806.2</v>
      </c>
      <c r="H29" s="6">
        <f>F30/D30</f>
        <v>3.2072980741592412</v>
      </c>
      <c r="S29" s="6"/>
    </row>
    <row r="30" spans="3:24" x14ac:dyDescent="0.25">
      <c r="C30" s="127" t="s">
        <v>174</v>
      </c>
      <c r="D30" s="88">
        <v>3479</v>
      </c>
      <c r="F30" s="214">
        <v>11158.19</v>
      </c>
      <c r="H30" s="6">
        <f>F27/D27</f>
        <v>2.402500270124257</v>
      </c>
      <c r="O30" s="6"/>
      <c r="Q30" s="6"/>
    </row>
    <row r="31" spans="3:24" x14ac:dyDescent="0.25">
      <c r="C31" s="127" t="s">
        <v>263</v>
      </c>
      <c r="D31" s="88">
        <v>8</v>
      </c>
      <c r="F31" s="214">
        <v>46.39</v>
      </c>
      <c r="H31" s="6">
        <f>F31/D31</f>
        <v>5.7987500000000001</v>
      </c>
    </row>
    <row r="32" spans="3:24" x14ac:dyDescent="0.25">
      <c r="C32" s="127" t="s">
        <v>247</v>
      </c>
      <c r="D32" s="88"/>
      <c r="F32" s="214"/>
      <c r="H32" s="6" t="e">
        <f>F32/D32</f>
        <v>#DIV/0!</v>
      </c>
    </row>
    <row r="33" spans="3:22" x14ac:dyDescent="0.25">
      <c r="C33" s="127" t="s">
        <v>110</v>
      </c>
      <c r="D33" s="88">
        <v>4397</v>
      </c>
      <c r="F33" s="214">
        <v>19039.009999999998</v>
      </c>
      <c r="H33" s="6">
        <f t="shared" ref="H33:H35" si="3">F33/D33</f>
        <v>4.33</v>
      </c>
    </row>
    <row r="34" spans="3:22" x14ac:dyDescent="0.25">
      <c r="C34" s="127" t="s">
        <v>246</v>
      </c>
      <c r="D34" s="88"/>
      <c r="F34" s="214"/>
      <c r="H34" s="6" t="e">
        <f t="shared" si="3"/>
        <v>#DIV/0!</v>
      </c>
    </row>
    <row r="35" spans="3:22" x14ac:dyDescent="0.25">
      <c r="C35" t="s">
        <v>190</v>
      </c>
      <c r="D35" s="88"/>
      <c r="F35" s="214">
        <v>6196.77</v>
      </c>
      <c r="H35" s="6" t="e">
        <f t="shared" si="3"/>
        <v>#DIV/0!</v>
      </c>
      <c r="J35" s="6"/>
    </row>
    <row r="36" spans="3:22" x14ac:dyDescent="0.25">
      <c r="D36" s="28">
        <f>SUM(D23:D35)</f>
        <v>39390</v>
      </c>
      <c r="E36" s="16"/>
      <c r="F36" s="89">
        <f>SUM(F23:F35)</f>
        <v>105893.12</v>
      </c>
      <c r="H36" s="6">
        <f>F36/D36</f>
        <v>2.6883249555724804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42.85</v>
      </c>
      <c r="Q40" s="6"/>
      <c r="S40" s="6"/>
    </row>
    <row r="41" spans="3:22" ht="15.75" thickBot="1" x14ac:dyDescent="0.3">
      <c r="C41" t="s">
        <v>75</v>
      </c>
      <c r="F41" s="109">
        <f>+D18*0.18</f>
        <v>5547.96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6164.4000000000005</v>
      </c>
      <c r="J42" s="76" t="s">
        <v>194</v>
      </c>
    </row>
    <row r="43" spans="3:22" x14ac:dyDescent="0.25">
      <c r="F43" s="30">
        <f>SUM(F39:F42)</f>
        <v>12412.210000000001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132951.94+6196.77</f>
        <v>139148.71</v>
      </c>
      <c r="D44" s="117" t="s">
        <v>215</v>
      </c>
      <c r="J44" s="160">
        <f>+D18</f>
        <v>30822</v>
      </c>
      <c r="K44" s="147">
        <v>0.18</v>
      </c>
      <c r="L44" s="147"/>
      <c r="M44" s="161">
        <f>+J44*K44</f>
        <v>5547.96</v>
      </c>
      <c r="S44" s="54"/>
      <c r="T44" s="54"/>
      <c r="U44" s="54"/>
      <c r="V44" s="169"/>
    </row>
    <row r="45" spans="3:22" x14ac:dyDescent="0.25">
      <c r="C45" s="6">
        <f>+F18+F36+F39+F40</f>
        <v>139148.71</v>
      </c>
      <c r="D45" s="15" t="s">
        <v>39</v>
      </c>
      <c r="E45" s="16"/>
      <c r="F45" s="173">
        <f>F18+F36+F43</f>
        <v>150861.06999999998</v>
      </c>
    </row>
    <row r="46" spans="3:22" x14ac:dyDescent="0.25">
      <c r="C46" s="6">
        <f>+C45-C44</f>
        <v>0</v>
      </c>
      <c r="F46" s="99">
        <f>F45-F42-F41</f>
        <v>139148.71</v>
      </c>
      <c r="H46" s="177">
        <f>F46-F35</f>
        <v>132951.94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27" zoomScaleNormal="100" workbookViewId="0">
      <selection activeCell="I45" sqref="I4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Apr 24 billing =Apr invoices = Mar Flow  data= Mar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7380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12634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210.85</v>
      </c>
      <c r="G11" s="6"/>
      <c r="J11" s="1"/>
    </row>
    <row r="12" spans="1:16" x14ac:dyDescent="0.25">
      <c r="C12" t="s">
        <v>38</v>
      </c>
      <c r="F12" s="6">
        <f>'Allocation Charges'!J7</f>
        <v>523.65235973523238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735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939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8628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1260.9555512423901</v>
      </c>
      <c r="G20" s="6"/>
    </row>
    <row r="21" spans="2:7" x14ac:dyDescent="0.25">
      <c r="D21" s="7" t="s">
        <v>39</v>
      </c>
      <c r="E21" s="36"/>
      <c r="F21" s="224">
        <f>ROUNDUP(F20+F19,0)</f>
        <v>1456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264.39999999999998</v>
      </c>
      <c r="G23" s="6"/>
    </row>
    <row r="24" spans="2:7" x14ac:dyDescent="0.25">
      <c r="C24" t="s">
        <v>38</v>
      </c>
      <c r="F24" s="6">
        <f>'Allocation Charges'!J12</f>
        <v>253.109882433471</v>
      </c>
      <c r="G24" s="6"/>
    </row>
    <row r="25" spans="2:7" x14ac:dyDescent="0.25">
      <c r="D25" s="7" t="s">
        <v>39</v>
      </c>
      <c r="E25" s="36"/>
      <c r="F25" s="224">
        <f>ROUNDUP(F24+F23,0)</f>
        <v>518</v>
      </c>
      <c r="G25" s="6"/>
    </row>
    <row r="26" spans="2:7" x14ac:dyDescent="0.25">
      <c r="B26" t="s">
        <v>25</v>
      </c>
      <c r="F26" s="85">
        <f>ROUNDUP('Allocation Charges'!J13,0)</f>
        <v>1808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3716.94</v>
      </c>
      <c r="G28" s="6"/>
    </row>
    <row r="29" spans="2:7" x14ac:dyDescent="0.25">
      <c r="C29" t="s">
        <v>38</v>
      </c>
      <c r="F29" s="6">
        <f>'Allocation Charges'!J14</f>
        <v>14.473556624964306</v>
      </c>
      <c r="G29" s="6"/>
    </row>
    <row r="30" spans="2:7" x14ac:dyDescent="0.25">
      <c r="D30" s="7" t="s">
        <v>39</v>
      </c>
      <c r="E30" s="36"/>
      <c r="F30" s="224">
        <f>ROUNDUP(F29+F28,0)</f>
        <v>3732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677.14</v>
      </c>
      <c r="G32" s="6"/>
    </row>
    <row r="33" spans="1:7" x14ac:dyDescent="0.25">
      <c r="C33" t="s">
        <v>38</v>
      </c>
      <c r="F33" s="6">
        <f>'Allocation Charges'!J15</f>
        <v>1784.7201200910847</v>
      </c>
      <c r="G33" s="6"/>
    </row>
    <row r="34" spans="1:7" x14ac:dyDescent="0.25">
      <c r="D34" s="7" t="s">
        <v>39</v>
      </c>
      <c r="E34" s="36"/>
      <c r="F34" s="224">
        <f>ROUNDUP(F33+F32,0)</f>
        <v>2462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335</v>
      </c>
      <c r="G37" s="6"/>
    </row>
    <row r="38" spans="1:7" x14ac:dyDescent="0.25">
      <c r="B38" t="s">
        <v>30</v>
      </c>
      <c r="F38" s="85">
        <f>ROUNDUP('Allocation Charges'!J19,0)</f>
        <v>470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41097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271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7195</v>
      </c>
      <c r="H53" s="106">
        <f>'Commodity TN KY'!E15*'Commodity TN KY'!G20</f>
        <v>2131.9091733394635</v>
      </c>
    </row>
    <row r="54" spans="1:8" x14ac:dyDescent="0.25">
      <c r="A54" s="16"/>
      <c r="B54" t="s">
        <v>241</v>
      </c>
      <c r="F54" s="6">
        <f>ROUNDUP('Commodity TN KY'!I27,0)</f>
        <v>5647</v>
      </c>
      <c r="H54" s="106">
        <f>+'Commodity TN KY'!E27</f>
        <v>2754.6</v>
      </c>
    </row>
    <row r="55" spans="1:8" x14ac:dyDescent="0.25">
      <c r="A55" s="16"/>
      <c r="B55" t="s">
        <v>242</v>
      </c>
      <c r="F55" s="6">
        <f>ROUNDUP('Commodity TN KY'!I28,0)</f>
        <v>731</v>
      </c>
      <c r="H55" s="106">
        <f>+'Commodity TN KY'!E28</f>
        <v>593</v>
      </c>
    </row>
    <row r="56" spans="1:8" x14ac:dyDescent="0.25">
      <c r="F56" s="218">
        <f>SUM(F53:F55)</f>
        <v>13573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60070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5" zoomScaleNormal="100" workbookViewId="0">
      <selection activeCell="P50" sqref="P5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Apr 24 billing =Apr invoices = Mar Flow  data= Mar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12139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2906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183.17</v>
      </c>
      <c r="G11" s="6"/>
      <c r="J11" s="1"/>
    </row>
    <row r="12" spans="1:11" x14ac:dyDescent="0.25">
      <c r="C12" t="s">
        <v>38</v>
      </c>
      <c r="F12" s="60">
        <f>'Allocation Charges'!H7</f>
        <v>1121.4324282362911</v>
      </c>
      <c r="G12" s="6"/>
      <c r="J12" s="1"/>
    </row>
    <row r="13" spans="1:11" x14ac:dyDescent="0.25">
      <c r="D13" s="7" t="s">
        <v>39</v>
      </c>
      <c r="F13" s="86">
        <f>ROUNDUP(F11+F12,0)</f>
        <v>1305</v>
      </c>
      <c r="G13" s="6"/>
      <c r="J13" s="1"/>
    </row>
    <row r="14" spans="1:11" x14ac:dyDescent="0.25">
      <c r="B14" t="s">
        <v>15</v>
      </c>
      <c r="F14" s="83">
        <f>ROUNDUP('Allocation Charges'!H8,0)</f>
        <v>2010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18477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320.54000000000002</v>
      </c>
      <c r="G18" s="6"/>
    </row>
    <row r="19" spans="2:7" x14ac:dyDescent="0.25">
      <c r="C19" t="s">
        <v>38</v>
      </c>
      <c r="F19" s="60">
        <f>'Allocation Charges'!H11</f>
        <v>2700.4107198958595</v>
      </c>
      <c r="G19" s="6"/>
    </row>
    <row r="20" spans="2:7" x14ac:dyDescent="0.25">
      <c r="D20" s="7" t="s">
        <v>39</v>
      </c>
      <c r="F20" s="86">
        <f>ROUNDUP(F18+F19,0)</f>
        <v>3021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6146.75</v>
      </c>
      <c r="G22" s="6"/>
    </row>
    <row r="23" spans="2:7" x14ac:dyDescent="0.25">
      <c r="C23" t="s">
        <v>38</v>
      </c>
      <c r="F23" s="60">
        <f>'Allocation Charges'!H12</f>
        <v>542.04974882856777</v>
      </c>
      <c r="G23" s="6"/>
    </row>
    <row r="24" spans="2:7" x14ac:dyDescent="0.25">
      <c r="D24" s="7" t="s">
        <v>39</v>
      </c>
      <c r="F24" s="86">
        <f>ROUNDUP(F22+F23,0)</f>
        <v>6689</v>
      </c>
      <c r="G24" s="6"/>
    </row>
    <row r="25" spans="2:7" x14ac:dyDescent="0.25">
      <c r="B25" t="s">
        <v>25</v>
      </c>
      <c r="F25" s="83">
        <f>ROUNDUP('Allocation Charges'!H13,0)</f>
        <v>3872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78</v>
      </c>
      <c r="G27" s="6"/>
    </row>
    <row r="28" spans="2:7" x14ac:dyDescent="0.25">
      <c r="C28" t="s">
        <v>38</v>
      </c>
      <c r="F28" s="60">
        <f>'Allocation Charges'!H14</f>
        <v>30.995975573099507</v>
      </c>
      <c r="G28" s="6"/>
    </row>
    <row r="29" spans="2:7" x14ac:dyDescent="0.25">
      <c r="D29" s="7" t="s">
        <v>39</v>
      </c>
      <c r="F29" s="86">
        <f>ROUNDUP(F27+F28,0)</f>
        <v>109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3822.0834505699049</v>
      </c>
      <c r="G32" s="6"/>
    </row>
    <row r="33" spans="1:10" x14ac:dyDescent="0.25">
      <c r="D33" s="7" t="s">
        <v>39</v>
      </c>
      <c r="F33" s="86">
        <f>ROUNDUP(F31+F32,0)</f>
        <v>6942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1007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59195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270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53859</v>
      </c>
      <c r="H53" s="114">
        <f>'Commodity TN KY'!E15*'Commodity TN KY'!G19</f>
        <v>15960.090826660537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124617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13" zoomScaleNormal="100" workbookViewId="0">
      <selection activeCell="E19" sqref="E19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2404 file =</v>
      </c>
      <c r="J1" s="99"/>
      <c r="K1" s="100" t="str">
        <f>+'Commodity OK'!H2</f>
        <v>Data Input Apr 24 billing =Apr invoices = Mar Flow  data= Mar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f>980+2869</f>
        <v>3849</v>
      </c>
      <c r="F7" s="51"/>
      <c r="G7" s="49">
        <f t="shared" ref="G7:G14" si="0">I7/E7</f>
        <v>1.1030995063652898</v>
      </c>
      <c r="H7" s="49"/>
      <c r="I7" s="174">
        <f>2160.04+2085.79</f>
        <v>4245.83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2705+2282</f>
        <v>4987</v>
      </c>
      <c r="F8" s="48"/>
      <c r="G8" s="49">
        <f>I8/E8</f>
        <v>4.2512051333467022</v>
      </c>
      <c r="H8" s="49"/>
      <c r="I8" s="174">
        <f>12118.4+9082.36</f>
        <v>21200.760000000002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3276</v>
      </c>
      <c r="F9" s="48"/>
      <c r="G9" s="49">
        <f t="shared" si="0"/>
        <v>2.7172008547008546</v>
      </c>
      <c r="H9" s="49"/>
      <c r="I9" s="174">
        <v>8901.5499999999993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1540.17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883+245</f>
        <v>1128</v>
      </c>
      <c r="F12" s="48"/>
      <c r="G12" s="49">
        <f>I12/E12</f>
        <v>4.9152925531914891</v>
      </c>
      <c r="H12" s="49"/>
      <c r="I12" s="174">
        <f>4108.36+1436.09</f>
        <v>5544.45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f>2598+2254</f>
        <v>4852</v>
      </c>
      <c r="F13" s="48"/>
      <c r="G13" s="49">
        <f>I13/E13</f>
        <v>3.2810552349546578</v>
      </c>
      <c r="H13" s="49"/>
      <c r="I13" s="174">
        <f>8143.38+7776.3</f>
        <v>15919.68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18092</v>
      </c>
      <c r="F15" s="48"/>
      <c r="G15" s="42">
        <f>I15/(E8+E13)</f>
        <v>6.2051468645187517</v>
      </c>
      <c r="H15" s="49"/>
      <c r="I15" s="175">
        <f>SUM(I6:I14)</f>
        <v>61052.439999999995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f>21993+19485+14884+12714</f>
        <v>69076</v>
      </c>
      <c r="F19" s="48"/>
      <c r="G19" s="45">
        <f>E19/E22</f>
        <v>0.8821628800939938</v>
      </c>
      <c r="H19" s="48"/>
      <c r="I19" s="167">
        <f>I15*G19</f>
        <v>53858.196307165745</v>
      </c>
      <c r="J19" s="48"/>
      <c r="K19" s="92">
        <v>102716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f>2010+2052+5165</f>
        <v>9227</v>
      </c>
      <c r="F20" s="41"/>
      <c r="G20" s="45">
        <f>E20/E22</f>
        <v>0.11783711990600615</v>
      </c>
      <c r="H20" s="41"/>
      <c r="I20" s="166">
        <f>I15*G20</f>
        <v>7194.2436928342458</v>
      </c>
      <c r="J20" s="41"/>
      <c r="K20" s="92">
        <v>13767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78303</v>
      </c>
      <c r="F22" s="48"/>
      <c r="G22" s="45">
        <f>SUM(G19:G20)</f>
        <v>1</v>
      </c>
      <c r="H22" s="48"/>
      <c r="I22" s="154">
        <f>SUM(I19:I20)</f>
        <v>61052.439999999988</v>
      </c>
      <c r="J22" s="48"/>
      <c r="K22" s="38">
        <f>SUM(K19:K20)</f>
        <v>116483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2754.6</v>
      </c>
      <c r="F27" s="51"/>
      <c r="G27" s="49">
        <f>I27/E27</f>
        <v>2.0499782182531039</v>
      </c>
      <c r="H27" s="48"/>
      <c r="I27" s="157">
        <v>5646.87</v>
      </c>
      <c r="J27" s="48"/>
      <c r="K27" s="48"/>
      <c r="L27" s="48"/>
      <c r="P27" s="8">
        <f>I35+I20</f>
        <v>13571.973692834246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593</v>
      </c>
      <c r="F28" s="48"/>
      <c r="G28" s="49">
        <f>I28/E28</f>
        <v>1.2324789207419899</v>
      </c>
      <c r="H28" s="49"/>
      <c r="I28" s="158">
        <v>730.86</v>
      </c>
      <c r="J28" s="48"/>
      <c r="K28" s="48"/>
      <c r="L28" s="48"/>
      <c r="P28" s="134">
        <f>+E20+E33</f>
        <v>32026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6377.73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f>14008+6777+2014</f>
        <v>22799</v>
      </c>
      <c r="F33" s="48"/>
      <c r="G33" s="45">
        <f>E33/E35</f>
        <v>1</v>
      </c>
      <c r="H33" s="48"/>
      <c r="I33" s="49">
        <f>+I27+I28</f>
        <v>6377.73</v>
      </c>
      <c r="J33" s="48"/>
      <c r="K33" s="238">
        <v>43723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22799</v>
      </c>
      <c r="F35" s="48"/>
      <c r="G35" s="45">
        <f>G33</f>
        <v>1</v>
      </c>
      <c r="H35" s="48"/>
      <c r="I35" s="154">
        <f>I33</f>
        <v>6377.73</v>
      </c>
      <c r="J35" s="48"/>
      <c r="K35" s="38">
        <f>K33</f>
        <v>43723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53858.196307165745</v>
      </c>
      <c r="J38" s="184"/>
    </row>
    <row r="39" spans="1:25" x14ac:dyDescent="0.25">
      <c r="G39" s="185" t="s">
        <v>168</v>
      </c>
      <c r="I39" s="233">
        <f>+I20+I29</f>
        <v>13571.973692834246</v>
      </c>
      <c r="J39" s="186"/>
      <c r="P39" s="6"/>
    </row>
    <row r="40" spans="1:25" ht="15.75" thickBot="1" x14ac:dyDescent="0.3">
      <c r="G40" s="185"/>
      <c r="I40" s="105">
        <f>SUM(I38:I39)</f>
        <v>67430.169999999984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27578.49</v>
      </c>
      <c r="J43" s="186"/>
    </row>
    <row r="44" spans="1:25" x14ac:dyDescent="0.25">
      <c r="G44" s="185" t="s">
        <v>200</v>
      </c>
      <c r="I44" s="187">
        <v>39851.68</v>
      </c>
      <c r="J44" s="186"/>
    </row>
    <row r="45" spans="1:25" x14ac:dyDescent="0.25">
      <c r="G45" s="185" t="s">
        <v>198</v>
      </c>
      <c r="I45" s="187">
        <f>+I43+I44</f>
        <v>67430.17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topLeftCell="A27" zoomScaleNormal="100" workbookViewId="0">
      <selection activeCell="K54" sqref="K54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2404 file =</v>
      </c>
      <c r="M2" s="54"/>
      <c r="N2" s="97" t="str">
        <f>+'Commodity OK'!H2</f>
        <v>Data Input Apr 24 billing =Apr invoices = Mar Flow  data= Mar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372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890</v>
      </c>
      <c r="I7" s="68" t="s">
        <v>151</v>
      </c>
      <c r="J7" s="90">
        <v>921</v>
      </c>
      <c r="L7" s="49">
        <f t="shared" si="0"/>
        <v>1.1058414766558089</v>
      </c>
      <c r="N7" s="91">
        <f>938.61+79.87</f>
        <v>1018.48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880</v>
      </c>
      <c r="L8" s="49">
        <f t="shared" si="0"/>
        <v>4.25</v>
      </c>
      <c r="N8" s="91">
        <v>3740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15700</v>
      </c>
      <c r="L9" s="49">
        <f>N9/J9</f>
        <v>2.4307961783439489</v>
      </c>
      <c r="N9" s="91">
        <v>38163.5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15700</v>
      </c>
      <c r="L10" s="49">
        <f>N10/J10</f>
        <v>0.24</v>
      </c>
      <c r="N10" s="91">
        <v>3768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33201</v>
      </c>
      <c r="L11" s="72">
        <f t="shared" si="0"/>
        <v>1.4062823408933465</v>
      </c>
      <c r="N11" s="213">
        <f>SUM(N6:N10)</f>
        <v>46689.979999999996</v>
      </c>
      <c r="P11" s="48"/>
    </row>
    <row r="12" spans="1:21" x14ac:dyDescent="0.25">
      <c r="C12" t="s">
        <v>38</v>
      </c>
      <c r="F12" s="226">
        <f>'Allocation Charges'!N7</f>
        <v>124.59336639705134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125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224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309142</v>
      </c>
      <c r="K16" s="6"/>
      <c r="L16" s="45">
        <v>1</v>
      </c>
      <c r="M16" s="6"/>
      <c r="N16" s="49">
        <f>L16*N11</f>
        <v>46689.979999999996</v>
      </c>
      <c r="O16" s="6"/>
      <c r="P16" s="92">
        <v>230198</v>
      </c>
    </row>
    <row r="17" spans="2:18" x14ac:dyDescent="0.25">
      <c r="B17" t="s">
        <v>19</v>
      </c>
      <c r="F17" s="226">
        <f>ROUNDUP('Allocation Charges'!N10,0)</f>
        <v>2053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309142</v>
      </c>
      <c r="N18" s="71">
        <f>N16</f>
        <v>46689.979999999996</v>
      </c>
      <c r="P18" s="70">
        <f>P16</f>
        <v>230198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300.02098546022938</v>
      </c>
      <c r="G20" s="6"/>
      <c r="I20" t="s">
        <v>75</v>
      </c>
      <c r="L20" s="109">
        <f>+J10*0.18</f>
        <v>2826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301</v>
      </c>
      <c r="G21" s="6"/>
      <c r="I21" t="s">
        <v>135</v>
      </c>
      <c r="L21" s="6">
        <f>J10*0.2</f>
        <v>3140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5966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745.83</v>
      </c>
      <c r="G23" s="6"/>
      <c r="K23" s="6"/>
      <c r="M23" s="6"/>
      <c r="O23" s="6"/>
      <c r="P23" s="160">
        <f>+J10</f>
        <v>15700</v>
      </c>
      <c r="Q23" s="147">
        <v>0.18</v>
      </c>
      <c r="R23" s="161">
        <f>+P23*Q23</f>
        <v>2826</v>
      </c>
    </row>
    <row r="24" spans="2:18" x14ac:dyDescent="0.25">
      <c r="C24" t="s">
        <v>38</v>
      </c>
      <c r="F24" s="134">
        <f>'Allocation Charges'!N12</f>
        <v>60.222801892257465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807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431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3.4437143462018036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4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112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6399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270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46690</v>
      </c>
    </row>
    <row r="55" spans="1:9" x14ac:dyDescent="0.25">
      <c r="A55" s="16"/>
      <c r="B55" t="s">
        <v>108</v>
      </c>
      <c r="F55" s="240">
        <f>ROUNDUP(L22,0)</f>
        <v>5966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52656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60342</v>
      </c>
    </row>
  </sheetData>
  <pageMargins left="0.25" right="0.25" top="0.5" bottom="0.75" header="0" footer="0.3"/>
  <pageSetup scale="53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20" sqref="F20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Apr 24 billing =Apr invoices = Mar Flow  data= Mar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464.87</v>
      </c>
      <c r="G7" s="60"/>
      <c r="H7" s="85">
        <f>ROUNDUP(F7,0)</f>
        <v>465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2700.43</v>
      </c>
      <c r="G8" s="60"/>
      <c r="H8" s="85"/>
      <c r="I8" s="60"/>
      <c r="J8" s="85">
        <f>ROUNDUP(F8,0)</f>
        <v>2701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181.61</v>
      </c>
      <c r="G11" s="60"/>
      <c r="H11" s="85">
        <f>ROUNDUP(F11,0)</f>
        <v>182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346.22</v>
      </c>
      <c r="G12" s="60"/>
      <c r="H12" s="85"/>
      <c r="I12" s="60"/>
      <c r="J12" s="85">
        <f>ROUNDUP(F12,0)</f>
        <v>347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3693.13</v>
      </c>
      <c r="G14" s="120"/>
      <c r="H14" s="219">
        <f>SUM(H7:H13)</f>
        <v>647</v>
      </c>
      <c r="I14" s="120"/>
      <c r="J14" s="219">
        <f>SUM(J7:J13)</f>
        <v>3048</v>
      </c>
      <c r="K14" s="120"/>
    </row>
    <row r="16" spans="1:12" x14ac:dyDescent="0.25">
      <c r="F16" s="6">
        <f>SUM(H14:K14)</f>
        <v>3695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2024-09-25T18:51:11Z</cp:lastPrinted>
  <dcterms:created xsi:type="dcterms:W3CDTF">2013-02-08T00:44:54Z</dcterms:created>
  <dcterms:modified xsi:type="dcterms:W3CDTF">2024-09-25T21:31:25Z</dcterms:modified>
</cp:coreProperties>
</file>