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drawings/drawing4.xml" ContentType="application/vnd.openxmlformats-officedocument.drawing+xml"/>
  <Override PartName="/xl/comments7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osGonzalez\Navitas Utility Dropbox\Carlos Gonzalez\Accounting\Billing\2024\"/>
    </mc:Choice>
  </mc:AlternateContent>
  <xr:revisionPtr revIDLastSave="0" documentId="13_ncr:1_{C7D23D01-14B6-40B3-B661-018AF2774B0E}" xr6:coauthVersionLast="47" xr6:coauthVersionMax="47" xr10:uidLastSave="{00000000-0000-0000-0000-000000000000}"/>
  <bookViews>
    <workbookView xWindow="-120" yWindow="-120" windowWidth="29040" windowHeight="15720" tabRatio="837" xr2:uid="{00000000-000D-0000-FFFF-FFFF00000000}"/>
  </bookViews>
  <sheets>
    <sheet name="Direct Charges" sheetId="1" r:id="rId1"/>
    <sheet name="Allocation Charges" sheetId="4" r:id="rId2"/>
    <sheet name="Oklahoma" sheetId="6" r:id="rId3"/>
    <sheet name="Commodity OK" sheetId="11" r:id="rId4"/>
    <sheet name="Tennessee" sheetId="8" r:id="rId5"/>
    <sheet name="Kentucky" sheetId="9" r:id="rId6"/>
    <sheet name="Commodity TN KY" sheetId="28" r:id="rId7"/>
    <sheet name="Commodity Texas" sheetId="15" r:id="rId8"/>
    <sheet name="NC Hydro" sheetId="30" r:id="rId9"/>
    <sheet name="2024 Allocation Source" sheetId="35" r:id="rId10"/>
    <sheet name="2023 Allocation Source" sheetId="31" r:id="rId11"/>
    <sheet name="2024 NUC Rent" sheetId="32" r:id="rId12"/>
    <sheet name="2024 NALLC Rent" sheetId="33" r:id="rId13"/>
    <sheet name="2024 FCFA Rent" sheetId="36" r:id="rId14"/>
  </sheets>
  <definedNames>
    <definedName name="_xlnm.Print_Area" localSheetId="1">'Allocation Charges'!$A$1:$R$34</definedName>
    <definedName name="_xlnm.Print_Area" localSheetId="3">'Commodity OK'!$A$1:$T$48</definedName>
    <definedName name="_xlnm.Print_Area" localSheetId="7">'Commodity Texas'!$A$1:$Z$61</definedName>
    <definedName name="_xlnm.Print_Area" localSheetId="0">'Direct Charges'!$Q$4:$AB$121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7" i="6" l="1"/>
  <c r="I8" i="28"/>
  <c r="E8" i="28"/>
  <c r="I12" i="28"/>
  <c r="E12" i="28"/>
  <c r="N7" i="15"/>
  <c r="J7" i="15"/>
  <c r="C44" i="11"/>
  <c r="F17" i="11"/>
  <c r="F8" i="11"/>
  <c r="D8" i="11"/>
  <c r="F32" i="11"/>
  <c r="F12" i="4"/>
  <c r="F11" i="4"/>
  <c r="F7" i="4"/>
  <c r="Q15" i="11"/>
  <c r="H25" i="11" l="1"/>
  <c r="N11" i="15"/>
  <c r="P23" i="15" l="1"/>
  <c r="R23" i="15" s="1"/>
  <c r="L21" i="15"/>
  <c r="L20" i="15"/>
  <c r="J11" i="15"/>
  <c r="L22" i="15" l="1"/>
  <c r="F55" i="15" s="1"/>
  <c r="F10" i="36" l="1"/>
  <c r="R8" i="36"/>
  <c r="R10" i="36" s="1"/>
  <c r="V8" i="36" l="1"/>
  <c r="V10" i="36" l="1"/>
  <c r="X8" i="36"/>
  <c r="X10" i="36" s="1"/>
  <c r="C25" i="32" l="1"/>
  <c r="C19" i="35" l="1"/>
  <c r="D19" i="35"/>
  <c r="E19" i="35"/>
  <c r="F19" i="35"/>
  <c r="D3" i="35"/>
  <c r="D4" i="35" s="1"/>
  <c r="E3" i="35"/>
  <c r="E4" i="35" s="1"/>
  <c r="G23" i="35"/>
  <c r="C8" i="35" s="1"/>
  <c r="A18" i="35"/>
  <c r="F3" i="35"/>
  <c r="F4" i="35" s="1"/>
  <c r="G19" i="35" l="1"/>
  <c r="E20" i="35" s="1"/>
  <c r="E27" i="35" s="1"/>
  <c r="G8" i="35"/>
  <c r="C9" i="35" s="1"/>
  <c r="E24" i="35"/>
  <c r="E28" i="35" s="1"/>
  <c r="C24" i="35"/>
  <c r="D24" i="35"/>
  <c r="D28" i="35" s="1"/>
  <c r="F24" i="35"/>
  <c r="F28" i="35" s="1"/>
  <c r="C20" i="35" l="1"/>
  <c r="D20" i="35"/>
  <c r="D27" i="35" s="1"/>
  <c r="D29" i="35" s="1"/>
  <c r="F20" i="35"/>
  <c r="F27" i="35" s="1"/>
  <c r="F29" i="35" s="1"/>
  <c r="C3" i="35"/>
  <c r="C4" i="35" s="1"/>
  <c r="C13" i="35"/>
  <c r="G24" i="35"/>
  <c r="C28" i="35"/>
  <c r="F9" i="35"/>
  <c r="F13" i="35" s="1"/>
  <c r="E9" i="35"/>
  <c r="E13" i="35" s="1"/>
  <c r="D9" i="35"/>
  <c r="D13" i="35" s="1"/>
  <c r="C27" i="35"/>
  <c r="C29" i="35" s="1"/>
  <c r="G29" i="35" s="1"/>
  <c r="G20" i="35"/>
  <c r="E29" i="35"/>
  <c r="G3" i="35" l="1"/>
  <c r="G4" i="35"/>
  <c r="G9" i="35"/>
  <c r="D5" i="35" l="1"/>
  <c r="D12" i="35" s="1"/>
  <c r="F5" i="35"/>
  <c r="F12" i="35" s="1"/>
  <c r="F14" i="35" s="1"/>
  <c r="E5" i="35"/>
  <c r="E12" i="35" s="1"/>
  <c r="E14" i="35" s="1"/>
  <c r="C5" i="35"/>
  <c r="V14" i="36" l="1"/>
  <c r="R4" i="4"/>
  <c r="H13" i="4" s="1"/>
  <c r="V17" i="36"/>
  <c r="R7" i="4"/>
  <c r="D14" i="35"/>
  <c r="R5" i="4" s="1"/>
  <c r="J13" i="4" s="1"/>
  <c r="G5" i="35"/>
  <c r="C12" i="35"/>
  <c r="C14" i="35" s="1"/>
  <c r="R6" i="4" s="1"/>
  <c r="L13" i="4" s="1"/>
  <c r="N13" i="4" l="1"/>
  <c r="N10" i="4"/>
  <c r="V15" i="36"/>
  <c r="G14" i="35"/>
  <c r="V16" i="36"/>
  <c r="V18" i="36" l="1"/>
  <c r="P28" i="28"/>
  <c r="B8" i="33" l="1"/>
  <c r="G8" i="33" s="1"/>
  <c r="G10" i="33" s="1"/>
  <c r="B10" i="33" l="1"/>
  <c r="I8" i="33"/>
  <c r="C27" i="32"/>
  <c r="D26" i="32" s="1"/>
  <c r="D15" i="32"/>
  <c r="B15" i="32"/>
  <c r="G13" i="32"/>
  <c r="I13" i="32" s="1"/>
  <c r="J13" i="32" s="1"/>
  <c r="G12" i="32"/>
  <c r="I12" i="32" s="1"/>
  <c r="J12" i="32" s="1"/>
  <c r="G11" i="32"/>
  <c r="I11" i="32" s="1"/>
  <c r="J11" i="32" s="1"/>
  <c r="G10" i="32"/>
  <c r="I10" i="32" s="1"/>
  <c r="J10" i="32" s="1"/>
  <c r="G9" i="32"/>
  <c r="I9" i="32" s="1"/>
  <c r="G8" i="32"/>
  <c r="I10" i="33" l="1"/>
  <c r="J8" i="33"/>
  <c r="J10" i="33" s="1"/>
  <c r="G15" i="32"/>
  <c r="I8" i="32"/>
  <c r="J8" i="32" s="1"/>
  <c r="D25" i="32"/>
  <c r="H8" i="36" s="1"/>
  <c r="L8" i="36" s="1"/>
  <c r="J9" i="32"/>
  <c r="I15" i="32"/>
  <c r="L10" i="36" l="1"/>
  <c r="N8" i="36"/>
  <c r="J15" i="32"/>
  <c r="C8" i="33"/>
  <c r="E8" i="33" s="1"/>
  <c r="C10" i="32"/>
  <c r="E10" i="32" s="1"/>
  <c r="F10" i="32" s="1"/>
  <c r="K10" i="32" s="1"/>
  <c r="F29" i="4" s="1"/>
  <c r="C9" i="32"/>
  <c r="E9" i="32" s="1"/>
  <c r="F9" i="32" s="1"/>
  <c r="K9" i="32" s="1"/>
  <c r="F28" i="4" s="1"/>
  <c r="C13" i="32"/>
  <c r="E13" i="32" s="1"/>
  <c r="F13" i="32" s="1"/>
  <c r="K13" i="32" s="1"/>
  <c r="F32" i="4" s="1"/>
  <c r="C8" i="32"/>
  <c r="E8" i="32" s="1"/>
  <c r="C12" i="32"/>
  <c r="E12" i="32" s="1"/>
  <c r="F12" i="32" s="1"/>
  <c r="K12" i="32" s="1"/>
  <c r="F31" i="4" s="1"/>
  <c r="C11" i="32"/>
  <c r="E11" i="32" s="1"/>
  <c r="F11" i="32" s="1"/>
  <c r="K11" i="32" s="1"/>
  <c r="F30" i="4" s="1"/>
  <c r="N10" i="36" l="1"/>
  <c r="Z8" i="36"/>
  <c r="Z10" i="36" s="1"/>
  <c r="F8" i="33"/>
  <c r="E10" i="33"/>
  <c r="E15" i="32"/>
  <c r="F8" i="32"/>
  <c r="K8" i="32" s="1"/>
  <c r="Z14" i="36" l="1"/>
  <c r="Z17" i="36"/>
  <c r="AA17" i="36" s="1"/>
  <c r="Z15" i="36"/>
  <c r="AA15" i="36" s="1"/>
  <c r="Z16" i="36"/>
  <c r="AA16" i="36" s="1"/>
  <c r="F10" i="33"/>
  <c r="K8" i="33"/>
  <c r="K10" i="33" s="1"/>
  <c r="F15" i="32"/>
  <c r="AA14" i="36" l="1"/>
  <c r="AA18" i="36" s="1"/>
  <c r="Z18" i="36"/>
  <c r="K15" i="32"/>
  <c r="F27" i="4"/>
  <c r="F3" i="31" l="1"/>
  <c r="F4" i="31" s="1"/>
  <c r="E3" i="31"/>
  <c r="E4" i="31" s="1"/>
  <c r="D3" i="31"/>
  <c r="D4" i="31" s="1"/>
  <c r="F19" i="31"/>
  <c r="E19" i="31"/>
  <c r="D19" i="31"/>
  <c r="C19" i="31"/>
  <c r="G23" i="31"/>
  <c r="F24" i="31" s="1"/>
  <c r="F28" i="31" s="1"/>
  <c r="A18" i="31"/>
  <c r="C8" i="31" l="1"/>
  <c r="G8" i="31" s="1"/>
  <c r="F9" i="31" s="1"/>
  <c r="F13" i="31" s="1"/>
  <c r="G19" i="31"/>
  <c r="E20" i="31" s="1"/>
  <c r="E27" i="31" s="1"/>
  <c r="C24" i="31"/>
  <c r="C3" i="31"/>
  <c r="D24" i="31"/>
  <c r="D28" i="31" s="1"/>
  <c r="E24" i="31"/>
  <c r="E28" i="31" s="1"/>
  <c r="E29" i="31" s="1"/>
  <c r="Q6" i="6" s="1"/>
  <c r="F20" i="31" l="1"/>
  <c r="F27" i="31" s="1"/>
  <c r="F29" i="31" s="1"/>
  <c r="Q7" i="6" s="1"/>
  <c r="C20" i="31"/>
  <c r="D20" i="31"/>
  <c r="D27" i="31" s="1"/>
  <c r="D29" i="31" s="1"/>
  <c r="Q5" i="6" s="1"/>
  <c r="D9" i="31"/>
  <c r="D13" i="31" s="1"/>
  <c r="C9" i="31"/>
  <c r="E9" i="31"/>
  <c r="E13" i="31" s="1"/>
  <c r="G24" i="31"/>
  <c r="C28" i="31"/>
  <c r="G20" i="31"/>
  <c r="C27" i="31"/>
  <c r="C4" i="31"/>
  <c r="G3" i="31"/>
  <c r="G9" i="31" l="1"/>
  <c r="C13" i="31"/>
  <c r="C29" i="31"/>
  <c r="Q4" i="6" s="1"/>
  <c r="G4" i="31"/>
  <c r="C5" i="31" s="1"/>
  <c r="H28" i="11"/>
  <c r="H29" i="11"/>
  <c r="G29" i="31" l="1"/>
  <c r="C12" i="31"/>
  <c r="C14" i="31" s="1"/>
  <c r="E5" i="31"/>
  <c r="E12" i="31" s="1"/>
  <c r="E14" i="31" s="1"/>
  <c r="D5" i="31"/>
  <c r="D12" i="31" s="1"/>
  <c r="D14" i="31" s="1"/>
  <c r="F5" i="31"/>
  <c r="F12" i="31" s="1"/>
  <c r="F14" i="31" s="1"/>
  <c r="J17" i="33" l="1"/>
  <c r="K17" i="33" s="1"/>
  <c r="L17" i="33" s="1"/>
  <c r="J15" i="33"/>
  <c r="K15" i="33" s="1"/>
  <c r="L15" i="33" s="1"/>
  <c r="J14" i="33"/>
  <c r="J16" i="33"/>
  <c r="K16" i="33" s="1"/>
  <c r="L16" i="33" s="1"/>
  <c r="G14" i="31"/>
  <c r="G5" i="31"/>
  <c r="L9" i="15"/>
  <c r="J18" i="33" l="1"/>
  <c r="K14" i="33"/>
  <c r="E15" i="28"/>
  <c r="L14" i="33" l="1"/>
  <c r="K18" i="33"/>
  <c r="L18" i="33" s="1"/>
  <c r="F12" i="30" l="1"/>
  <c r="J12" i="30" s="1"/>
  <c r="F11" i="30"/>
  <c r="H11" i="30" s="1"/>
  <c r="F1" i="30"/>
  <c r="P35" i="1"/>
  <c r="P34" i="1"/>
  <c r="P22" i="1"/>
  <c r="F8" i="30" s="1"/>
  <c r="J8" i="30" s="1"/>
  <c r="P21" i="1"/>
  <c r="F7" i="30" s="1"/>
  <c r="H7" i="30" s="1"/>
  <c r="J14" i="30" l="1"/>
  <c r="H14" i="30"/>
  <c r="F14" i="30"/>
  <c r="N67" i="1" s="1"/>
  <c r="P59" i="1"/>
  <c r="P67" i="1" s="1"/>
  <c r="F16" i="30" l="1"/>
  <c r="K1" i="28"/>
  <c r="H32" i="11" l="1"/>
  <c r="H34" i="11"/>
  <c r="F55" i="8" l="1"/>
  <c r="F54" i="8"/>
  <c r="H55" i="8" l="1"/>
  <c r="H54" i="8"/>
  <c r="I1" i="28"/>
  <c r="G7" i="28"/>
  <c r="G9" i="28"/>
  <c r="G10" i="28"/>
  <c r="G12" i="28"/>
  <c r="G14" i="28"/>
  <c r="K22" i="28"/>
  <c r="E22" i="28"/>
  <c r="G19" i="28" s="1"/>
  <c r="G27" i="28"/>
  <c r="G28" i="28"/>
  <c r="I29" i="28"/>
  <c r="I33" i="28"/>
  <c r="I35" i="28" s="1"/>
  <c r="E35" i="28"/>
  <c r="G33" i="28" s="1"/>
  <c r="G35" i="28" s="1"/>
  <c r="K35" i="28"/>
  <c r="I45" i="28"/>
  <c r="G13" i="28" l="1"/>
  <c r="G8" i="28"/>
  <c r="G20" i="28"/>
  <c r="G22" i="28" s="1"/>
  <c r="I15" i="28"/>
  <c r="G11" i="28"/>
  <c r="H53" i="9" l="1"/>
  <c r="H53" i="8"/>
  <c r="I20" i="28"/>
  <c r="I19" i="28"/>
  <c r="G15" i="28"/>
  <c r="F53" i="9" l="1"/>
  <c r="I38" i="28"/>
  <c r="F53" i="8"/>
  <c r="I39" i="28"/>
  <c r="P27" i="28"/>
  <c r="I22" i="28"/>
  <c r="I40" i="28" l="1"/>
  <c r="I47" i="28" s="1"/>
  <c r="F59" i="1" l="1"/>
  <c r="F64" i="1" s="1"/>
  <c r="F35" i="15"/>
  <c r="F43" i="9"/>
  <c r="F34" i="9"/>
  <c r="F35" i="8"/>
  <c r="N60" i="6" l="1"/>
  <c r="F21" i="4" l="1"/>
  <c r="F65" i="1" l="1"/>
  <c r="F66" i="1" s="1"/>
  <c r="F68" i="1" s="1"/>
  <c r="R20" i="4"/>
  <c r="L57" i="1" l="1"/>
  <c r="F34" i="6" s="1"/>
  <c r="N56" i="1"/>
  <c r="F32" i="15" s="1"/>
  <c r="J55" i="1"/>
  <c r="F32" i="8" s="1"/>
  <c r="H54" i="1"/>
  <c r="F31" i="9" s="1"/>
  <c r="L51" i="1"/>
  <c r="F30" i="6" s="1"/>
  <c r="N50" i="1"/>
  <c r="F28" i="15" s="1"/>
  <c r="J49" i="1"/>
  <c r="F28" i="8" s="1"/>
  <c r="H48" i="1"/>
  <c r="F27" i="9" s="1"/>
  <c r="N29" i="4" l="1"/>
  <c r="F46" i="15" s="1"/>
  <c r="N28" i="4"/>
  <c r="F45" i="15" s="1"/>
  <c r="N27" i="4"/>
  <c r="F44" i="15" s="1"/>
  <c r="J29" i="4"/>
  <c r="F46" i="8" s="1"/>
  <c r="J28" i="4"/>
  <c r="F45" i="8" s="1"/>
  <c r="J27" i="4"/>
  <c r="F44" i="8" s="1"/>
  <c r="H29" i="4"/>
  <c r="F46" i="9" s="1"/>
  <c r="H28" i="4"/>
  <c r="F45" i="9" s="1"/>
  <c r="H27" i="4"/>
  <c r="F44" i="9" s="1"/>
  <c r="H7" i="4"/>
  <c r="L8" i="4"/>
  <c r="H24" i="11"/>
  <c r="L29" i="4" l="1"/>
  <c r="L28" i="4"/>
  <c r="L27" i="4"/>
  <c r="H35" i="11" l="1"/>
  <c r="H10" i="11" l="1"/>
  <c r="Q18" i="11" l="1"/>
  <c r="M11" i="11" l="1"/>
  <c r="O8" i="11" l="1"/>
  <c r="O9" i="11"/>
  <c r="O7" i="11"/>
  <c r="O6" i="11"/>
  <c r="L10" i="15"/>
  <c r="F36" i="11" l="1"/>
  <c r="F1" i="6" l="1"/>
  <c r="L16" i="4"/>
  <c r="F37" i="6" s="1"/>
  <c r="H33" i="11" l="1"/>
  <c r="S11" i="11" l="1"/>
  <c r="O11" i="11" l="1"/>
  <c r="J14" i="4" l="1"/>
  <c r="F29" i="8" s="1"/>
  <c r="F30" i="8" s="1"/>
  <c r="N14" i="4"/>
  <c r="F29" i="15" s="1"/>
  <c r="F30" i="15" s="1"/>
  <c r="L14" i="4"/>
  <c r="H14" i="4"/>
  <c r="F28" i="9" s="1"/>
  <c r="F29" i="9" s="1"/>
  <c r="Q8" i="6"/>
  <c r="R4" i="6" s="1"/>
  <c r="F31" i="6" l="1"/>
  <c r="F32" i="6" s="1"/>
  <c r="H32" i="6" s="1"/>
  <c r="H37" i="6"/>
  <c r="J18" i="15" l="1"/>
  <c r="F57" i="6" l="1"/>
  <c r="H6" i="4" l="1"/>
  <c r="F8" i="9" s="1"/>
  <c r="F1" i="1" l="1"/>
  <c r="F1" i="9"/>
  <c r="F1" i="8"/>
  <c r="F1" i="4"/>
  <c r="L7" i="15" l="1"/>
  <c r="L8" i="15"/>
  <c r="L6" i="15" l="1"/>
  <c r="R8" i="4" l="1"/>
  <c r="N2" i="15" l="1"/>
  <c r="L2" i="15" l="1"/>
  <c r="H6" i="11" l="1"/>
  <c r="P18" i="15" l="1"/>
  <c r="H31" i="11"/>
  <c r="H30" i="11"/>
  <c r="H27" i="11"/>
  <c r="H26" i="11"/>
  <c r="D36" i="11"/>
  <c r="H17" i="11"/>
  <c r="H16" i="11"/>
  <c r="H15" i="11"/>
  <c r="H14" i="11"/>
  <c r="H13" i="11"/>
  <c r="H12" i="11"/>
  <c r="H11" i="11"/>
  <c r="H9" i="11"/>
  <c r="H8" i="11"/>
  <c r="H7" i="11"/>
  <c r="D18" i="11"/>
  <c r="F41" i="11" s="1"/>
  <c r="F56" i="8" l="1"/>
  <c r="F42" i="11"/>
  <c r="N16" i="15"/>
  <c r="F54" i="15" s="1"/>
  <c r="F57" i="15" s="1"/>
  <c r="J44" i="11"/>
  <c r="M44" i="11" s="1"/>
  <c r="L11" i="15"/>
  <c r="Q19" i="11" l="1"/>
  <c r="Q20" i="11" s="1"/>
  <c r="F43" i="11"/>
  <c r="H59" i="6" s="1"/>
  <c r="N18" i="15"/>
  <c r="N59" i="6" l="1"/>
  <c r="L59" i="6"/>
  <c r="J59" i="6"/>
  <c r="R21" i="4" l="1"/>
  <c r="R23" i="4"/>
  <c r="R22" i="4"/>
  <c r="R24" i="4" l="1"/>
  <c r="N44" i="1"/>
  <c r="F23" i="15" s="1"/>
  <c r="N38" i="1"/>
  <c r="F19" i="15" s="1"/>
  <c r="N27" i="1"/>
  <c r="F11" i="15" s="1"/>
  <c r="N15" i="1"/>
  <c r="F7" i="15" s="1"/>
  <c r="N9" i="1"/>
  <c r="F6" i="15" s="1"/>
  <c r="N59" i="1" l="1"/>
  <c r="L6" i="4"/>
  <c r="F8" i="6" s="1"/>
  <c r="H8" i="6" l="1"/>
  <c r="N15" i="4"/>
  <c r="F33" i="15" s="1"/>
  <c r="F34" i="15" s="1"/>
  <c r="L19" i="4"/>
  <c r="N18" i="4"/>
  <c r="F37" i="15" s="1"/>
  <c r="N9" i="4"/>
  <c r="F16" i="15" s="1"/>
  <c r="N17" i="4"/>
  <c r="F36" i="15" s="1"/>
  <c r="N8" i="4"/>
  <c r="F15" i="15" s="1"/>
  <c r="N6" i="4"/>
  <c r="F8" i="15" s="1"/>
  <c r="F26" i="15"/>
  <c r="N11" i="4"/>
  <c r="N12" i="4"/>
  <c r="F24" i="15" s="1"/>
  <c r="F25" i="15" s="1"/>
  <c r="N7" i="4"/>
  <c r="F12" i="15" s="1"/>
  <c r="F13" i="15" s="1"/>
  <c r="N19" i="4"/>
  <c r="F38" i="15" s="1"/>
  <c r="F17" i="15" l="1"/>
  <c r="H10" i="4"/>
  <c r="F16" i="9" s="1"/>
  <c r="L15" i="4"/>
  <c r="F35" i="6" s="1"/>
  <c r="F36" i="6" s="1"/>
  <c r="H36" i="6" s="1"/>
  <c r="H15" i="4"/>
  <c r="F32" i="9" s="1"/>
  <c r="F33" i="9" s="1"/>
  <c r="J15" i="4"/>
  <c r="F33" i="8" s="1"/>
  <c r="F34" i="8" s="1"/>
  <c r="J10" i="4"/>
  <c r="F17" i="8" s="1"/>
  <c r="L10" i="4"/>
  <c r="F20" i="15"/>
  <c r="F21" i="15" s="1"/>
  <c r="N21" i="4"/>
  <c r="F40" i="15" l="1"/>
  <c r="S23" i="4"/>
  <c r="P66" i="1"/>
  <c r="N66" i="1" l="1"/>
  <c r="L39" i="1"/>
  <c r="F21" i="6" s="1"/>
  <c r="J37" i="1"/>
  <c r="F19" i="8" s="1"/>
  <c r="H36" i="1"/>
  <c r="F18" i="9" s="1"/>
  <c r="L28" i="1"/>
  <c r="F11" i="6" s="1"/>
  <c r="J26" i="1"/>
  <c r="F11" i="8" s="1"/>
  <c r="H25" i="1"/>
  <c r="F11" i="9" s="1"/>
  <c r="F60" i="6" l="1"/>
  <c r="R5" i="6" l="1"/>
  <c r="J32" i="6" s="1"/>
  <c r="R6" i="6"/>
  <c r="L32" i="6" s="1"/>
  <c r="R7" i="6"/>
  <c r="N32" i="6" s="1"/>
  <c r="L36" i="6" l="1"/>
  <c r="N36" i="6"/>
  <c r="J36" i="6"/>
  <c r="N37" i="6"/>
  <c r="N8" i="6"/>
  <c r="L37" i="6"/>
  <c r="L8" i="6"/>
  <c r="J37" i="6"/>
  <c r="J8" i="6"/>
  <c r="R8" i="6"/>
  <c r="N31" i="4"/>
  <c r="N32" i="4"/>
  <c r="L45" i="1"/>
  <c r="F25" i="6" s="1"/>
  <c r="J43" i="1"/>
  <c r="F23" i="8" s="1"/>
  <c r="H42" i="1"/>
  <c r="F22" i="9" s="1"/>
  <c r="F48" i="15" l="1"/>
  <c r="F49" i="15"/>
  <c r="F48" i="6"/>
  <c r="F47" i="6"/>
  <c r="J30" i="4"/>
  <c r="F47" i="8" s="1"/>
  <c r="N30" i="4"/>
  <c r="F47" i="15" s="1"/>
  <c r="F34" i="4"/>
  <c r="L31" i="4"/>
  <c r="L31" i="1"/>
  <c r="F15" i="6" s="1"/>
  <c r="L18" i="1"/>
  <c r="J47" i="6" l="1"/>
  <c r="L47" i="6"/>
  <c r="H47" i="6"/>
  <c r="N47" i="6"/>
  <c r="L48" i="6"/>
  <c r="N48" i="6"/>
  <c r="H48" i="6"/>
  <c r="J48" i="6"/>
  <c r="F50" i="6"/>
  <c r="F9" i="6"/>
  <c r="L9" i="6" s="1"/>
  <c r="N34" i="4"/>
  <c r="L32" i="4"/>
  <c r="L18" i="4"/>
  <c r="L12" i="4"/>
  <c r="F16" i="6"/>
  <c r="F17" i="6" s="1"/>
  <c r="L7" i="4"/>
  <c r="L30" i="4"/>
  <c r="F40" i="6"/>
  <c r="L17" i="4"/>
  <c r="F38" i="6" s="1"/>
  <c r="F28" i="6"/>
  <c r="L11" i="4"/>
  <c r="F22" i="6" s="1"/>
  <c r="F23" i="6" s="1"/>
  <c r="L9" i="4"/>
  <c r="F18" i="6" s="1"/>
  <c r="J31" i="4"/>
  <c r="L16" i="1"/>
  <c r="F7" i="6" s="1"/>
  <c r="J14" i="1"/>
  <c r="F7" i="8" s="1"/>
  <c r="H13" i="1"/>
  <c r="F7" i="9" s="1"/>
  <c r="L10" i="1"/>
  <c r="J8" i="1"/>
  <c r="H7" i="1"/>
  <c r="H7" i="6" l="1"/>
  <c r="J7" i="6"/>
  <c r="L7" i="6"/>
  <c r="N7" i="6"/>
  <c r="F26" i="6"/>
  <c r="F27" i="6" s="1"/>
  <c r="F48" i="8"/>
  <c r="J59" i="1"/>
  <c r="F6" i="8"/>
  <c r="H59" i="1"/>
  <c r="F6" i="9"/>
  <c r="H17" i="6"/>
  <c r="J17" i="6"/>
  <c r="L17" i="6"/>
  <c r="N17" i="6"/>
  <c r="J50" i="6"/>
  <c r="H50" i="6"/>
  <c r="L50" i="6"/>
  <c r="N50" i="6"/>
  <c r="H40" i="6"/>
  <c r="J40" i="6"/>
  <c r="L40" i="6"/>
  <c r="N40" i="6"/>
  <c r="L23" i="6"/>
  <c r="J23" i="6"/>
  <c r="N23" i="6"/>
  <c r="H23" i="6"/>
  <c r="H28" i="6"/>
  <c r="J28" i="6"/>
  <c r="L28" i="6"/>
  <c r="N28" i="6"/>
  <c r="J18" i="6"/>
  <c r="L18" i="6"/>
  <c r="N18" i="6"/>
  <c r="H18" i="6"/>
  <c r="N38" i="6"/>
  <c r="H38" i="6"/>
  <c r="L38" i="6"/>
  <c r="J38" i="6"/>
  <c r="F6" i="6"/>
  <c r="L59" i="1"/>
  <c r="F12" i="6"/>
  <c r="F13" i="6" s="1"/>
  <c r="F39" i="6"/>
  <c r="F46" i="6"/>
  <c r="F51" i="6"/>
  <c r="F49" i="6"/>
  <c r="H31" i="4"/>
  <c r="F48" i="9" s="1"/>
  <c r="F59" i="6"/>
  <c r="H32" i="4"/>
  <c r="F49" i="9" s="1"/>
  <c r="H30" i="4"/>
  <c r="F47" i="9" s="1"/>
  <c r="H19" i="4"/>
  <c r="F37" i="9" s="1"/>
  <c r="H17" i="4"/>
  <c r="F35" i="9" s="1"/>
  <c r="F25" i="9"/>
  <c r="H11" i="4"/>
  <c r="H9" i="4"/>
  <c r="F15" i="9" s="1"/>
  <c r="H18" i="4"/>
  <c r="F36" i="9" s="1"/>
  <c r="H12" i="4"/>
  <c r="H8" i="4"/>
  <c r="F14" i="9" s="1"/>
  <c r="J18" i="4"/>
  <c r="F37" i="8" s="1"/>
  <c r="J12" i="4"/>
  <c r="F24" i="8" s="1"/>
  <c r="F25" i="8" s="1"/>
  <c r="J8" i="4"/>
  <c r="F15" i="8" s="1"/>
  <c r="J7" i="4"/>
  <c r="F12" i="8" s="1"/>
  <c r="F13" i="8" s="1"/>
  <c r="J6" i="4"/>
  <c r="F8" i="8" s="1"/>
  <c r="J32" i="4"/>
  <c r="J19" i="4"/>
  <c r="F38" i="8" s="1"/>
  <c r="J17" i="4"/>
  <c r="F36" i="8" s="1"/>
  <c r="F26" i="8"/>
  <c r="J11" i="4"/>
  <c r="F20" i="8" s="1"/>
  <c r="F21" i="8" s="1"/>
  <c r="J9" i="4"/>
  <c r="F16" i="8" s="1"/>
  <c r="L34" i="4"/>
  <c r="H27" i="6" l="1"/>
  <c r="L27" i="6"/>
  <c r="N27" i="6"/>
  <c r="J27" i="6"/>
  <c r="F49" i="8"/>
  <c r="F40" i="8"/>
  <c r="J46" i="6"/>
  <c r="L46" i="6"/>
  <c r="N46" i="6"/>
  <c r="H46" i="6"/>
  <c r="H13" i="6"/>
  <c r="J13" i="6"/>
  <c r="L13" i="6"/>
  <c r="N13" i="6"/>
  <c r="H39" i="6"/>
  <c r="J39" i="6"/>
  <c r="L39" i="6"/>
  <c r="N39" i="6"/>
  <c r="N6" i="6"/>
  <c r="L6" i="6"/>
  <c r="N51" i="6"/>
  <c r="H51" i="6"/>
  <c r="J51" i="6"/>
  <c r="L51" i="6"/>
  <c r="N49" i="6"/>
  <c r="L49" i="6"/>
  <c r="H49" i="6"/>
  <c r="J49" i="6"/>
  <c r="F53" i="6"/>
  <c r="H21" i="4"/>
  <c r="S20" i="4" s="1"/>
  <c r="F19" i="9"/>
  <c r="F20" i="9" s="1"/>
  <c r="F12" i="9"/>
  <c r="F13" i="9" s="1"/>
  <c r="F23" i="9"/>
  <c r="F24" i="9" s="1"/>
  <c r="J34" i="4"/>
  <c r="H34" i="4"/>
  <c r="F39" i="9" l="1"/>
  <c r="N64" i="1" s="1"/>
  <c r="N53" i="6"/>
  <c r="P64" i="1"/>
  <c r="H6" i="6"/>
  <c r="J6" i="6" s="1"/>
  <c r="H53" i="6"/>
  <c r="L53" i="6"/>
  <c r="J53" i="6"/>
  <c r="F51" i="8"/>
  <c r="F60" i="8" s="1"/>
  <c r="F51" i="9"/>
  <c r="F57" i="9" l="1"/>
  <c r="J21" i="4"/>
  <c r="F19" i="6"/>
  <c r="F42" i="6" l="1"/>
  <c r="S21" i="4"/>
  <c r="P65" i="1"/>
  <c r="N65" i="1"/>
  <c r="L19" i="6"/>
  <c r="L42" i="6" s="1"/>
  <c r="J19" i="6"/>
  <c r="J42" i="6" s="1"/>
  <c r="N19" i="6"/>
  <c r="N42" i="6" s="1"/>
  <c r="H19" i="6"/>
  <c r="H42" i="6" s="1"/>
  <c r="L21" i="4"/>
  <c r="N63" i="1" l="1"/>
  <c r="N68" i="1" s="1"/>
  <c r="N69" i="1" s="1"/>
  <c r="S22" i="4"/>
  <c r="S24" i="4" s="1"/>
  <c r="P63" i="1"/>
  <c r="P68" i="1" s="1"/>
  <c r="H36" i="11"/>
  <c r="F18" i="11"/>
  <c r="C45" i="11" s="1"/>
  <c r="P69" i="1" l="1"/>
  <c r="F51" i="15"/>
  <c r="F61" i="15" s="1"/>
  <c r="C46" i="11"/>
  <c r="F45" i="11"/>
  <c r="F46" i="11" s="1"/>
  <c r="H18" i="11"/>
  <c r="H23" i="11"/>
  <c r="H46" i="11" l="1"/>
  <c r="Q6" i="11"/>
  <c r="Q9" i="11"/>
  <c r="N58" i="6" s="1"/>
  <c r="Q8" i="11"/>
  <c r="Q7" i="11"/>
  <c r="H58" i="6" l="1"/>
  <c r="L58" i="6"/>
  <c r="J58" i="6"/>
  <c r="Q11" i="11"/>
  <c r="Q21" i="11" s="1"/>
  <c r="N62" i="6"/>
  <c r="N66" i="6" s="1"/>
  <c r="F58" i="6" l="1"/>
  <c r="F62" i="6" s="1"/>
  <c r="F66" i="6" s="1"/>
  <c r="H62" i="6"/>
  <c r="H66" i="6" s="1"/>
  <c r="J62" i="6"/>
  <c r="J66" i="6" s="1"/>
  <c r="L62" i="6"/>
  <c r="L66" i="6" s="1"/>
  <c r="F68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Joe Irwin</author>
    <author>User</author>
  </authors>
  <commentList>
    <comment ref="F10" authorId="0" shapeId="0" xr:uid="{C032B1A2-2D4E-45E5-8CFE-78A6BB79C398}">
      <text>
        <r>
          <rPr>
            <b/>
            <sz val="9"/>
            <color indexed="81"/>
            <rFont val="Tahoma"/>
            <family val="2"/>
          </rPr>
          <t xml:space="preserve">Minimum 2,000 billing
</t>
        </r>
      </text>
    </comment>
    <comment ref="B12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  <comment ref="F15" authorId="0" shapeId="0" xr:uid="{E7EB09D3-35C9-4A23-B892-1E5627981659}">
      <text>
        <r>
          <rPr>
            <b/>
            <sz val="9"/>
            <color indexed="81"/>
            <rFont val="Tahoma"/>
            <family val="2"/>
          </rPr>
          <t xml:space="preserve">Minimum 1,000 billing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Brenda Bott</author>
  </authors>
  <commentList>
    <comment ref="C31" authorId="0" shapeId="0" xr:uid="{339BCDF7-5D56-4387-A0C1-EC233BCE6B1A}">
      <text>
        <r>
          <rPr>
            <b/>
            <sz val="9"/>
            <color indexed="81"/>
            <rFont val="Tahoma"/>
            <family val="2"/>
          </rPr>
          <t>Brenda Bott:</t>
        </r>
        <r>
          <rPr>
            <sz val="9"/>
            <color indexed="81"/>
            <rFont val="Tahoma"/>
            <family val="2"/>
          </rPr>
          <t xml:space="preserve">
Convert from CCF to MCF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Brenda Bott</author>
  </authors>
  <commentList>
    <comment ref="E17" authorId="0" shapeId="0" xr:uid="{560D9E2F-2407-4648-A76B-F0BDFEC0A3B7}">
      <text>
        <r>
          <rPr>
            <b/>
            <sz val="9"/>
            <color indexed="81"/>
            <rFont val="Tahoma"/>
            <family val="2"/>
          </rPr>
          <t>Brenda Bott:</t>
        </r>
        <r>
          <rPr>
            <sz val="9"/>
            <color indexed="81"/>
            <rFont val="Tahoma"/>
            <family val="2"/>
          </rPr>
          <t xml:space="preserve">
Formula was CCF, changed to MCF to be consistent with other tab formulas.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8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</commentList>
</comments>
</file>

<file path=xl/sharedStrings.xml><?xml version="1.0" encoding="utf-8"?>
<sst xmlns="http://schemas.openxmlformats.org/spreadsheetml/2006/main" count="641" uniqueCount="279">
  <si>
    <t>874 Mains &amp; Services</t>
  </si>
  <si>
    <t>874.15 Mains &amp; Services KY</t>
  </si>
  <si>
    <t>874.16 Mains &amp; Services TN</t>
  </si>
  <si>
    <t>874.46 Mains &amp; Services OK</t>
  </si>
  <si>
    <t>887 Maintenance of Mains</t>
  </si>
  <si>
    <t>887.15 Maintenance of Mains KY</t>
  </si>
  <si>
    <t>887.16 Maintenance of Mains TN</t>
  </si>
  <si>
    <t>887.46 Maintenance of Mains OK</t>
  </si>
  <si>
    <t>Amount</t>
  </si>
  <si>
    <t>Billed to System</t>
  </si>
  <si>
    <t>OK</t>
  </si>
  <si>
    <t>TN</t>
  </si>
  <si>
    <t>KY</t>
  </si>
  <si>
    <t>893 Maintenance of Meters</t>
  </si>
  <si>
    <t>894 Maintenance of Other Equip</t>
  </si>
  <si>
    <t>908 Customer Assistance</t>
  </si>
  <si>
    <t>908.46 Customer Assistance OK</t>
  </si>
  <si>
    <t>903 Customer Records &amp; Collection</t>
  </si>
  <si>
    <t>909 Info Advertising</t>
  </si>
  <si>
    <t>920 Administration &amp; Gen Sales</t>
  </si>
  <si>
    <t>921 Office Supplies</t>
  </si>
  <si>
    <t>923 Outside Services</t>
  </si>
  <si>
    <t>923.16 Outside Services TN</t>
  </si>
  <si>
    <t>923.15 Outside Services KY</t>
  </si>
  <si>
    <t>923.46 Outside Services OK</t>
  </si>
  <si>
    <t>924 Insurance</t>
  </si>
  <si>
    <t>925 Safety &amp; Security</t>
  </si>
  <si>
    <t>926 Employee Benefits</t>
  </si>
  <si>
    <t>930 Misc Gen Expense</t>
  </si>
  <si>
    <t>931 Rents</t>
  </si>
  <si>
    <t>932 Maintenance of General Plant</t>
  </si>
  <si>
    <t>Meters</t>
  </si>
  <si>
    <t>Trucks</t>
  </si>
  <si>
    <t>FCFA</t>
  </si>
  <si>
    <t>LeAnn</t>
  </si>
  <si>
    <t>OK3</t>
  </si>
  <si>
    <t>LAG</t>
  </si>
  <si>
    <t>Direct</t>
  </si>
  <si>
    <t>Allocation</t>
  </si>
  <si>
    <t>Total:</t>
  </si>
  <si>
    <t>Meter</t>
  </si>
  <si>
    <t>Office Equip</t>
  </si>
  <si>
    <t>Orginal Value</t>
  </si>
  <si>
    <t>Interest Rate</t>
  </si>
  <si>
    <t>Debt/ Equity</t>
  </si>
  <si>
    <t>Ratio of Company</t>
  </si>
  <si>
    <t>Pickups</t>
  </si>
  <si>
    <t>Heavy Equip</t>
  </si>
  <si>
    <t>Tools &amp; Equip</t>
  </si>
  <si>
    <t>Life</t>
  </si>
  <si>
    <t>Total</t>
  </si>
  <si>
    <t>Monthly</t>
  </si>
  <si>
    <t>Grand</t>
  </si>
  <si>
    <t>Years</t>
  </si>
  <si>
    <t>Debt</t>
  </si>
  <si>
    <t>Depreciation</t>
  </si>
  <si>
    <t>Grand Total:</t>
  </si>
  <si>
    <t>Corporate Office</t>
  </si>
  <si>
    <t>Corporate Office Rent from NALLC</t>
  </si>
  <si>
    <t>Eakly Office Rent from FCFA</t>
  </si>
  <si>
    <t>Eakly Office</t>
  </si>
  <si>
    <t>Minus Land</t>
  </si>
  <si>
    <t>Oklahoma Commodity</t>
  </si>
  <si>
    <t>Southern Star</t>
  </si>
  <si>
    <t>ONG-L05559</t>
  </si>
  <si>
    <t>ONG-L05849</t>
  </si>
  <si>
    <t>ONG-L05850</t>
  </si>
  <si>
    <t>ONG-L05851</t>
  </si>
  <si>
    <t>ONG-L05852</t>
  </si>
  <si>
    <t>ONG-L06099</t>
  </si>
  <si>
    <t>ONG-L06215</t>
  </si>
  <si>
    <t>Transporters</t>
  </si>
  <si>
    <t>Cost</t>
  </si>
  <si>
    <t>Price/ Unit</t>
  </si>
  <si>
    <t>Units</t>
  </si>
  <si>
    <t>NALLC Delivery Charge</t>
  </si>
  <si>
    <t>Suppliers</t>
  </si>
  <si>
    <t>System</t>
  </si>
  <si>
    <t>% Usage</t>
  </si>
  <si>
    <t>PGA Portion</t>
  </si>
  <si>
    <t>Prior Month</t>
  </si>
  <si>
    <t>NOK3</t>
  </si>
  <si>
    <t>FCFALD</t>
  </si>
  <si>
    <t>Commodity</t>
  </si>
  <si>
    <t>Tennessee &amp; Kentucky Commodity</t>
  </si>
  <si>
    <t>Quantity</t>
  </si>
  <si>
    <t>Rate</t>
  </si>
  <si>
    <t>Spectra Pipeline</t>
  </si>
  <si>
    <t>Albany (KY)</t>
  </si>
  <si>
    <t>Byrdstown/Fentress (TN)</t>
  </si>
  <si>
    <t>Total Sales</t>
  </si>
  <si>
    <t>DelGasco Pipeline</t>
  </si>
  <si>
    <t>Jellico (TN)</t>
  </si>
  <si>
    <t>Revenue Billing - Direct Charges</t>
  </si>
  <si>
    <t>Navitas Utility Corporation</t>
  </si>
  <si>
    <t>Revenue Billing - Other</t>
  </si>
  <si>
    <t>Revenue Billing - Allocation Charges</t>
  </si>
  <si>
    <t>Revenue Billing - Equipment Rental</t>
  </si>
  <si>
    <t>Navitas Utility Corportion Expenses</t>
  </si>
  <si>
    <t>Other Expenses</t>
  </si>
  <si>
    <t>931 Pickups</t>
  </si>
  <si>
    <t>931 Trucks</t>
  </si>
  <si>
    <t>931 Heavy Equip</t>
  </si>
  <si>
    <t>931 Tools &amp; Equip</t>
  </si>
  <si>
    <t>931 Office Equip</t>
  </si>
  <si>
    <t>931 Meters</t>
  </si>
  <si>
    <t>800 Well Head Purchases</t>
  </si>
  <si>
    <t>804 City Gate Purchases</t>
  </si>
  <si>
    <t>851 Sys Control &amp; Load</t>
  </si>
  <si>
    <t>WSTAR</t>
  </si>
  <si>
    <t>Petrol</t>
  </si>
  <si>
    <t>RRVREA</t>
  </si>
  <si>
    <t>WS</t>
  </si>
  <si>
    <t>855 Other Util Comp state</t>
  </si>
  <si>
    <t>Monthly Bill to Oklahoma Systems</t>
  </si>
  <si>
    <t>Flight Charges</t>
  </si>
  <si>
    <t>charged by Banks</t>
  </si>
  <si>
    <t>903.46 Customer Records OK</t>
  </si>
  <si>
    <t>903.15 Customer Records KY</t>
  </si>
  <si>
    <t>921.15 Office Supplies KY</t>
  </si>
  <si>
    <t>921.16 Office Supplies TN</t>
  </si>
  <si>
    <t>921.46 Office Supplies OK</t>
  </si>
  <si>
    <t>TX</t>
  </si>
  <si>
    <t>874.28 Mains &amp; Services TX</t>
  </si>
  <si>
    <t>887.28 Maintenance of Mains TX</t>
  </si>
  <si>
    <t>903.28 Customer Records TX</t>
  </si>
  <si>
    <t>921.28 Office Supplies TX</t>
  </si>
  <si>
    <t>923.28 Outside Services TX</t>
  </si>
  <si>
    <t>Monthly Bill to Navitas Utility Texas LLC</t>
  </si>
  <si>
    <t>Texas Commodity</t>
  </si>
  <si>
    <t>MCF</t>
  </si>
  <si>
    <t>***The variance between gas supplied and gas transported is due to Lime Rock Resources</t>
  </si>
  <si>
    <t xml:space="preserve">Lime Rock Resources purchases gas directly from Clearwater, then transports it through our </t>
  </si>
  <si>
    <t xml:space="preserve">lines. This creates a situation where more gas is transported than is purchased. </t>
  </si>
  <si>
    <t>Production Watch (CQG)</t>
  </si>
  <si>
    <t>NUC Marketing &amp; Balance</t>
  </si>
  <si>
    <t>Lime Rock is now Stephens &amp; Johnson Operating Co.</t>
  </si>
  <si>
    <t>YYMM System Billing file name: current file moth = prior month flow</t>
  </si>
  <si>
    <t>N/A</t>
  </si>
  <si>
    <t>Self generated annual invoice (November) by Ross</t>
  </si>
  <si>
    <t>Comments</t>
  </si>
  <si>
    <t>Enable OK Intrastate</t>
  </si>
  <si>
    <t>Petrol Energy - Supply</t>
  </si>
  <si>
    <t>50:50</t>
  </si>
  <si>
    <t>Interest</t>
  </si>
  <si>
    <t>Sub-Total</t>
  </si>
  <si>
    <t>Petrol(Supply)</t>
  </si>
  <si>
    <t>Supply Only</t>
  </si>
  <si>
    <t>NUC</t>
  </si>
  <si>
    <t>Kinder Morgan Texas Pipeline (Transportation)</t>
  </si>
  <si>
    <t>Enable Gas Transportation (Supply)</t>
  </si>
  <si>
    <t>Enable Gas Transportation South (Supply)</t>
  </si>
  <si>
    <t>*Includes Transport Only</t>
  </si>
  <si>
    <t>903.16 Customer Records TN</t>
  </si>
  <si>
    <t>Enbridge (Spectra Energy)</t>
  </si>
  <si>
    <t>Total Direct Charges</t>
  </si>
  <si>
    <t>Total Allocation Charges</t>
  </si>
  <si>
    <t>QB P&amp;L Total Expense</t>
  </si>
  <si>
    <t>Difference</t>
  </si>
  <si>
    <t>Depreciation Expenses</t>
  </si>
  <si>
    <t>Nicholson Well (Kenneth Lowe)</t>
  </si>
  <si>
    <t>Validation test</t>
  </si>
  <si>
    <t>Volume</t>
  </si>
  <si>
    <t>Manual Input</t>
  </si>
  <si>
    <t>Enable Gas 1006711 (Rim Rock)</t>
  </si>
  <si>
    <t>Year</t>
  </si>
  <si>
    <t>as of</t>
  </si>
  <si>
    <t>Assets</t>
  </si>
  <si>
    <t>TNNG</t>
  </si>
  <si>
    <t>KYNG</t>
  </si>
  <si>
    <t>%</t>
  </si>
  <si>
    <t>C Ave</t>
  </si>
  <si>
    <t>M Max</t>
  </si>
  <si>
    <t>50% of Monthly avg. count</t>
  </si>
  <si>
    <t>Clearwater ONG (DTH)</t>
  </si>
  <si>
    <t>Natural Gas Pipeline (DTH)</t>
  </si>
  <si>
    <t>Equity</t>
  </si>
  <si>
    <t>CPLTD, LTD, 50% LOC</t>
  </si>
  <si>
    <t>Winstar</t>
  </si>
  <si>
    <t>Oklahoma</t>
  </si>
  <si>
    <t>50-50 Method</t>
  </si>
  <si>
    <t>Sales (MCF)</t>
  </si>
  <si>
    <t>DelGasco (Trans &amp; Supply) DTH</t>
  </si>
  <si>
    <t>B&amp;W (Trans) to TN city gate MCF</t>
  </si>
  <si>
    <t>Sparta (FWM) - Supply MCF</t>
  </si>
  <si>
    <t>Var</t>
  </si>
  <si>
    <t>alloc. Source</t>
  </si>
  <si>
    <t>alloc</t>
  </si>
  <si>
    <t xml:space="preserve">Jellico + Byrdstown </t>
  </si>
  <si>
    <t>B &amp; W (Trans) KY</t>
  </si>
  <si>
    <t>804-Other</t>
  </si>
  <si>
    <t>Kinetrex</t>
  </si>
  <si>
    <t>Amount use to Bill from Assets to NUC, requires to make journals in both companies ( total volume x 0.18cts)</t>
  </si>
  <si>
    <t>Price</t>
  </si>
  <si>
    <t>NUC Marketing &amp; Balance ( total volume x 0.20cts)</t>
  </si>
  <si>
    <t>928 Regulatory Commission Exp</t>
  </si>
  <si>
    <t>Bill Edit List</t>
  </si>
  <si>
    <t>Sales obtained from Bill Edit List</t>
  </si>
  <si>
    <t>TOTAL</t>
  </si>
  <si>
    <t>NUC TNNG</t>
  </si>
  <si>
    <t>NUC KYNG</t>
  </si>
  <si>
    <t>B &amp; W (Trans) KY - retro</t>
  </si>
  <si>
    <t>NUC P&amp;L</t>
  </si>
  <si>
    <t>MKT</t>
  </si>
  <si>
    <t>NUC P&amp;L - Controller</t>
  </si>
  <si>
    <t>NUC P&amp;L Assets</t>
  </si>
  <si>
    <t>Data input to double check</t>
  </si>
  <si>
    <t>Symmetry Retl Dustin (large amount) MMBtu</t>
  </si>
  <si>
    <t>Minus 804-Other</t>
  </si>
  <si>
    <t>Continential Billing Report</t>
  </si>
  <si>
    <t>Proportional Allocation for 2021</t>
  </si>
  <si>
    <t>DIFFERENCE</t>
  </si>
  <si>
    <t>Free</t>
  </si>
  <si>
    <t>data entry</t>
  </si>
  <si>
    <t>formula</t>
  </si>
  <si>
    <t>DATA INPUT 804.46+804 alloc</t>
  </si>
  <si>
    <t>Diversified Energy Marketing</t>
  </si>
  <si>
    <t>MANUAL input per quickbooks</t>
  </si>
  <si>
    <t>TC Energy</t>
  </si>
  <si>
    <t>Plant w/o Acq Adj Consolidated</t>
  </si>
  <si>
    <t>Plant w/o Acq Adj</t>
  </si>
  <si>
    <t>50% of Plant w/o Acq Adj</t>
  </si>
  <si>
    <t>Plant w/o Acq Adj Systems</t>
  </si>
  <si>
    <t>925 ID - Safety &amp; Security</t>
  </si>
  <si>
    <t>925.15 ID - Safety &amp; Security KY</t>
  </si>
  <si>
    <t>925.16 ID - Safety &amp; Security TN</t>
  </si>
  <si>
    <t>925.28 ID - Safety &amp; Security TX</t>
  </si>
  <si>
    <t>925.46 ID - Safety &amp; Security OK</t>
  </si>
  <si>
    <t>926 Employee Benefit</t>
  </si>
  <si>
    <t>926.15 Employee Benefit KY</t>
  </si>
  <si>
    <t>926.16 Employee Benefit TN</t>
  </si>
  <si>
    <t>926.28 Employee Benefit TX</t>
  </si>
  <si>
    <t>926.46 Employee Benefit OK</t>
  </si>
  <si>
    <t>Proportional Allocation for 2022</t>
  </si>
  <si>
    <t>Same amount monthly paid via CC (Richard)</t>
  </si>
  <si>
    <t>Total Billed</t>
  </si>
  <si>
    <t>Direct+Allocation</t>
  </si>
  <si>
    <t>Inv</t>
  </si>
  <si>
    <t>Keystone</t>
  </si>
  <si>
    <t>All Trucks and Equipment to be billed via allocation percentages, NO DIRECT BILLING</t>
  </si>
  <si>
    <t>Byrdstown/Fentress</t>
  </si>
  <si>
    <t>Jellico - Delgasco</t>
  </si>
  <si>
    <t>Jellico - B&amp;W</t>
  </si>
  <si>
    <t>Kinetrex - LNG</t>
  </si>
  <si>
    <t>Monthly Bill to Navitas TN NG LLC</t>
  </si>
  <si>
    <t>Monthly Bill to Navitas KY NG LLC</t>
  </si>
  <si>
    <t>Broken T</t>
  </si>
  <si>
    <t>City of Mannford</t>
  </si>
  <si>
    <t>NC</t>
  </si>
  <si>
    <t>535.2 Operation supervision Cliffside</t>
  </si>
  <si>
    <t>535.3 Operation supervision Stice-Sho</t>
  </si>
  <si>
    <t>921.122 Office Supplies Cliffside</t>
  </si>
  <si>
    <t>921.123 Office Supplies Stice-Shoals</t>
  </si>
  <si>
    <t>Cliffside</t>
  </si>
  <si>
    <t>Stice-Shoals</t>
  </si>
  <si>
    <t>535 Operation supervision</t>
  </si>
  <si>
    <t>Monthly Bill to Hydro Systems</t>
  </si>
  <si>
    <t>Clearwater (Supply)</t>
  </si>
  <si>
    <t>Clearwater EOIT (DTH)</t>
  </si>
  <si>
    <t>Clearwater EGT (DTH)</t>
  </si>
  <si>
    <t>Clearwater SS (DTH)</t>
  </si>
  <si>
    <t>Monthly Avg Cust Count - 2022</t>
  </si>
  <si>
    <t>Proportional Allocation for 2023</t>
  </si>
  <si>
    <t>Summit (CCF)</t>
  </si>
  <si>
    <t>Symmetry Retl Dustin (small amount)</t>
  </si>
  <si>
    <t>Per 12/31/22</t>
  </si>
  <si>
    <t>Values set from Q2 2023 numbers for Q3 &amp; Q4 in 2023</t>
  </si>
  <si>
    <t>same Cima volume, cannot count twice, DO NOT LOAD VOLUME</t>
  </si>
  <si>
    <t>data input as of 06/30/23</t>
  </si>
  <si>
    <t>654K Updated as of 12/31/23</t>
  </si>
  <si>
    <t>2024</t>
  </si>
  <si>
    <t>204</t>
  </si>
  <si>
    <t>Monthly Avg Cust Count - 2023</t>
  </si>
  <si>
    <t>Skye OK, LLC</t>
  </si>
  <si>
    <t>2403 file =</t>
  </si>
  <si>
    <r>
      <t xml:space="preserve">Data Input Mar 24 billing =Mar invoices = Feb </t>
    </r>
    <r>
      <rPr>
        <b/>
        <u val="singleAccounting"/>
        <sz val="11"/>
        <color theme="1"/>
        <rFont val="Calibri"/>
        <family val="2"/>
        <scheme val="minor"/>
      </rPr>
      <t>Flow  data= Feb Sales Volume</t>
    </r>
  </si>
  <si>
    <t>BB 2403</t>
  </si>
  <si>
    <t>Feb.24 Usage</t>
  </si>
  <si>
    <t>Prior Month = Jan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</si>
</sst>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_);_(* \(#,##0.00000\);_(* &quot;-&quot;??_);_(@_)"/>
    <numFmt numFmtId="165" formatCode="_(&quot;$&quot;* #,##0_);_(&quot;$&quot;* \(#,##0\);_(&quot;$&quot;* &quot;-&quot;??_);_(@_)"/>
    <numFmt numFmtId="166" formatCode="_(* #,##0.0000_);_(* \(#,##0.0000\);_(* &quot;-&quot;??_);_(@_)"/>
    <numFmt numFmtId="167" formatCode="_(* #,##0_);_(* \(#,##0\);_(* &quot;-&quot;??_);_(@_)"/>
    <numFmt numFmtId="168" formatCode="_(&quot;$&quot;* #,##0.00_);_(&quot;$&quot;* \(#,##0.00\);_(&quot;$&quot;* &quot;-&quot;_);_(@_)"/>
  </numFmts>
  <fonts count="15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 tint="4.9989318521683403E-2"/>
      <name val="Calibri"/>
      <family val="2"/>
      <scheme val="minor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40">
    <xf numFmtId="0" fontId="0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8" borderId="0" applyNumberFormat="0" applyBorder="0" applyAlignment="0" applyProtection="0"/>
  </cellStyleXfs>
  <cellXfs count="2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9" fontId="0" fillId="0" borderId="0" xfId="0" applyNumberFormat="1" applyAlignment="1">
      <alignment horizontal="center"/>
    </xf>
    <xf numFmtId="44" fontId="0" fillId="0" borderId="0" xfId="0" applyNumberFormat="1"/>
    <xf numFmtId="0" fontId="0" fillId="0" borderId="0" xfId="0" applyAlignment="1">
      <alignment horizontal="right"/>
    </xf>
    <xf numFmtId="42" fontId="0" fillId="0" borderId="0" xfId="0" applyNumberFormat="1"/>
    <xf numFmtId="42" fontId="0" fillId="0" borderId="2" xfId="0" applyNumberFormat="1" applyBorder="1" applyAlignment="1">
      <alignment horizontal="center"/>
    </xf>
    <xf numFmtId="42" fontId="0" fillId="0" borderId="1" xfId="0" applyNumberFormat="1" applyBorder="1" applyAlignment="1">
      <alignment horizontal="center"/>
    </xf>
    <xf numFmtId="42" fontId="0" fillId="0" borderId="0" xfId="0" applyNumberFormat="1" applyAlignment="1">
      <alignment horizontal="center"/>
    </xf>
    <xf numFmtId="42" fontId="0" fillId="2" borderId="0" xfId="0" applyNumberFormat="1" applyFill="1"/>
    <xf numFmtId="0" fontId="0" fillId="2" borderId="0" xfId="0" applyFill="1" applyAlignment="1">
      <alignment horizontal="center"/>
    </xf>
    <xf numFmtId="42" fontId="0" fillId="0" borderId="2" xfId="0" applyNumberFormat="1" applyBorder="1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44" fontId="2" fillId="0" borderId="0" xfId="0" applyNumberFormat="1" applyFont="1"/>
    <xf numFmtId="42" fontId="2" fillId="0" borderId="0" xfId="0" applyNumberFormat="1" applyFont="1" applyAlignment="1">
      <alignment horizontal="center"/>
    </xf>
    <xf numFmtId="42" fontId="2" fillId="0" borderId="2" xfId="0" applyNumberFormat="1" applyFont="1" applyBorder="1"/>
    <xf numFmtId="42" fontId="2" fillId="0" borderId="0" xfId="0" applyNumberFormat="1" applyFont="1"/>
    <xf numFmtId="42" fontId="0" fillId="0" borderId="0" xfId="0" applyNumberFormat="1" applyAlignment="1">
      <alignment horizontal="left"/>
    </xf>
    <xf numFmtId="9" fontId="0" fillId="0" borderId="0" xfId="0" applyNumberFormat="1"/>
    <xf numFmtId="0" fontId="3" fillId="0" borderId="0" xfId="0" applyFont="1" applyAlignment="1">
      <alignment horizontal="center"/>
    </xf>
    <xf numFmtId="3" fontId="0" fillId="0" borderId="0" xfId="0" applyNumberFormat="1"/>
    <xf numFmtId="3" fontId="2" fillId="0" borderId="2" xfId="0" applyNumberFormat="1" applyFont="1" applyBorder="1"/>
    <xf numFmtId="44" fontId="3" fillId="0" borderId="0" xfId="0" applyNumberFormat="1" applyFont="1" applyAlignment="1">
      <alignment horizontal="center"/>
    </xf>
    <xf numFmtId="44" fontId="2" fillId="0" borderId="2" xfId="0" applyNumberFormat="1" applyFont="1" applyBorder="1"/>
    <xf numFmtId="3" fontId="2" fillId="0" borderId="0" xfId="0" applyNumberFormat="1" applyFont="1"/>
    <xf numFmtId="0" fontId="2" fillId="0" borderId="2" xfId="0" applyFont="1" applyBorder="1"/>
    <xf numFmtId="9" fontId="2" fillId="0" borderId="2" xfId="0" applyNumberFormat="1" applyFont="1" applyBorder="1"/>
    <xf numFmtId="0" fontId="2" fillId="3" borderId="0" xfId="0" applyFont="1" applyFill="1"/>
    <xf numFmtId="0" fontId="0" fillId="3" borderId="0" xfId="0" applyFill="1"/>
    <xf numFmtId="0" fontId="0" fillId="0" borderId="2" xfId="0" applyBorder="1"/>
    <xf numFmtId="9" fontId="2" fillId="0" borderId="0" xfId="0" applyNumberFormat="1" applyFont="1"/>
    <xf numFmtId="3" fontId="4" fillId="0" borderId="0" xfId="1" applyNumberFormat="1"/>
    <xf numFmtId="0" fontId="4" fillId="0" borderId="2" xfId="1" applyBorder="1"/>
    <xf numFmtId="0" fontId="5" fillId="0" borderId="0" xfId="1" applyFont="1" applyAlignment="1">
      <alignment horizontal="center"/>
    </xf>
    <xf numFmtId="0" fontId="4" fillId="0" borderId="1" xfId="1" applyBorder="1"/>
    <xf numFmtId="44" fontId="4" fillId="0" borderId="2" xfId="1" applyNumberFormat="1" applyBorder="1"/>
    <xf numFmtId="37" fontId="4" fillId="0" borderId="2" xfId="1" applyNumberFormat="1" applyBorder="1"/>
    <xf numFmtId="41" fontId="4" fillId="0" borderId="0" xfId="1" applyNumberFormat="1"/>
    <xf numFmtId="9" fontId="4" fillId="0" borderId="0" xfId="1" applyNumberFormat="1" applyAlignment="1">
      <alignment horizontal="center"/>
    </xf>
    <xf numFmtId="9" fontId="4" fillId="0" borderId="2" xfId="1" applyNumberFormat="1" applyBorder="1" applyAlignment="1">
      <alignment horizontal="center"/>
    </xf>
    <xf numFmtId="0" fontId="4" fillId="0" borderId="1" xfId="1" applyBorder="1" applyAlignment="1">
      <alignment horizontal="center"/>
    </xf>
    <xf numFmtId="0" fontId="4" fillId="0" borderId="0" xfId="1"/>
    <xf numFmtId="44" fontId="4" fillId="0" borderId="0" xfId="1" applyNumberFormat="1"/>
    <xf numFmtId="0" fontId="4" fillId="3" borderId="2" xfId="1" applyFill="1" applyBorder="1"/>
    <xf numFmtId="44" fontId="4" fillId="0" borderId="0" xfId="5"/>
    <xf numFmtId="44" fontId="0" fillId="0" borderId="0" xfId="0" applyNumberFormat="1" applyAlignment="1">
      <alignment horizontal="center"/>
    </xf>
    <xf numFmtId="0" fontId="2" fillId="4" borderId="0" xfId="0" applyFont="1" applyFill="1"/>
    <xf numFmtId="0" fontId="0" fillId="4" borderId="0" xfId="0" applyFill="1"/>
    <xf numFmtId="43" fontId="0" fillId="0" borderId="0" xfId="0" applyNumberFormat="1"/>
    <xf numFmtId="41" fontId="0" fillId="0" borderId="0" xfId="0" applyNumberFormat="1"/>
    <xf numFmtId="41" fontId="2" fillId="0" borderId="0" xfId="0" applyNumberFormat="1" applyFont="1"/>
    <xf numFmtId="42" fontId="2" fillId="3" borderId="0" xfId="0" applyNumberFormat="1" applyFont="1" applyFill="1"/>
    <xf numFmtId="164" fontId="0" fillId="0" borderId="0" xfId="0" applyNumberFormat="1"/>
    <xf numFmtId="165" fontId="0" fillId="0" borderId="0" xfId="0" applyNumberFormat="1"/>
    <xf numFmtId="165" fontId="0" fillId="3" borderId="0" xfId="0" applyNumberFormat="1" applyFill="1"/>
    <xf numFmtId="166" fontId="0" fillId="0" borderId="0" xfId="0" applyNumberFormat="1"/>
    <xf numFmtId="44" fontId="0" fillId="2" borderId="0" xfId="0" applyNumberFormat="1" applyFill="1"/>
    <xf numFmtId="37" fontId="4" fillId="0" borderId="0" xfId="1" applyNumberFormat="1"/>
    <xf numFmtId="9" fontId="0" fillId="0" borderId="0" xfId="35" applyFont="1"/>
    <xf numFmtId="44" fontId="0" fillId="0" borderId="0" xfId="35" applyNumberFormat="1" applyFont="1"/>
    <xf numFmtId="1" fontId="0" fillId="0" borderId="0" xfId="0" applyNumberFormat="1"/>
    <xf numFmtId="0" fontId="4" fillId="0" borderId="0" xfId="1" applyAlignment="1">
      <alignment horizontal="right"/>
    </xf>
    <xf numFmtId="0" fontId="5" fillId="0" borderId="0" xfId="1" applyFont="1" applyAlignment="1">
      <alignment horizontal="right"/>
    </xf>
    <xf numFmtId="3" fontId="0" fillId="0" borderId="2" xfId="0" applyNumberFormat="1" applyBorder="1"/>
    <xf numFmtId="44" fontId="0" fillId="0" borderId="2" xfId="36" applyFont="1" applyBorder="1"/>
    <xf numFmtId="44" fontId="4" fillId="0" borderId="2" xfId="36" applyFont="1" applyBorder="1"/>
    <xf numFmtId="10" fontId="0" fillId="0" borderId="0" xfId="0" applyNumberFormat="1"/>
    <xf numFmtId="0" fontId="7" fillId="0" borderId="0" xfId="0" applyFont="1"/>
    <xf numFmtId="44" fontId="2" fillId="0" borderId="0" xfId="0" applyNumberFormat="1" applyFont="1" applyAlignment="1">
      <alignment horizontal="center"/>
    </xf>
    <xf numFmtId="0" fontId="8" fillId="0" borderId="0" xfId="0" applyFont="1"/>
    <xf numFmtId="46" fontId="2" fillId="0" borderId="0" xfId="0" quotePrefix="1" applyNumberFormat="1" applyFont="1" applyAlignment="1">
      <alignment horizontal="center"/>
    </xf>
    <xf numFmtId="10" fontId="0" fillId="0" borderId="2" xfId="0" applyNumberFormat="1" applyBorder="1" applyAlignment="1">
      <alignment horizontal="center"/>
    </xf>
    <xf numFmtId="42" fontId="0" fillId="5" borderId="0" xfId="0" applyNumberFormat="1" applyFill="1"/>
    <xf numFmtId="10" fontId="0" fillId="0" borderId="2" xfId="0" applyNumberFormat="1" applyBorder="1"/>
    <xf numFmtId="10" fontId="0" fillId="0" borderId="0" xfId="35" applyNumberFormat="1" applyFont="1"/>
    <xf numFmtId="10" fontId="0" fillId="0" borderId="2" xfId="35" applyNumberFormat="1" applyFont="1" applyBorder="1"/>
    <xf numFmtId="165" fontId="0" fillId="5" borderId="0" xfId="0" applyNumberFormat="1" applyFill="1"/>
    <xf numFmtId="42" fontId="2" fillId="5" borderId="2" xfId="0" applyNumberFormat="1" applyFont="1" applyFill="1" applyBorder="1"/>
    <xf numFmtId="44" fontId="0" fillId="5" borderId="0" xfId="0" applyNumberFormat="1" applyFill="1"/>
    <xf numFmtId="165" fontId="0" fillId="5" borderId="2" xfId="0" applyNumberFormat="1" applyFill="1" applyBorder="1"/>
    <xf numFmtId="165" fontId="2" fillId="5" borderId="2" xfId="0" applyNumberFormat="1" applyFont="1" applyFill="1" applyBorder="1"/>
    <xf numFmtId="3" fontId="0" fillId="2" borderId="0" xfId="0" applyNumberFormat="1" applyFill="1"/>
    <xf numFmtId="44" fontId="2" fillId="2" borderId="2" xfId="0" applyNumberFormat="1" applyFont="1" applyFill="1" applyBorder="1"/>
    <xf numFmtId="41" fontId="4" fillId="2" borderId="0" xfId="1" applyNumberFormat="1" applyFill="1"/>
    <xf numFmtId="44" fontId="4" fillId="2" borderId="0" xfId="1" applyNumberFormat="1" applyFill="1"/>
    <xf numFmtId="3" fontId="4" fillId="2" borderId="0" xfId="1" applyNumberFormat="1" applyFill="1"/>
    <xf numFmtId="41" fontId="4" fillId="2" borderId="0" xfId="5" applyNumberFormat="1" applyFill="1"/>
    <xf numFmtId="9" fontId="0" fillId="5" borderId="0" xfId="0" applyNumberFormat="1" applyFill="1" applyAlignment="1">
      <alignment horizontal="center"/>
    </xf>
    <xf numFmtId="10" fontId="0" fillId="2" borderId="0" xfId="0" applyNumberFormat="1" applyFill="1" applyAlignment="1">
      <alignment horizontal="center"/>
    </xf>
    <xf numFmtId="44" fontId="2" fillId="4" borderId="0" xfId="0" quotePrefix="1" applyNumberFormat="1" applyFont="1" applyFill="1" applyAlignment="1">
      <alignment horizontal="center"/>
    </xf>
    <xf numFmtId="44" fontId="2" fillId="4" borderId="0" xfId="0" applyNumberFormat="1" applyFont="1" applyFill="1"/>
    <xf numFmtId="44" fontId="2" fillId="4" borderId="0" xfId="0" applyNumberFormat="1" applyFont="1" applyFill="1" applyAlignment="1">
      <alignment horizontal="right"/>
    </xf>
    <xf numFmtId="44" fontId="0" fillId="4" borderId="0" xfId="0" applyNumberFormat="1" applyFill="1"/>
    <xf numFmtId="44" fontId="2" fillId="4" borderId="0" xfId="0" applyNumberFormat="1" applyFont="1" applyFill="1" applyAlignment="1">
      <alignment horizontal="left"/>
    </xf>
    <xf numFmtId="0" fontId="0" fillId="4" borderId="0" xfId="0" applyFill="1" applyAlignment="1">
      <alignment horizontal="center"/>
    </xf>
    <xf numFmtId="43" fontId="0" fillId="0" borderId="0" xfId="37" applyFont="1"/>
    <xf numFmtId="43" fontId="2" fillId="0" borderId="0" xfId="37" applyFont="1"/>
    <xf numFmtId="43" fontId="2" fillId="0" borderId="4" xfId="37" applyFont="1" applyBorder="1"/>
    <xf numFmtId="43" fontId="2" fillId="0" borderId="4" xfId="0" applyNumberFormat="1" applyFont="1" applyBorder="1"/>
    <xf numFmtId="167" fontId="0" fillId="0" borderId="0" xfId="37" applyNumberFormat="1" applyFont="1"/>
    <xf numFmtId="44" fontId="2" fillId="4" borderId="0" xfId="0" applyNumberFormat="1" applyFont="1" applyFill="1" applyAlignment="1">
      <alignment horizontal="center"/>
    </xf>
    <xf numFmtId="41" fontId="9" fillId="0" borderId="2" xfId="1" applyNumberFormat="1" applyFont="1" applyBorder="1"/>
    <xf numFmtId="44" fontId="2" fillId="2" borderId="5" xfId="0" applyNumberFormat="1" applyFont="1" applyFill="1" applyBorder="1"/>
    <xf numFmtId="0" fontId="11" fillId="0" borderId="0" xfId="0" applyFont="1"/>
    <xf numFmtId="43" fontId="2" fillId="0" borderId="1" xfId="37" applyFont="1" applyBorder="1" applyAlignment="1">
      <alignment horizontal="center"/>
    </xf>
    <xf numFmtId="43" fontId="0" fillId="2" borderId="0" xfId="37" applyFont="1" applyFill="1"/>
    <xf numFmtId="43" fontId="2" fillId="2" borderId="2" xfId="37" applyFont="1" applyFill="1" applyBorder="1"/>
    <xf numFmtId="37" fontId="0" fillId="0" borderId="0" xfId="0" applyNumberFormat="1"/>
    <xf numFmtId="43" fontId="0" fillId="7" borderId="0" xfId="37" applyFont="1" applyFill="1"/>
    <xf numFmtId="43" fontId="6" fillId="8" borderId="0" xfId="39" applyNumberFormat="1"/>
    <xf numFmtId="0" fontId="0" fillId="0" borderId="0" xfId="0" quotePrefix="1"/>
    <xf numFmtId="167" fontId="0" fillId="0" borderId="0" xfId="0" applyNumberFormat="1"/>
    <xf numFmtId="0" fontId="0" fillId="0" borderId="0" xfId="0" applyAlignment="1">
      <alignment horizontal="left"/>
    </xf>
    <xf numFmtId="168" fontId="0" fillId="0" borderId="0" xfId="0" applyNumberFormat="1"/>
    <xf numFmtId="168" fontId="0" fillId="0" borderId="2" xfId="0" applyNumberFormat="1" applyBorder="1"/>
    <xf numFmtId="10" fontId="0" fillId="0" borderId="0" xfId="35" applyNumberFormat="1" applyFont="1" applyAlignment="1">
      <alignment horizontal="right"/>
    </xf>
    <xf numFmtId="10" fontId="0" fillId="0" borderId="1" xfId="35" applyNumberFormat="1" applyFont="1" applyBorder="1" applyAlignment="1">
      <alignment horizontal="right"/>
    </xf>
    <xf numFmtId="44" fontId="2" fillId="0" borderId="0" xfId="0" quotePrefix="1" applyNumberFormat="1" applyFont="1" applyAlignment="1">
      <alignment horizontal="center"/>
    </xf>
    <xf numFmtId="9" fontId="0" fillId="0" borderId="0" xfId="35" applyFont="1" applyFill="1"/>
    <xf numFmtId="167" fontId="2" fillId="0" borderId="0" xfId="0" applyNumberFormat="1" applyFont="1"/>
    <xf numFmtId="0" fontId="0" fillId="9" borderId="0" xfId="0" applyFill="1"/>
    <xf numFmtId="10" fontId="2" fillId="9" borderId="0" xfId="35" applyNumberFormat="1" applyFont="1" applyFill="1"/>
    <xf numFmtId="10" fontId="0" fillId="9" borderId="0" xfId="0" applyNumberFormat="1" applyFill="1"/>
    <xf numFmtId="0" fontId="2" fillId="0" borderId="0" xfId="0" quotePrefix="1" applyFont="1"/>
    <xf numFmtId="10" fontId="0" fillId="0" borderId="0" xfId="0" applyNumberFormat="1" applyAlignment="1">
      <alignment horizontal="center"/>
    </xf>
    <xf numFmtId="3" fontId="0" fillId="8" borderId="0" xfId="39" applyNumberFormat="1" applyFont="1"/>
    <xf numFmtId="0" fontId="4" fillId="4" borderId="0" xfId="1" applyFill="1"/>
    <xf numFmtId="43" fontId="0" fillId="0" borderId="0" xfId="37" applyFont="1" applyFill="1"/>
    <xf numFmtId="9" fontId="2" fillId="0" borderId="0" xfId="35" applyFont="1"/>
    <xf numFmtId="39" fontId="0" fillId="0" borderId="0" xfId="0" applyNumberFormat="1"/>
    <xf numFmtId="167" fontId="0" fillId="4" borderId="0" xfId="0" applyNumberFormat="1" applyFill="1"/>
    <xf numFmtId="0" fontId="2" fillId="0" borderId="6" xfId="0" quotePrefix="1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9" fontId="0" fillId="0" borderId="0" xfId="35" applyFont="1" applyBorder="1"/>
    <xf numFmtId="0" fontId="0" fillId="0" borderId="10" xfId="0" applyBorder="1"/>
    <xf numFmtId="0" fontId="0" fillId="9" borderId="9" xfId="0" applyFill="1" applyBorder="1"/>
    <xf numFmtId="10" fontId="2" fillId="9" borderId="0" xfId="35" applyNumberFormat="1" applyFont="1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39" fontId="0" fillId="0" borderId="0" xfId="37" applyNumberFormat="1" applyFont="1"/>
    <xf numFmtId="10" fontId="0" fillId="0" borderId="0" xfId="0" applyNumberFormat="1" applyAlignment="1">
      <alignment horizontal="right"/>
    </xf>
    <xf numFmtId="10" fontId="0" fillId="0" borderId="1" xfId="0" applyNumberFormat="1" applyBorder="1" applyAlignment="1">
      <alignment horizontal="right"/>
    </xf>
    <xf numFmtId="39" fontId="2" fillId="0" borderId="4" xfId="37" applyNumberFormat="1" applyFont="1" applyBorder="1"/>
    <xf numFmtId="0" fontId="4" fillId="10" borderId="0" xfId="1" applyFill="1"/>
    <xf numFmtId="44" fontId="9" fillId="0" borderId="0" xfId="1" applyNumberFormat="1" applyFont="1"/>
    <xf numFmtId="43" fontId="13" fillId="2" borderId="0" xfId="37" applyFont="1" applyFill="1"/>
    <xf numFmtId="165" fontId="4" fillId="0" borderId="0" xfId="1" applyNumberFormat="1"/>
    <xf numFmtId="43" fontId="4" fillId="6" borderId="0" xfId="1" applyNumberFormat="1" applyFill="1"/>
    <xf numFmtId="44" fontId="4" fillId="6" borderId="0" xfId="1" applyNumberFormat="1" applyFill="1"/>
    <xf numFmtId="0" fontId="2" fillId="4" borderId="0" xfId="0" applyFont="1" applyFill="1" applyAlignment="1">
      <alignment horizontal="center"/>
    </xf>
    <xf numFmtId="3" fontId="0" fillId="0" borderId="11" xfId="0" applyNumberFormat="1" applyBorder="1"/>
    <xf numFmtId="43" fontId="0" fillId="0" borderId="13" xfId="37" applyFont="1" applyBorder="1"/>
    <xf numFmtId="0" fontId="2" fillId="0" borderId="6" xfId="0" applyFont="1" applyBorder="1" applyAlignment="1">
      <alignment horizontal="right"/>
    </xf>
    <xf numFmtId="0" fontId="2" fillId="0" borderId="7" xfId="0" applyFont="1" applyBorder="1"/>
    <xf numFmtId="0" fontId="2" fillId="0" borderId="8" xfId="0" applyFont="1" applyBorder="1"/>
    <xf numFmtId="0" fontId="11" fillId="0" borderId="7" xfId="0" applyFont="1" applyBorder="1" applyAlignment="1">
      <alignment horizontal="center"/>
    </xf>
    <xf numFmtId="44" fontId="9" fillId="6" borderId="0" xfId="1" applyNumberFormat="1" applyFont="1" applyFill="1"/>
    <xf numFmtId="44" fontId="4" fillId="4" borderId="0" xfId="1" applyNumberFormat="1" applyFill="1"/>
    <xf numFmtId="0" fontId="10" fillId="4" borderId="0" xfId="0" applyFont="1" applyFill="1"/>
    <xf numFmtId="15" fontId="2" fillId="0" borderId="0" xfId="0" applyNumberFormat="1" applyFont="1"/>
    <xf numFmtId="43" fontId="9" fillId="4" borderId="4" xfId="1" applyNumberFormat="1" applyFont="1" applyFill="1" applyBorder="1"/>
    <xf numFmtId="0" fontId="5" fillId="0" borderId="0" xfId="1" applyFont="1"/>
    <xf numFmtId="0" fontId="3" fillId="0" borderId="0" xfId="0" applyFont="1"/>
    <xf numFmtId="44" fontId="2" fillId="9" borderId="0" xfId="0" applyNumberFormat="1" applyFont="1" applyFill="1"/>
    <xf numFmtId="43" fontId="4" fillId="2" borderId="0" xfId="37" applyFont="1" applyFill="1"/>
    <xf numFmtId="43" fontId="4" fillId="4" borderId="2" xfId="37" applyFont="1" applyFill="1" applyBorder="1"/>
    <xf numFmtId="0" fontId="2" fillId="4" borderId="0" xfId="0" applyFont="1" applyFill="1" applyAlignment="1">
      <alignment horizontal="left"/>
    </xf>
    <xf numFmtId="44" fontId="0" fillId="11" borderId="0" xfId="0" applyNumberFormat="1" applyFill="1"/>
    <xf numFmtId="0" fontId="0" fillId="11" borderId="0" xfId="0" applyFill="1"/>
    <xf numFmtId="14" fontId="2" fillId="0" borderId="0" xfId="0" applyNumberFormat="1" applyFont="1" applyAlignment="1">
      <alignment horizontal="left"/>
    </xf>
    <xf numFmtId="10" fontId="0" fillId="0" borderId="0" xfId="35" applyNumberFormat="1" applyFont="1" applyAlignment="1">
      <alignment horizontal="center"/>
    </xf>
    <xf numFmtId="44" fontId="0" fillId="0" borderId="6" xfId="0" applyNumberFormat="1" applyBorder="1"/>
    <xf numFmtId="44" fontId="0" fillId="0" borderId="7" xfId="0" applyNumberFormat="1" applyBorder="1"/>
    <xf numFmtId="44" fontId="0" fillId="4" borderId="7" xfId="0" applyNumberFormat="1" applyFill="1" applyBorder="1"/>
    <xf numFmtId="44" fontId="0" fillId="0" borderId="8" xfId="0" applyNumberFormat="1" applyBorder="1"/>
    <xf numFmtId="44" fontId="0" fillId="0" borderId="9" xfId="0" applyNumberFormat="1" applyBorder="1"/>
    <xf numFmtId="44" fontId="0" fillId="0" borderId="10" xfId="0" applyNumberFormat="1" applyBorder="1"/>
    <xf numFmtId="43" fontId="0" fillId="0" borderId="0" xfId="37" applyFont="1" applyBorder="1"/>
    <xf numFmtId="44" fontId="0" fillId="0" borderId="11" xfId="0" applyNumberFormat="1" applyBorder="1"/>
    <xf numFmtId="44" fontId="0" fillId="0" borderId="12" xfId="0" applyNumberFormat="1" applyBorder="1"/>
    <xf numFmtId="43" fontId="0" fillId="0" borderId="12" xfId="0" applyNumberFormat="1" applyBorder="1"/>
    <xf numFmtId="44" fontId="0" fillId="0" borderId="13" xfId="0" applyNumberFormat="1" applyBorder="1"/>
    <xf numFmtId="168" fontId="0" fillId="2" borderId="0" xfId="0" applyNumberFormat="1" applyFill="1"/>
    <xf numFmtId="0" fontId="2" fillId="4" borderId="6" xfId="0" applyFont="1" applyFill="1" applyBorder="1"/>
    <xf numFmtId="42" fontId="2" fillId="4" borderId="7" xfId="0" applyNumberFormat="1" applyFont="1" applyFill="1" applyBorder="1" applyAlignment="1">
      <alignment horizontal="right"/>
    </xf>
    <xf numFmtId="42" fontId="2" fillId="4" borderId="7" xfId="0" applyNumberFormat="1" applyFont="1" applyFill="1" applyBorder="1"/>
    <xf numFmtId="9" fontId="2" fillId="4" borderId="7" xfId="0" applyNumberFormat="1" applyFont="1" applyFill="1" applyBorder="1" applyAlignment="1">
      <alignment horizontal="center"/>
    </xf>
    <xf numFmtId="42" fontId="2" fillId="4" borderId="8" xfId="0" applyNumberFormat="1" applyFont="1" applyFill="1" applyBorder="1"/>
    <xf numFmtId="0" fontId="2" fillId="4" borderId="9" xfId="0" applyFont="1" applyFill="1" applyBorder="1"/>
    <xf numFmtId="42" fontId="2" fillId="4" borderId="0" xfId="0" applyNumberFormat="1" applyFont="1" applyFill="1" applyAlignment="1">
      <alignment horizontal="right"/>
    </xf>
    <xf numFmtId="42" fontId="2" fillId="4" borderId="0" xfId="0" applyNumberFormat="1" applyFont="1" applyFill="1"/>
    <xf numFmtId="9" fontId="2" fillId="4" borderId="0" xfId="0" applyNumberFormat="1" applyFont="1" applyFill="1" applyAlignment="1">
      <alignment horizontal="center"/>
    </xf>
    <xf numFmtId="42" fontId="2" fillId="4" borderId="10" xfId="0" applyNumberFormat="1" applyFont="1" applyFill="1" applyBorder="1"/>
    <xf numFmtId="0" fontId="2" fillId="4" borderId="11" xfId="0" applyFont="1" applyFill="1" applyBorder="1"/>
    <xf numFmtId="42" fontId="2" fillId="4" borderId="12" xfId="0" applyNumberFormat="1" applyFont="1" applyFill="1" applyBorder="1"/>
    <xf numFmtId="42" fontId="2" fillId="4" borderId="14" xfId="0" applyNumberFormat="1" applyFont="1" applyFill="1" applyBorder="1"/>
    <xf numFmtId="0" fontId="2" fillId="4" borderId="12" xfId="0" applyFont="1" applyFill="1" applyBorder="1"/>
    <xf numFmtId="42" fontId="2" fillId="4" borderId="13" xfId="0" applyNumberFormat="1" applyFont="1" applyFill="1" applyBorder="1"/>
    <xf numFmtId="42" fontId="0" fillId="9" borderId="0" xfId="0" applyNumberFormat="1" applyFill="1"/>
    <xf numFmtId="42" fontId="2" fillId="0" borderId="0" xfId="0" applyNumberFormat="1" applyFont="1" applyAlignment="1">
      <alignment horizontal="left"/>
    </xf>
    <xf numFmtId="168" fontId="0" fillId="9" borderId="0" xfId="0" applyNumberFormat="1" applyFill="1"/>
    <xf numFmtId="167" fontId="0" fillId="9" borderId="0" xfId="37" applyNumberFormat="1" applyFont="1" applyFill="1"/>
    <xf numFmtId="44" fontId="2" fillId="0" borderId="9" xfId="0" applyNumberFormat="1" applyFont="1" applyBorder="1"/>
    <xf numFmtId="44" fontId="9" fillId="0" borderId="2" xfId="1" applyNumberFormat="1" applyFont="1" applyBorder="1"/>
    <xf numFmtId="44" fontId="0" fillId="9" borderId="0" xfId="0" applyNumberFormat="1" applyFill="1"/>
    <xf numFmtId="10" fontId="0" fillId="0" borderId="1" xfId="0" applyNumberFormat="1" applyBorder="1" applyAlignment="1">
      <alignment horizontal="center"/>
    </xf>
    <xf numFmtId="167" fontId="2" fillId="0" borderId="1" xfId="37" applyNumberFormat="1" applyFont="1" applyBorder="1" applyAlignment="1">
      <alignment horizontal="center"/>
    </xf>
    <xf numFmtId="3" fontId="9" fillId="0" borderId="0" xfId="1" applyNumberFormat="1" applyFont="1"/>
    <xf numFmtId="44" fontId="2" fillId="5" borderId="3" xfId="0" applyNumberFormat="1" applyFont="1" applyFill="1" applyBorder="1"/>
    <xf numFmtId="44" fontId="2" fillId="5" borderId="2" xfId="0" applyNumberFormat="1" applyFont="1" applyFill="1" applyBorder="1"/>
    <xf numFmtId="168" fontId="2" fillId="5" borderId="2" xfId="0" applyNumberFormat="1" applyFont="1" applyFill="1" applyBorder="1"/>
    <xf numFmtId="168" fontId="2" fillId="0" borderId="0" xfId="0" applyNumberFormat="1" applyFont="1"/>
    <xf numFmtId="168" fontId="0" fillId="5" borderId="0" xfId="0" applyNumberFormat="1" applyFill="1"/>
    <xf numFmtId="44" fontId="2" fillId="3" borderId="0" xfId="0" applyNumberFormat="1" applyFont="1" applyFill="1"/>
    <xf numFmtId="44" fontId="0" fillId="5" borderId="2" xfId="0" applyNumberFormat="1" applyFill="1" applyBorder="1"/>
    <xf numFmtId="168" fontId="2" fillId="3" borderId="0" xfId="0" applyNumberFormat="1" applyFont="1" applyFill="1"/>
    <xf numFmtId="43" fontId="0" fillId="5" borderId="0" xfId="37" applyFont="1" applyFill="1"/>
    <xf numFmtId="43" fontId="0" fillId="5" borderId="2" xfId="37" applyFont="1" applyFill="1" applyBorder="1"/>
    <xf numFmtId="43" fontId="2" fillId="5" borderId="2" xfId="37" applyFont="1" applyFill="1" applyBorder="1"/>
    <xf numFmtId="43" fontId="2" fillId="0" borderId="0" xfId="37" quotePrefix="1" applyFont="1" applyAlignment="1">
      <alignment horizontal="center"/>
    </xf>
    <xf numFmtId="43" fontId="0" fillId="3" borderId="0" xfId="37" applyFont="1" applyFill="1"/>
    <xf numFmtId="44" fontId="0" fillId="3" borderId="0" xfId="0" applyNumberFormat="1" applyFill="1"/>
    <xf numFmtId="10" fontId="0" fillId="9" borderId="0" xfId="0" applyNumberFormat="1" applyFill="1" applyAlignment="1">
      <alignment horizontal="center"/>
    </xf>
    <xf numFmtId="44" fontId="0" fillId="6" borderId="0" xfId="0" applyNumberFormat="1" applyFill="1"/>
    <xf numFmtId="0" fontId="10" fillId="0" borderId="0" xfId="0" applyFont="1"/>
    <xf numFmtId="9" fontId="2" fillId="0" borderId="0" xfId="35" applyFont="1" applyFill="1"/>
    <xf numFmtId="44" fontId="0" fillId="9" borderId="0" xfId="36" applyFont="1" applyFill="1"/>
    <xf numFmtId="44" fontId="0" fillId="0" borderId="0" xfId="36" applyFont="1"/>
    <xf numFmtId="167" fontId="0" fillId="2" borderId="0" xfId="37" applyNumberFormat="1" applyFont="1" applyFill="1"/>
    <xf numFmtId="43" fontId="2" fillId="0" borderId="0" xfId="37" applyFont="1" applyFill="1" applyBorder="1"/>
    <xf numFmtId="43" fontId="6" fillId="5" borderId="0" xfId="37" applyFont="1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40">
    <cellStyle name="40% - Accent3" xfId="39" builtinId="39"/>
    <cellStyle name="Comma" xfId="37" builtinId="3"/>
    <cellStyle name="Comma 2" xfId="38" xr:uid="{513D87A2-7FE0-4886-A503-4EF5D7E53954}"/>
    <cellStyle name="Currency" xfId="36" builtinId="4"/>
    <cellStyle name="Currency 2" xfId="5" xr:uid="{00000000-0005-0000-0000-000001000000}"/>
    <cellStyle name="Currency 2 2" xfId="12" xr:uid="{00000000-0005-0000-0000-000002000000}"/>
    <cellStyle name="Currency 2 3" xfId="15" xr:uid="{00000000-0005-0000-0000-000003000000}"/>
    <cellStyle name="Currency 2 4" xfId="18" xr:uid="{00000000-0005-0000-0000-000004000000}"/>
    <cellStyle name="Currency 2 5" xfId="21" xr:uid="{00000000-0005-0000-0000-000005000000}"/>
    <cellStyle name="Currency 2 6" xfId="24" xr:uid="{00000000-0005-0000-0000-000006000000}"/>
    <cellStyle name="Currency 2 7" xfId="27" xr:uid="{00000000-0005-0000-0000-000007000000}"/>
    <cellStyle name="Currency 2 8" xfId="30" xr:uid="{00000000-0005-0000-0000-000008000000}"/>
    <cellStyle name="Currency 2 9" xfId="33" xr:uid="{00000000-0005-0000-0000-000009000000}"/>
    <cellStyle name="Currency 3" xfId="2" xr:uid="{00000000-0005-0000-0000-00000A000000}"/>
    <cellStyle name="Normal" xfId="0" builtinId="0"/>
    <cellStyle name="Normal 2" xfId="1" xr:uid="{00000000-0005-0000-0000-00000C000000}"/>
    <cellStyle name="Normal 2 10" xfId="20" xr:uid="{00000000-0005-0000-0000-00000D000000}"/>
    <cellStyle name="Normal 2 11" xfId="23" xr:uid="{00000000-0005-0000-0000-00000E000000}"/>
    <cellStyle name="Normal 2 12" xfId="26" xr:uid="{00000000-0005-0000-0000-00000F000000}"/>
    <cellStyle name="Normal 2 13" xfId="29" xr:uid="{00000000-0005-0000-0000-000010000000}"/>
    <cellStyle name="Normal 2 14" xfId="32" xr:uid="{00000000-0005-0000-0000-000011000000}"/>
    <cellStyle name="Normal 2 2" xfId="4" xr:uid="{00000000-0005-0000-0000-000012000000}"/>
    <cellStyle name="Normal 2 3" xfId="7" xr:uid="{00000000-0005-0000-0000-000013000000}"/>
    <cellStyle name="Normal 2 4" xfId="8" xr:uid="{00000000-0005-0000-0000-000014000000}"/>
    <cellStyle name="Normal 2 5" xfId="9" xr:uid="{00000000-0005-0000-0000-000015000000}"/>
    <cellStyle name="Normal 2 6" xfId="10" xr:uid="{00000000-0005-0000-0000-000016000000}"/>
    <cellStyle name="Normal 2 7" xfId="11" xr:uid="{00000000-0005-0000-0000-000017000000}"/>
    <cellStyle name="Normal 2 8" xfId="14" xr:uid="{00000000-0005-0000-0000-000018000000}"/>
    <cellStyle name="Normal 2 9" xfId="17" xr:uid="{00000000-0005-0000-0000-000019000000}"/>
    <cellStyle name="Percent" xfId="35" builtinId="5"/>
    <cellStyle name="Percent 2" xfId="6" xr:uid="{00000000-0005-0000-0000-00001B000000}"/>
    <cellStyle name="Percent 2 2" xfId="13" xr:uid="{00000000-0005-0000-0000-00001C000000}"/>
    <cellStyle name="Percent 2 3" xfId="16" xr:uid="{00000000-0005-0000-0000-00001D000000}"/>
    <cellStyle name="Percent 2 4" xfId="19" xr:uid="{00000000-0005-0000-0000-00001E000000}"/>
    <cellStyle name="Percent 2 5" xfId="22" xr:uid="{00000000-0005-0000-0000-00001F000000}"/>
    <cellStyle name="Percent 2 6" xfId="25" xr:uid="{00000000-0005-0000-0000-000020000000}"/>
    <cellStyle name="Percent 2 7" xfId="28" xr:uid="{00000000-0005-0000-0000-000021000000}"/>
    <cellStyle name="Percent 2 8" xfId="31" xr:uid="{00000000-0005-0000-0000-000022000000}"/>
    <cellStyle name="Percent 2 9" xfId="34" xr:uid="{00000000-0005-0000-0000-000023000000}"/>
    <cellStyle name="Percent 3" xfId="3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Relationship Id="rId9" Type="http://schemas.openxmlformats.org/officeDocument/2006/relationships/image" Target="../media/image2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2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</xdr:row>
      <xdr:rowOff>0</xdr:rowOff>
    </xdr:from>
    <xdr:to>
      <xdr:col>26</xdr:col>
      <xdr:colOff>67455</xdr:colOff>
      <xdr:row>40</xdr:row>
      <xdr:rowOff>96300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5CA9F0-FDE2-9C63-2325-7185FF8FD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55667" y="190500"/>
          <a:ext cx="5591955" cy="7525800"/>
        </a:xfrm>
        <a:prstGeom prst="rect">
          <a:avLst/>
        </a:prstGeom>
      </xdr:spPr>
    </xdr:pic>
    <xdr:clientData/>
  </xdr:twoCellAnchor>
  <xdr:twoCellAnchor editAs="oneCell">
    <xdr:from>
      <xdr:col>17</xdr:col>
      <xdr:colOff>63500</xdr:colOff>
      <xdr:row>40</xdr:row>
      <xdr:rowOff>84667</xdr:rowOff>
    </xdr:from>
    <xdr:to>
      <xdr:col>25</xdr:col>
      <xdr:colOff>516157</xdr:colOff>
      <xdr:row>77</xdr:row>
      <xdr:rowOff>66598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AF5E0EE-9939-C0F6-9835-01899BED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19167" y="7704667"/>
          <a:ext cx="5363323" cy="7030431"/>
        </a:xfrm>
        <a:prstGeom prst="rect">
          <a:avLst/>
        </a:prstGeom>
      </xdr:spPr>
    </xdr:pic>
    <xdr:clientData/>
  </xdr:twoCellAnchor>
  <xdr:twoCellAnchor editAs="oneCell">
    <xdr:from>
      <xdr:col>17</xdr:col>
      <xdr:colOff>10583</xdr:colOff>
      <xdr:row>77</xdr:row>
      <xdr:rowOff>42334</xdr:rowOff>
    </xdr:from>
    <xdr:to>
      <xdr:col>26</xdr:col>
      <xdr:colOff>1828</xdr:colOff>
      <xdr:row>103</xdr:row>
      <xdr:rowOff>81131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E0C88BA-915E-DC7F-5227-258BF306A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66250" y="14710834"/>
          <a:ext cx="5515745" cy="49917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80961</xdr:colOff>
      <xdr:row>12</xdr:row>
      <xdr:rowOff>57149</xdr:rowOff>
    </xdr:from>
    <xdr:to>
      <xdr:col>50</xdr:col>
      <xdr:colOff>75936</xdr:colOff>
      <xdr:row>50</xdr:row>
      <xdr:rowOff>15301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BD9A68-7E0B-434D-826B-75D756B9C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68686" y="2371724"/>
          <a:ext cx="15234975" cy="725430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50</xdr:row>
      <xdr:rowOff>0</xdr:rowOff>
    </xdr:from>
    <xdr:to>
      <xdr:col>18</xdr:col>
      <xdr:colOff>811367</xdr:colOff>
      <xdr:row>83</xdr:row>
      <xdr:rowOff>105667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574306-36BD-7256-91B2-168641E34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9610725"/>
          <a:ext cx="12479492" cy="63921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49</xdr:row>
      <xdr:rowOff>0</xdr:rowOff>
    </xdr:from>
    <xdr:to>
      <xdr:col>24</xdr:col>
      <xdr:colOff>525615</xdr:colOff>
      <xdr:row>64</xdr:row>
      <xdr:rowOff>133767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D18F58-16C6-2793-1B9D-0D7021A65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9391650"/>
          <a:ext cx="12469965" cy="29912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26</xdr:row>
      <xdr:rowOff>0</xdr:rowOff>
    </xdr:from>
    <xdr:to>
      <xdr:col>27</xdr:col>
      <xdr:colOff>258910</xdr:colOff>
      <xdr:row>33</xdr:row>
      <xdr:rowOff>66870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5CC953-DF4C-4392-63AB-D2490074D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9125" y="4991100"/>
          <a:ext cx="12431860" cy="14003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466725</xdr:colOff>
      <xdr:row>3</xdr:row>
      <xdr:rowOff>123825</xdr:rowOff>
    </xdr:from>
    <xdr:to>
      <xdr:col>25</xdr:col>
      <xdr:colOff>306054</xdr:colOff>
      <xdr:row>12</xdr:row>
      <xdr:rowOff>143118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F8544F-C84E-4744-9847-4709CA671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39325" y="695325"/>
          <a:ext cx="8983329" cy="1743318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33</xdr:row>
      <xdr:rowOff>104775</xdr:rowOff>
    </xdr:from>
    <xdr:to>
      <xdr:col>7</xdr:col>
      <xdr:colOff>181939</xdr:colOff>
      <xdr:row>68</xdr:row>
      <xdr:rowOff>86653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190D14A-1CA0-F9BB-11BD-645591E59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5" y="6410325"/>
          <a:ext cx="6906589" cy="664937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20</xdr:col>
      <xdr:colOff>124778</xdr:colOff>
      <xdr:row>72</xdr:row>
      <xdr:rowOff>134379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8EF012C-1FB6-19EC-EEA3-74CDDB1F0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63000" y="6496050"/>
          <a:ext cx="6830378" cy="73733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466725</xdr:colOff>
      <xdr:row>3</xdr:row>
      <xdr:rowOff>123825</xdr:rowOff>
    </xdr:from>
    <xdr:to>
      <xdr:col>25</xdr:col>
      <xdr:colOff>306054</xdr:colOff>
      <xdr:row>12</xdr:row>
      <xdr:rowOff>143118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4EE004-EB31-4768-A0B0-88189002E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39325" y="695325"/>
          <a:ext cx="8983329" cy="174331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35</xdr:row>
      <xdr:rowOff>0</xdr:rowOff>
    </xdr:from>
    <xdr:to>
      <xdr:col>18</xdr:col>
      <xdr:colOff>515188</xdr:colOff>
      <xdr:row>69</xdr:row>
      <xdr:rowOff>39009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DDCC01F-CC68-0541-8940-34FA79C72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86775" y="6686550"/>
          <a:ext cx="6001588" cy="6516009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35</xdr:row>
      <xdr:rowOff>38100</xdr:rowOff>
    </xdr:from>
    <xdr:to>
      <xdr:col>6</xdr:col>
      <xdr:colOff>143705</xdr:colOff>
      <xdr:row>66</xdr:row>
      <xdr:rowOff>96082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A008A8D-B2BA-2105-17B3-6195313C1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4350" y="6724650"/>
          <a:ext cx="5944430" cy="59634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559594</xdr:colOff>
      <xdr:row>55</xdr:row>
      <xdr:rowOff>166686</xdr:rowOff>
    </xdr:from>
    <xdr:to>
      <xdr:col>56</xdr:col>
      <xdr:colOff>246241</xdr:colOff>
      <xdr:row>95</xdr:row>
      <xdr:rowOff>167750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817D51-C938-401B-9F4B-7F4243E82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99063" y="10679905"/>
          <a:ext cx="6973272" cy="7621064"/>
        </a:xfrm>
        <a:prstGeom prst="rect">
          <a:avLst/>
        </a:prstGeom>
      </xdr:spPr>
    </xdr:pic>
    <xdr:clientData/>
  </xdr:twoCellAnchor>
  <xdr:twoCellAnchor editAs="oneCell">
    <xdr:from>
      <xdr:col>32</xdr:col>
      <xdr:colOff>297657</xdr:colOff>
      <xdr:row>56</xdr:row>
      <xdr:rowOff>23813</xdr:rowOff>
    </xdr:from>
    <xdr:to>
      <xdr:col>44</xdr:col>
      <xdr:colOff>479674</xdr:colOff>
      <xdr:row>100</xdr:row>
      <xdr:rowOff>15457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911E2A-63A3-4492-8AD7-42C7704DD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50501" y="10727532"/>
          <a:ext cx="7468642" cy="8373644"/>
        </a:xfrm>
        <a:prstGeom prst="rect">
          <a:avLst/>
        </a:prstGeom>
      </xdr:spPr>
    </xdr:pic>
    <xdr:clientData/>
  </xdr:twoCellAnchor>
  <xdr:twoCellAnchor editAs="oneCell">
    <xdr:from>
      <xdr:col>22</xdr:col>
      <xdr:colOff>440531</xdr:colOff>
      <xdr:row>57</xdr:row>
      <xdr:rowOff>95251</xdr:rowOff>
    </xdr:from>
    <xdr:to>
      <xdr:col>32</xdr:col>
      <xdr:colOff>250882</xdr:colOff>
      <xdr:row>93</xdr:row>
      <xdr:rowOff>77156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52117CB-74BD-4891-BE1B-B788FC0ED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906875" y="10989470"/>
          <a:ext cx="6096851" cy="6839905"/>
        </a:xfrm>
        <a:prstGeom prst="rect">
          <a:avLst/>
        </a:prstGeom>
      </xdr:spPr>
    </xdr:pic>
    <xdr:clientData/>
  </xdr:twoCellAnchor>
  <xdr:twoCellAnchor editAs="oneCell">
    <xdr:from>
      <xdr:col>17</xdr:col>
      <xdr:colOff>369093</xdr:colOff>
      <xdr:row>58</xdr:row>
      <xdr:rowOff>178594</xdr:rowOff>
    </xdr:from>
    <xdr:to>
      <xdr:col>26</xdr:col>
      <xdr:colOff>577084</xdr:colOff>
      <xdr:row>95</xdr:row>
      <xdr:rowOff>74788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C600AFA-0B94-4BF9-8A8D-95C897787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99343" y="11263313"/>
          <a:ext cx="5887272" cy="6944694"/>
        </a:xfrm>
        <a:prstGeom prst="rect">
          <a:avLst/>
        </a:prstGeom>
      </xdr:spPr>
    </xdr:pic>
    <xdr:clientData/>
  </xdr:twoCellAnchor>
  <xdr:twoCellAnchor editAs="oneCell">
    <xdr:from>
      <xdr:col>12</xdr:col>
      <xdr:colOff>535782</xdr:colOff>
      <xdr:row>58</xdr:row>
      <xdr:rowOff>119061</xdr:rowOff>
    </xdr:from>
    <xdr:to>
      <xdr:col>22</xdr:col>
      <xdr:colOff>722392</xdr:colOff>
      <xdr:row>94</xdr:row>
      <xdr:rowOff>167650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CA3F7C9-009C-689B-B39B-9B0925C3B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29938" y="11203780"/>
          <a:ext cx="6258798" cy="6906589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58</xdr:row>
      <xdr:rowOff>47625</xdr:rowOff>
    </xdr:from>
    <xdr:to>
      <xdr:col>16</xdr:col>
      <xdr:colOff>598531</xdr:colOff>
      <xdr:row>94</xdr:row>
      <xdr:rowOff>172424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49896B6-E950-DE3E-0695-EE7AF8596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29501" y="11132344"/>
          <a:ext cx="5992061" cy="69827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71437</xdr:rowOff>
    </xdr:from>
    <xdr:to>
      <xdr:col>7</xdr:col>
      <xdr:colOff>158138</xdr:colOff>
      <xdr:row>101</xdr:row>
      <xdr:rowOff>53528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6F4A655-31B1-4909-3850-4BB976B1D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1156156"/>
          <a:ext cx="6992326" cy="81735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12</xdr:col>
      <xdr:colOff>180070</xdr:colOff>
      <xdr:row>46</xdr:row>
      <xdr:rowOff>28978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87DFDAE-0BEF-E9C8-89B5-AD378AB30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5941219"/>
          <a:ext cx="10574226" cy="288647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19</xdr:col>
      <xdr:colOff>455475</xdr:colOff>
      <xdr:row>18</xdr:row>
      <xdr:rowOff>162373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16DF115D-7907-9ABC-7506-1EDFF096D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394156" y="381000"/>
          <a:ext cx="4706007" cy="32103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5</xdr:col>
      <xdr:colOff>225069</xdr:colOff>
      <xdr:row>52</xdr:row>
      <xdr:rowOff>153272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3845DE-2EAB-454F-9924-0959343D6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0"/>
          <a:ext cx="5025669" cy="624927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23</xdr:col>
      <xdr:colOff>64976</xdr:colOff>
      <xdr:row>37</xdr:row>
      <xdr:rowOff>28978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982D4A-08AD-4E88-AF6B-9A5B7C1D9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40500" y="4191000"/>
          <a:ext cx="10574226" cy="288647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21</xdr:row>
      <xdr:rowOff>0</xdr:rowOff>
    </xdr:from>
    <xdr:to>
      <xdr:col>12</xdr:col>
      <xdr:colOff>40350</xdr:colOff>
      <xdr:row>55</xdr:row>
      <xdr:rowOff>77115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A7B1B8-C006-F3E5-6A0D-B79613525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526" y="4000500"/>
          <a:ext cx="5344271" cy="655411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35</xdr:col>
      <xdr:colOff>477726</xdr:colOff>
      <xdr:row>36</xdr:row>
      <xdr:rowOff>28978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43BE562-5B80-44CD-91EA-A27A033C1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87553" y="4000500"/>
          <a:ext cx="10574226" cy="2886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1"/>
  <sheetViews>
    <sheetView tabSelected="1" zoomScale="90" zoomScaleNormal="90" zoomScalePageLayoutView="64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F67" sqref="F67"/>
    </sheetView>
  </sheetViews>
  <sheetFormatPr defaultRowHeight="15" x14ac:dyDescent="0.25"/>
  <cols>
    <col min="1" max="3" width="1.42578125" customWidth="1"/>
    <col min="4" max="4" width="35.140625" customWidth="1"/>
    <col min="5" max="5" width="1.42578125" customWidth="1"/>
    <col min="6" max="6" width="13.28515625" style="102" customWidth="1"/>
    <col min="7" max="7" width="1.42578125" customWidth="1"/>
    <col min="8" max="8" width="13.28515625" customWidth="1"/>
    <col min="9" max="9" width="1.42578125" customWidth="1"/>
    <col min="10" max="10" width="13.28515625" customWidth="1"/>
    <col min="11" max="11" width="1.42578125" customWidth="1"/>
    <col min="12" max="12" width="13.28515625" customWidth="1"/>
    <col min="13" max="13" width="1.42578125" customWidth="1"/>
    <col min="14" max="14" width="13.28515625" customWidth="1"/>
    <col min="15" max="15" width="1.42578125" customWidth="1"/>
    <col min="16" max="16" width="16.42578125" bestFit="1" customWidth="1"/>
  </cols>
  <sheetData>
    <row r="1" spans="1:16" x14ac:dyDescent="0.25">
      <c r="A1" s="16" t="s">
        <v>94</v>
      </c>
      <c r="F1" s="102" t="str">
        <f>+'Commodity OK'!H2</f>
        <v>Data Input Mar 24 billing =Mar invoices = Feb Flow  data= Feb Sales Volume</v>
      </c>
    </row>
    <row r="2" spans="1:16" x14ac:dyDescent="0.25">
      <c r="H2" s="18"/>
      <c r="I2" s="18"/>
      <c r="J2" s="2"/>
      <c r="K2" s="17" t="s">
        <v>9</v>
      </c>
      <c r="L2" s="18"/>
      <c r="M2" s="18"/>
      <c r="N2" s="18"/>
      <c r="O2" s="18"/>
      <c r="P2" s="18"/>
    </row>
    <row r="3" spans="1:16" x14ac:dyDescent="0.25">
      <c r="A3" s="16" t="s">
        <v>93</v>
      </c>
      <c r="H3" s="19" t="s">
        <v>12</v>
      </c>
      <c r="I3" s="19"/>
      <c r="J3" s="19" t="s">
        <v>11</v>
      </c>
      <c r="K3" s="19"/>
      <c r="L3" s="19" t="s">
        <v>10</v>
      </c>
      <c r="M3" s="19"/>
      <c r="N3" s="19" t="s">
        <v>122</v>
      </c>
      <c r="P3" s="19" t="s">
        <v>248</v>
      </c>
    </row>
    <row r="4" spans="1:16" x14ac:dyDescent="0.25">
      <c r="F4" s="111" t="s">
        <v>8</v>
      </c>
      <c r="H4" s="1"/>
      <c r="J4" s="1"/>
      <c r="L4" s="1"/>
      <c r="N4" s="1"/>
    </row>
    <row r="6" spans="1:16" x14ac:dyDescent="0.25">
      <c r="B6" s="53" t="s">
        <v>0</v>
      </c>
      <c r="C6" s="54"/>
      <c r="D6" s="54"/>
    </row>
    <row r="7" spans="1:16" x14ac:dyDescent="0.25">
      <c r="C7" t="s">
        <v>1</v>
      </c>
      <c r="F7" s="112">
        <v>16040.88</v>
      </c>
      <c r="G7" s="56"/>
      <c r="H7" s="79">
        <f>F7</f>
        <v>16040.88</v>
      </c>
      <c r="I7" s="8"/>
      <c r="J7" s="79"/>
      <c r="K7" s="8"/>
      <c r="L7" s="79"/>
      <c r="M7" s="8"/>
      <c r="N7" s="79"/>
      <c r="P7" s="79"/>
    </row>
    <row r="8" spans="1:16" x14ac:dyDescent="0.25">
      <c r="C8" t="s">
        <v>2</v>
      </c>
      <c r="F8" s="112">
        <v>6988.85</v>
      </c>
      <c r="G8" s="56"/>
      <c r="H8" s="79"/>
      <c r="I8" s="8"/>
      <c r="J8" s="79">
        <f>F8</f>
        <v>6988.85</v>
      </c>
      <c r="K8" s="8"/>
      <c r="L8" s="79"/>
      <c r="M8" s="8"/>
      <c r="N8" s="79"/>
      <c r="P8" s="79"/>
    </row>
    <row r="9" spans="1:16" x14ac:dyDescent="0.25">
      <c r="C9" t="s">
        <v>123</v>
      </c>
      <c r="F9" s="112">
        <v>313.64999999999998</v>
      </c>
      <c r="G9" s="56"/>
      <c r="H9" s="79"/>
      <c r="I9" s="8"/>
      <c r="J9" s="79"/>
      <c r="K9" s="8"/>
      <c r="L9" s="79"/>
      <c r="M9" s="8"/>
      <c r="N9" s="79">
        <f>F9</f>
        <v>313.64999999999998</v>
      </c>
      <c r="P9" s="79"/>
    </row>
    <row r="10" spans="1:16" x14ac:dyDescent="0.25">
      <c r="C10" t="s">
        <v>3</v>
      </c>
      <c r="F10" s="112">
        <v>67295.59</v>
      </c>
      <c r="G10" s="56"/>
      <c r="H10" s="79"/>
      <c r="I10" s="8"/>
      <c r="J10" s="79"/>
      <c r="K10" s="8"/>
      <c r="L10" s="79">
        <f>F10</f>
        <v>67295.59</v>
      </c>
      <c r="M10" s="8"/>
      <c r="N10" s="79"/>
      <c r="P10" s="79"/>
    </row>
    <row r="11" spans="1:16" x14ac:dyDescent="0.25">
      <c r="G11" s="56"/>
      <c r="H11" s="8"/>
      <c r="I11" s="8"/>
      <c r="J11" s="8"/>
      <c r="K11" s="8"/>
      <c r="L11" s="8"/>
      <c r="M11" s="8"/>
      <c r="N11" s="8"/>
    </row>
    <row r="12" spans="1:16" x14ac:dyDescent="0.25">
      <c r="B12" s="53" t="s">
        <v>4</v>
      </c>
      <c r="C12" s="54"/>
      <c r="D12" s="54"/>
      <c r="G12" s="56"/>
      <c r="H12" s="8"/>
      <c r="I12" s="8"/>
      <c r="J12" s="8"/>
      <c r="K12" s="8"/>
      <c r="L12" s="8"/>
      <c r="M12" s="8"/>
      <c r="N12" s="8"/>
    </row>
    <row r="13" spans="1:16" x14ac:dyDescent="0.25">
      <c r="C13" t="s">
        <v>5</v>
      </c>
      <c r="F13" s="112">
        <v>16900.22</v>
      </c>
      <c r="G13" s="56"/>
      <c r="H13" s="79">
        <f>F13</f>
        <v>16900.22</v>
      </c>
      <c r="I13" s="8"/>
      <c r="J13" s="79"/>
      <c r="K13" s="8"/>
      <c r="L13" s="79"/>
      <c r="M13" s="8"/>
      <c r="N13" s="79"/>
      <c r="P13" s="79"/>
    </row>
    <row r="14" spans="1:16" x14ac:dyDescent="0.25">
      <c r="C14" t="s">
        <v>6</v>
      </c>
      <c r="F14" s="116">
        <v>718.16</v>
      </c>
      <c r="G14" s="56"/>
      <c r="H14" s="79"/>
      <c r="I14" s="8"/>
      <c r="J14" s="79">
        <f>F14</f>
        <v>718.16</v>
      </c>
      <c r="K14" s="8"/>
      <c r="L14" s="79"/>
      <c r="M14" s="8"/>
      <c r="N14" s="79"/>
      <c r="P14" s="79"/>
    </row>
    <row r="15" spans="1:16" x14ac:dyDescent="0.25">
      <c r="C15" t="s">
        <v>124</v>
      </c>
      <c r="F15" s="112">
        <v>449.64</v>
      </c>
      <c r="G15" s="56"/>
      <c r="H15" s="79"/>
      <c r="I15" s="8"/>
      <c r="J15" s="79"/>
      <c r="K15" s="8"/>
      <c r="L15" s="79"/>
      <c r="M15" s="8"/>
      <c r="N15" s="79">
        <f>F15</f>
        <v>449.64</v>
      </c>
      <c r="P15" s="79"/>
    </row>
    <row r="16" spans="1:16" x14ac:dyDescent="0.25">
      <c r="C16" t="s">
        <v>7</v>
      </c>
      <c r="F16" s="112">
        <v>28060.31</v>
      </c>
      <c r="G16" s="56"/>
      <c r="H16" s="79"/>
      <c r="I16" s="8"/>
      <c r="J16" s="79"/>
      <c r="K16" s="8"/>
      <c r="L16" s="79">
        <f>F16</f>
        <v>28060.31</v>
      </c>
      <c r="M16" s="8"/>
      <c r="N16" s="79"/>
      <c r="P16" s="79"/>
    </row>
    <row r="17" spans="2:16" x14ac:dyDescent="0.25">
      <c r="G17" s="56"/>
      <c r="H17" s="8"/>
      <c r="I17" s="8"/>
      <c r="J17" s="8"/>
      <c r="K17" s="8"/>
      <c r="L17" s="8"/>
      <c r="M17" s="8"/>
      <c r="N17" s="8"/>
      <c r="P17" s="8"/>
    </row>
    <row r="18" spans="2:16" x14ac:dyDescent="0.25">
      <c r="B18" s="53" t="s">
        <v>14</v>
      </c>
      <c r="C18" s="54"/>
      <c r="D18" s="54"/>
      <c r="F18" s="112">
        <v>8833.42</v>
      </c>
      <c r="G18" s="56"/>
      <c r="H18" s="79"/>
      <c r="I18" s="8"/>
      <c r="J18" s="79"/>
      <c r="K18" s="8"/>
      <c r="L18" s="79">
        <f>F18</f>
        <v>8833.42</v>
      </c>
      <c r="M18" s="8"/>
      <c r="N18" s="79"/>
      <c r="P18" s="79"/>
    </row>
    <row r="19" spans="2:16" x14ac:dyDescent="0.25">
      <c r="G19" s="56"/>
      <c r="H19" s="8"/>
      <c r="I19" s="8"/>
      <c r="J19" s="8"/>
      <c r="K19" s="8"/>
      <c r="L19" s="8"/>
      <c r="M19" s="8"/>
      <c r="N19" s="8"/>
    </row>
    <row r="20" spans="2:16" x14ac:dyDescent="0.25">
      <c r="B20" s="53" t="s">
        <v>255</v>
      </c>
      <c r="C20" s="53"/>
      <c r="D20" s="53"/>
      <c r="G20" s="56"/>
      <c r="H20" s="8"/>
      <c r="I20" s="8"/>
      <c r="J20" s="8"/>
      <c r="K20" s="8"/>
      <c r="L20" s="8"/>
      <c r="M20" s="8"/>
      <c r="N20" s="8"/>
    </row>
    <row r="21" spans="2:16" x14ac:dyDescent="0.25">
      <c r="C21" t="s">
        <v>249</v>
      </c>
      <c r="F21" s="112">
        <v>465.53</v>
      </c>
      <c r="G21" s="56"/>
      <c r="H21" s="79"/>
      <c r="I21" s="8"/>
      <c r="J21" s="79"/>
      <c r="K21" s="8"/>
      <c r="L21" s="79"/>
      <c r="M21" s="8"/>
      <c r="N21" s="79"/>
      <c r="P21" s="79">
        <f>+F21</f>
        <v>465.53</v>
      </c>
    </row>
    <row r="22" spans="2:16" x14ac:dyDescent="0.25">
      <c r="C22" t="s">
        <v>250</v>
      </c>
      <c r="F22" s="112">
        <v>4563.07</v>
      </c>
      <c r="G22" s="56"/>
      <c r="H22" s="79"/>
      <c r="I22" s="8"/>
      <c r="J22" s="79"/>
      <c r="K22" s="8"/>
      <c r="L22" s="79"/>
      <c r="M22" s="8"/>
      <c r="N22" s="79"/>
      <c r="P22" s="79">
        <f>+F22</f>
        <v>4563.07</v>
      </c>
    </row>
    <row r="23" spans="2:16" x14ac:dyDescent="0.25">
      <c r="G23" s="56"/>
      <c r="H23" s="8"/>
      <c r="I23" s="8"/>
      <c r="J23" s="8"/>
      <c r="K23" s="8"/>
      <c r="L23" s="8"/>
      <c r="M23" s="8"/>
      <c r="N23" s="8"/>
    </row>
    <row r="24" spans="2:16" x14ac:dyDescent="0.25">
      <c r="B24" s="53" t="s">
        <v>17</v>
      </c>
      <c r="C24" s="53"/>
      <c r="D24" s="53"/>
      <c r="G24" s="56"/>
      <c r="H24" s="8"/>
      <c r="I24" s="8"/>
      <c r="J24" s="8"/>
      <c r="K24" s="8"/>
      <c r="L24" s="8"/>
      <c r="M24" s="8"/>
      <c r="N24" s="8"/>
    </row>
    <row r="25" spans="2:16" x14ac:dyDescent="0.25">
      <c r="C25" t="s">
        <v>118</v>
      </c>
      <c r="F25" s="112">
        <v>199.68</v>
      </c>
      <c r="G25" s="56"/>
      <c r="H25" s="79">
        <f>F25</f>
        <v>199.68</v>
      </c>
      <c r="I25" s="8"/>
      <c r="J25" s="79"/>
      <c r="K25" s="8"/>
      <c r="L25" s="79"/>
      <c r="M25" s="8"/>
      <c r="N25" s="79"/>
      <c r="P25" s="79"/>
    </row>
    <row r="26" spans="2:16" x14ac:dyDescent="0.25">
      <c r="C26" t="s">
        <v>153</v>
      </c>
      <c r="F26" s="112">
        <v>197.85</v>
      </c>
      <c r="G26" s="56"/>
      <c r="H26" s="79"/>
      <c r="I26" s="8"/>
      <c r="J26" s="79">
        <f>F26</f>
        <v>197.85</v>
      </c>
      <c r="K26" s="8"/>
      <c r="L26" s="79"/>
      <c r="M26" s="8"/>
      <c r="N26" s="79"/>
      <c r="P26" s="79"/>
    </row>
    <row r="27" spans="2:16" x14ac:dyDescent="0.25">
      <c r="C27" t="s">
        <v>125</v>
      </c>
      <c r="F27" s="112">
        <v>0</v>
      </c>
      <c r="G27" s="56"/>
      <c r="H27" s="79"/>
      <c r="I27" s="8"/>
      <c r="J27" s="79"/>
      <c r="K27" s="8"/>
      <c r="L27" s="79"/>
      <c r="M27" s="8"/>
      <c r="N27" s="79">
        <f>F27</f>
        <v>0</v>
      </c>
      <c r="P27" s="79"/>
    </row>
    <row r="28" spans="2:16" x14ac:dyDescent="0.25">
      <c r="C28" t="s">
        <v>117</v>
      </c>
      <c r="F28" s="112">
        <v>1895.2</v>
      </c>
      <c r="G28" s="56"/>
      <c r="H28" s="79"/>
      <c r="I28" s="8"/>
      <c r="J28" s="79"/>
      <c r="K28" s="8"/>
      <c r="L28" s="79">
        <f>F28</f>
        <v>1895.2</v>
      </c>
      <c r="M28" s="8"/>
      <c r="N28" s="79"/>
      <c r="P28" s="79"/>
    </row>
    <row r="29" spans="2:16" x14ac:dyDescent="0.25">
      <c r="G29" s="56"/>
      <c r="H29" s="8"/>
      <c r="I29" s="8"/>
      <c r="J29" s="8"/>
      <c r="K29" s="8"/>
      <c r="L29" s="8"/>
      <c r="M29" s="8"/>
      <c r="N29" s="8"/>
    </row>
    <row r="30" spans="2:16" x14ac:dyDescent="0.25">
      <c r="B30" s="53" t="s">
        <v>15</v>
      </c>
      <c r="C30" s="54"/>
      <c r="D30" s="54"/>
      <c r="G30" s="56"/>
      <c r="H30" s="8"/>
      <c r="I30" s="8"/>
      <c r="J30" s="8"/>
      <c r="K30" s="8"/>
      <c r="L30" s="8"/>
      <c r="M30" s="8"/>
      <c r="N30" s="8"/>
    </row>
    <row r="31" spans="2:16" x14ac:dyDescent="0.25">
      <c r="C31" t="s">
        <v>16</v>
      </c>
      <c r="F31" s="112">
        <v>3150.67</v>
      </c>
      <c r="G31" s="56"/>
      <c r="H31" s="79"/>
      <c r="I31" s="8"/>
      <c r="J31" s="79"/>
      <c r="K31" s="8"/>
      <c r="L31" s="79">
        <f>F31</f>
        <v>3150.67</v>
      </c>
      <c r="M31" s="8"/>
      <c r="N31" s="79"/>
      <c r="P31" s="79"/>
    </row>
    <row r="32" spans="2:16" x14ac:dyDescent="0.25">
      <c r="G32" s="56"/>
      <c r="H32" s="8"/>
      <c r="I32" s="8"/>
      <c r="J32" s="8"/>
      <c r="K32" s="8"/>
      <c r="L32" s="8"/>
      <c r="M32" s="8"/>
      <c r="N32" s="8"/>
    </row>
    <row r="33" spans="2:16" x14ac:dyDescent="0.25">
      <c r="B33" s="53" t="s">
        <v>20</v>
      </c>
      <c r="C33" s="53"/>
      <c r="D33" s="53"/>
      <c r="G33" s="56"/>
      <c r="H33" s="8"/>
      <c r="I33" s="8"/>
      <c r="J33" s="8"/>
      <c r="K33" s="8"/>
      <c r="L33" s="8"/>
      <c r="M33" s="8"/>
      <c r="N33" s="8"/>
    </row>
    <row r="34" spans="2:16" x14ac:dyDescent="0.25">
      <c r="C34" t="s">
        <v>251</v>
      </c>
      <c r="F34" s="112">
        <v>100</v>
      </c>
      <c r="G34" s="56"/>
      <c r="H34" s="79"/>
      <c r="I34" s="8"/>
      <c r="J34" s="79"/>
      <c r="K34" s="8"/>
      <c r="L34" s="79"/>
      <c r="M34" s="8"/>
      <c r="N34" s="79"/>
      <c r="P34" s="79">
        <f>+F34</f>
        <v>100</v>
      </c>
    </row>
    <row r="35" spans="2:16" x14ac:dyDescent="0.25">
      <c r="C35" t="s">
        <v>252</v>
      </c>
      <c r="F35" s="112">
        <v>522.28</v>
      </c>
      <c r="G35" s="56"/>
      <c r="H35" s="79"/>
      <c r="I35" s="8"/>
      <c r="J35" s="79"/>
      <c r="K35" s="8"/>
      <c r="L35" s="79"/>
      <c r="M35" s="8"/>
      <c r="N35" s="79"/>
      <c r="P35" s="79">
        <f>+F35</f>
        <v>522.28</v>
      </c>
    </row>
    <row r="36" spans="2:16" x14ac:dyDescent="0.25">
      <c r="C36" t="s">
        <v>119</v>
      </c>
      <c r="F36" s="112">
        <v>551.65</v>
      </c>
      <c r="G36" s="56"/>
      <c r="H36" s="79">
        <f>F36</f>
        <v>551.65</v>
      </c>
      <c r="I36" s="8"/>
      <c r="J36" s="79"/>
      <c r="K36" s="8"/>
      <c r="L36" s="79"/>
      <c r="M36" s="8"/>
      <c r="N36" s="79"/>
      <c r="P36" s="79"/>
    </row>
    <row r="37" spans="2:16" x14ac:dyDescent="0.25">
      <c r="C37" t="s">
        <v>120</v>
      </c>
      <c r="F37" s="112">
        <v>186.03</v>
      </c>
      <c r="G37" s="56"/>
      <c r="H37" s="79"/>
      <c r="I37" s="8"/>
      <c r="J37" s="79">
        <f>F37</f>
        <v>186.03</v>
      </c>
      <c r="K37" s="8"/>
      <c r="L37" s="79"/>
      <c r="M37" s="8"/>
      <c r="N37" s="79"/>
      <c r="P37" s="79"/>
    </row>
    <row r="38" spans="2:16" x14ac:dyDescent="0.25">
      <c r="C38" t="s">
        <v>126</v>
      </c>
      <c r="F38" s="112">
        <v>0</v>
      </c>
      <c r="G38" s="56"/>
      <c r="H38" s="79"/>
      <c r="I38" s="8"/>
      <c r="J38" s="79"/>
      <c r="K38" s="8"/>
      <c r="L38" s="79"/>
      <c r="M38" s="8"/>
      <c r="N38" s="79">
        <f>F38</f>
        <v>0</v>
      </c>
      <c r="P38" s="79"/>
    </row>
    <row r="39" spans="2:16" x14ac:dyDescent="0.25">
      <c r="C39" t="s">
        <v>121</v>
      </c>
      <c r="F39" s="112">
        <v>2383.19</v>
      </c>
      <c r="G39" s="56"/>
      <c r="H39" s="79"/>
      <c r="I39" s="8"/>
      <c r="J39" s="79"/>
      <c r="K39" s="8"/>
      <c r="L39" s="79">
        <f>F39</f>
        <v>2383.19</v>
      </c>
      <c r="M39" s="8"/>
      <c r="N39" s="79"/>
      <c r="P39" s="79"/>
    </row>
    <row r="40" spans="2:16" x14ac:dyDescent="0.25">
      <c r="G40" s="56"/>
      <c r="H40" s="8"/>
      <c r="I40" s="8"/>
      <c r="J40" s="8"/>
      <c r="K40" s="8"/>
      <c r="L40" s="8"/>
      <c r="M40" s="8"/>
      <c r="N40" s="8"/>
    </row>
    <row r="41" spans="2:16" x14ac:dyDescent="0.25">
      <c r="B41" s="53" t="s">
        <v>21</v>
      </c>
      <c r="C41" s="53"/>
      <c r="D41" s="53"/>
      <c r="G41" s="56"/>
      <c r="H41" s="8"/>
      <c r="I41" s="8"/>
      <c r="J41" s="8"/>
      <c r="K41" s="8"/>
      <c r="L41" s="8"/>
      <c r="M41" s="8"/>
      <c r="N41" s="8"/>
    </row>
    <row r="42" spans="2:16" x14ac:dyDescent="0.25">
      <c r="C42" t="s">
        <v>23</v>
      </c>
      <c r="F42" s="112">
        <v>10739</v>
      </c>
      <c r="G42" s="56"/>
      <c r="H42" s="79">
        <f>F42</f>
        <v>10739</v>
      </c>
      <c r="I42" s="8"/>
      <c r="J42" s="79"/>
      <c r="K42" s="8"/>
      <c r="L42" s="79"/>
      <c r="M42" s="8"/>
      <c r="N42" s="79"/>
      <c r="P42" s="79"/>
    </row>
    <row r="43" spans="2:16" x14ac:dyDescent="0.25">
      <c r="C43" t="s">
        <v>22</v>
      </c>
      <c r="F43" s="112">
        <v>211.52</v>
      </c>
      <c r="G43" s="56"/>
      <c r="H43" s="79"/>
      <c r="I43" s="8"/>
      <c r="J43" s="79">
        <f>F43</f>
        <v>211.52</v>
      </c>
      <c r="K43" s="8"/>
      <c r="L43" s="79"/>
      <c r="M43" s="8"/>
      <c r="N43" s="79"/>
      <c r="P43" s="79"/>
    </row>
    <row r="44" spans="2:16" x14ac:dyDescent="0.25">
      <c r="C44" t="s">
        <v>127</v>
      </c>
      <c r="F44" s="112">
        <v>245.83</v>
      </c>
      <c r="G44" s="56"/>
      <c r="H44" s="79"/>
      <c r="I44" s="8"/>
      <c r="J44" s="79"/>
      <c r="K44" s="8"/>
      <c r="L44" s="79"/>
      <c r="M44" s="8"/>
      <c r="N44" s="79">
        <f>F44</f>
        <v>245.83</v>
      </c>
      <c r="P44" s="79"/>
    </row>
    <row r="45" spans="2:16" x14ac:dyDescent="0.25">
      <c r="C45" t="s">
        <v>24</v>
      </c>
      <c r="F45" s="112">
        <v>12764.66</v>
      </c>
      <c r="G45" s="56"/>
      <c r="H45" s="79"/>
      <c r="I45" s="8"/>
      <c r="J45" s="79"/>
      <c r="K45" s="8"/>
      <c r="L45" s="79">
        <f>F45</f>
        <v>12764.66</v>
      </c>
      <c r="M45" s="8"/>
      <c r="N45" s="79"/>
      <c r="P45" s="79"/>
    </row>
    <row r="46" spans="2:16" x14ac:dyDescent="0.25">
      <c r="G46" s="56"/>
      <c r="H46" s="8"/>
      <c r="I46" s="8"/>
      <c r="J46" s="8"/>
      <c r="K46" s="8"/>
      <c r="L46" s="8"/>
      <c r="M46" s="8"/>
      <c r="N46" s="8"/>
    </row>
    <row r="47" spans="2:16" x14ac:dyDescent="0.25">
      <c r="B47" s="53" t="s">
        <v>223</v>
      </c>
      <c r="C47" s="53"/>
      <c r="D47" s="53"/>
      <c r="G47" s="56"/>
      <c r="H47" s="8"/>
      <c r="I47" s="8"/>
      <c r="J47" s="8"/>
      <c r="K47" s="8"/>
      <c r="L47" s="8"/>
      <c r="M47" s="8"/>
      <c r="N47" s="8"/>
    </row>
    <row r="48" spans="2:16" x14ac:dyDescent="0.25">
      <c r="C48" t="s">
        <v>224</v>
      </c>
      <c r="F48" s="112">
        <v>52.5</v>
      </c>
      <c r="G48" s="56"/>
      <c r="H48" s="79">
        <f>F48</f>
        <v>52.5</v>
      </c>
      <c r="I48" s="8"/>
      <c r="J48" s="79"/>
      <c r="K48" s="8"/>
      <c r="L48" s="79"/>
      <c r="M48" s="8"/>
      <c r="N48" s="79"/>
      <c r="P48" s="79"/>
    </row>
    <row r="49" spans="1:16" x14ac:dyDescent="0.25">
      <c r="C49" t="s">
        <v>225</v>
      </c>
      <c r="F49" s="112">
        <v>0</v>
      </c>
      <c r="G49" s="56"/>
      <c r="H49" s="79"/>
      <c r="I49" s="8"/>
      <c r="J49" s="79">
        <f>F49</f>
        <v>0</v>
      </c>
      <c r="K49" s="8"/>
      <c r="L49" s="79"/>
      <c r="M49" s="8"/>
      <c r="N49" s="79"/>
      <c r="P49" s="79"/>
    </row>
    <row r="50" spans="1:16" x14ac:dyDescent="0.25">
      <c r="C50" t="s">
        <v>226</v>
      </c>
      <c r="F50" s="112">
        <v>0</v>
      </c>
      <c r="G50" s="56"/>
      <c r="H50" s="79"/>
      <c r="I50" s="8"/>
      <c r="J50" s="79"/>
      <c r="K50" s="8"/>
      <c r="L50" s="79"/>
      <c r="M50" s="8"/>
      <c r="N50" s="79">
        <f>F50</f>
        <v>0</v>
      </c>
      <c r="P50" s="79"/>
    </row>
    <row r="51" spans="1:16" x14ac:dyDescent="0.25">
      <c r="C51" t="s">
        <v>227</v>
      </c>
      <c r="F51" s="112">
        <v>954.04</v>
      </c>
      <c r="G51" s="56"/>
      <c r="H51" s="79"/>
      <c r="I51" s="8"/>
      <c r="J51" s="79"/>
      <c r="K51" s="8"/>
      <c r="L51" s="79">
        <f>F51</f>
        <v>954.04</v>
      </c>
      <c r="M51" s="8"/>
      <c r="N51" s="79"/>
      <c r="P51" s="79"/>
    </row>
    <row r="52" spans="1:16" x14ac:dyDescent="0.25">
      <c r="F52" s="134"/>
      <c r="G52" s="56"/>
      <c r="H52" s="8"/>
      <c r="I52" s="8"/>
      <c r="J52" s="8"/>
      <c r="K52" s="8"/>
      <c r="L52" s="8"/>
      <c r="M52" s="8"/>
      <c r="N52" s="8"/>
    </row>
    <row r="53" spans="1:16" x14ac:dyDescent="0.25">
      <c r="B53" s="53" t="s">
        <v>228</v>
      </c>
      <c r="C53" s="53"/>
      <c r="D53" s="53"/>
      <c r="F53" s="134"/>
      <c r="G53" s="56"/>
      <c r="H53" s="8"/>
      <c r="I53" s="8"/>
      <c r="J53" s="8"/>
      <c r="K53" s="8"/>
      <c r="L53" s="8"/>
      <c r="M53" s="8"/>
      <c r="N53" s="8"/>
    </row>
    <row r="54" spans="1:16" x14ac:dyDescent="0.25">
      <c r="C54" t="s">
        <v>229</v>
      </c>
      <c r="F54" s="112">
        <v>2838.28</v>
      </c>
      <c r="G54" s="56"/>
      <c r="H54" s="79">
        <f>F54</f>
        <v>2838.28</v>
      </c>
      <c r="I54" s="8"/>
      <c r="J54" s="79"/>
      <c r="K54" s="8"/>
      <c r="L54" s="79"/>
      <c r="M54" s="8"/>
      <c r="N54" s="79"/>
      <c r="P54" s="79"/>
    </row>
    <row r="55" spans="1:16" x14ac:dyDescent="0.25">
      <c r="C55" t="s">
        <v>230</v>
      </c>
      <c r="F55" s="112">
        <v>643.55999999999995</v>
      </c>
      <c r="G55" s="56"/>
      <c r="H55" s="79"/>
      <c r="I55" s="8"/>
      <c r="J55" s="79">
        <f>F55</f>
        <v>643.55999999999995</v>
      </c>
      <c r="K55" s="8"/>
      <c r="L55" s="79"/>
      <c r="M55" s="8"/>
      <c r="N55" s="79"/>
      <c r="P55" s="79"/>
    </row>
    <row r="56" spans="1:16" x14ac:dyDescent="0.25">
      <c r="C56" t="s">
        <v>231</v>
      </c>
      <c r="F56" s="112">
        <v>0</v>
      </c>
      <c r="G56" s="56"/>
      <c r="H56" s="79"/>
      <c r="I56" s="8"/>
      <c r="J56" s="79"/>
      <c r="K56" s="8"/>
      <c r="L56" s="79"/>
      <c r="M56" s="8"/>
      <c r="N56" s="79">
        <f>F56</f>
        <v>0</v>
      </c>
      <c r="P56" s="79"/>
    </row>
    <row r="57" spans="1:16" x14ac:dyDescent="0.25">
      <c r="C57" t="s">
        <v>232</v>
      </c>
      <c r="F57" s="112">
        <v>29290.74</v>
      </c>
      <c r="G57" s="56"/>
      <c r="H57" s="79"/>
      <c r="I57" s="8"/>
      <c r="J57" s="79"/>
      <c r="K57" s="8"/>
      <c r="L57" s="79">
        <f>F57</f>
        <v>29290.74</v>
      </c>
      <c r="M57" s="8"/>
      <c r="N57" s="79"/>
      <c r="P57" s="79"/>
    </row>
    <row r="58" spans="1:16" x14ac:dyDescent="0.25">
      <c r="F58" s="134"/>
      <c r="G58" s="56"/>
      <c r="H58" s="8"/>
      <c r="I58" s="8"/>
      <c r="J58" s="8"/>
      <c r="K58" s="8"/>
      <c r="L58" s="8"/>
      <c r="M58" s="8"/>
      <c r="N58" s="8"/>
    </row>
    <row r="59" spans="1:16" x14ac:dyDescent="0.25">
      <c r="F59" s="113">
        <f>SUM(F7:F57)</f>
        <v>217556.00000000003</v>
      </c>
      <c r="G59" s="57"/>
      <c r="H59" s="113">
        <f>SUM(H7:H57)</f>
        <v>47322.21</v>
      </c>
      <c r="I59" s="23"/>
      <c r="J59" s="113">
        <f>SUM(J7:J57)</f>
        <v>8945.9699999999993</v>
      </c>
      <c r="K59" s="23"/>
      <c r="L59" s="113">
        <f>SUM(L7:L57)</f>
        <v>154627.81999999998</v>
      </c>
      <c r="M59" s="23"/>
      <c r="N59" s="113">
        <f>SUM(N7:N57)</f>
        <v>1009.12</v>
      </c>
      <c r="P59" s="113">
        <f>SUM(P7:P57)</f>
        <v>5650.8799999999992</v>
      </c>
    </row>
    <row r="60" spans="1:16" x14ac:dyDescent="0.25">
      <c r="G60" s="6"/>
      <c r="H60" s="6"/>
      <c r="I60" s="6"/>
      <c r="J60" s="6"/>
      <c r="K60" s="6"/>
      <c r="L60" s="6"/>
      <c r="M60" s="6"/>
      <c r="N60" s="6"/>
    </row>
    <row r="61" spans="1:16" x14ac:dyDescent="0.25">
      <c r="A61" s="16" t="s">
        <v>95</v>
      </c>
      <c r="G61" s="6"/>
      <c r="H61" s="6"/>
      <c r="I61" s="6"/>
      <c r="J61" s="6"/>
      <c r="K61" s="6"/>
      <c r="L61" s="6"/>
      <c r="M61" s="6"/>
      <c r="N61" s="6"/>
    </row>
    <row r="62" spans="1:16" x14ac:dyDescent="0.25">
      <c r="D62" s="16" t="s">
        <v>161</v>
      </c>
      <c r="G62" s="6"/>
      <c r="H62" s="6"/>
      <c r="I62" s="6"/>
      <c r="J62" s="6"/>
      <c r="K62" s="6"/>
      <c r="L62" s="6"/>
      <c r="M62" s="6"/>
      <c r="N62" s="6" t="s">
        <v>237</v>
      </c>
      <c r="P62" t="s">
        <v>236</v>
      </c>
    </row>
    <row r="63" spans="1:16" x14ac:dyDescent="0.25">
      <c r="D63" s="16" t="s">
        <v>159</v>
      </c>
      <c r="F63" s="115">
        <v>31809.97</v>
      </c>
      <c r="G63" s="6"/>
      <c r="H63" s="6" t="s">
        <v>163</v>
      </c>
      <c r="I63" s="6"/>
      <c r="J63" s="6"/>
      <c r="K63" s="6"/>
      <c r="L63" s="6" t="s">
        <v>10</v>
      </c>
      <c r="M63" s="6"/>
      <c r="N63" s="60">
        <f>+Oklahoma!F42</f>
        <v>278053.36364658369</v>
      </c>
      <c r="P63" s="60">
        <f>+L59+'Allocation Charges'!L21</f>
        <v>278053.36364658363</v>
      </c>
    </row>
    <row r="64" spans="1:16" x14ac:dyDescent="0.25">
      <c r="B64" s="16"/>
      <c r="D64" t="s">
        <v>155</v>
      </c>
      <c r="F64" s="102">
        <f>+F59</f>
        <v>217556.00000000003</v>
      </c>
      <c r="G64" s="6"/>
      <c r="H64" s="6"/>
      <c r="I64" s="6"/>
      <c r="J64" s="6"/>
      <c r="K64" s="6"/>
      <c r="L64" s="6" t="s">
        <v>12</v>
      </c>
      <c r="M64" s="6"/>
      <c r="N64" s="60">
        <f>+Kentucky!F39</f>
        <v>81911</v>
      </c>
      <c r="P64" s="60">
        <f>+H59+'Allocation Charges'!H21</f>
        <v>81903.433097344358</v>
      </c>
    </row>
    <row r="65" spans="4:16" x14ac:dyDescent="0.25">
      <c r="D65" t="s">
        <v>156</v>
      </c>
      <c r="F65" s="102">
        <f>+'Allocation Charges'!F21</f>
        <v>178622.21000000002</v>
      </c>
      <c r="G65" s="8"/>
      <c r="H65" s="8"/>
      <c r="I65" s="8"/>
      <c r="J65" s="8"/>
      <c r="K65" s="8"/>
      <c r="L65" s="8" t="s">
        <v>11</v>
      </c>
      <c r="M65" s="8"/>
      <c r="N65" s="60">
        <f>+Tennessee!F40</f>
        <v>25099</v>
      </c>
      <c r="P65" s="60">
        <f>+J59+'Allocation Charges'!J21</f>
        <v>25093.656317520443</v>
      </c>
    </row>
    <row r="66" spans="4:16" x14ac:dyDescent="0.25">
      <c r="D66" t="s">
        <v>50</v>
      </c>
      <c r="F66" s="102">
        <f>SUM(F63:F65)</f>
        <v>427988.18000000005</v>
      </c>
      <c r="G66" s="8"/>
      <c r="H66" s="8"/>
      <c r="I66" s="8"/>
      <c r="J66" s="8"/>
      <c r="K66" s="8"/>
      <c r="L66" s="8" t="s">
        <v>122</v>
      </c>
      <c r="M66" s="8"/>
      <c r="N66" s="60">
        <f>+'Commodity Texas'!F40</f>
        <v>5483</v>
      </c>
      <c r="P66" s="60">
        <f>+N59+'Allocation Charges'!N21</f>
        <v>5476.8769385515407</v>
      </c>
    </row>
    <row r="67" spans="4:16" x14ac:dyDescent="0.25">
      <c r="D67" s="16" t="s">
        <v>157</v>
      </c>
      <c r="F67" s="115">
        <v>427988.18</v>
      </c>
      <c r="G67" s="8"/>
      <c r="H67" s="6" t="s">
        <v>163</v>
      </c>
      <c r="I67" s="8"/>
      <c r="J67" s="8"/>
      <c r="K67" s="8"/>
      <c r="L67" s="8" t="s">
        <v>248</v>
      </c>
      <c r="M67" s="8"/>
      <c r="N67" s="60">
        <f>+'NC Hydro'!F14</f>
        <v>5650.8799999999992</v>
      </c>
      <c r="P67" s="60">
        <f>+P59</f>
        <v>5650.8799999999992</v>
      </c>
    </row>
    <row r="68" spans="4:16" x14ac:dyDescent="0.25">
      <c r="D68" t="s">
        <v>158</v>
      </c>
      <c r="F68" s="102">
        <f>+F66-F67</f>
        <v>0</v>
      </c>
      <c r="G68" s="8"/>
      <c r="H68" s="8"/>
      <c r="I68" s="8"/>
      <c r="J68" s="8"/>
      <c r="K68" s="8"/>
      <c r="L68" s="8" t="s">
        <v>235</v>
      </c>
      <c r="M68" s="8"/>
      <c r="N68" s="60">
        <f>SUM(N63:N67)</f>
        <v>396197.24364658369</v>
      </c>
      <c r="P68" s="60">
        <f>SUM(P63:P67)</f>
        <v>396178.20999999996</v>
      </c>
    </row>
    <row r="69" spans="4:16" x14ac:dyDescent="0.25">
      <c r="G69" s="8"/>
      <c r="H69" s="8"/>
      <c r="I69" s="8"/>
      <c r="J69" s="8"/>
      <c r="K69" s="8"/>
      <c r="L69" s="8" t="s">
        <v>158</v>
      </c>
      <c r="M69" s="8"/>
      <c r="N69" s="8">
        <f>+F65+F64-N68</f>
        <v>-19.033646583615337</v>
      </c>
      <c r="P69" s="55">
        <f>+F64+F65-P68</f>
        <v>0</v>
      </c>
    </row>
    <row r="70" spans="4:16" x14ac:dyDescent="0.25">
      <c r="F70" s="103"/>
      <c r="G70" s="23"/>
      <c r="H70" s="23"/>
      <c r="I70" s="23"/>
      <c r="J70" s="23"/>
      <c r="K70" s="23"/>
      <c r="L70" s="8"/>
      <c r="M70" s="8"/>
      <c r="N70" s="8"/>
    </row>
    <row r="71" spans="4:16" x14ac:dyDescent="0.25">
      <c r="L71" s="23"/>
      <c r="M71" s="23"/>
      <c r="N71" s="23"/>
    </row>
  </sheetData>
  <pageMargins left="0.7" right="0.7" top="0.75" bottom="0.75" header="0.3" footer="0.3"/>
  <pageSetup scale="40" orientation="portrait" horizontalDpi="4294967295" verticalDpi="4294967295" r:id="rId1"/>
  <headerFooter>
    <oddHeader xml:space="preserve">&amp;C&amp;"-,Bold"Monthly System Billing 
</oddHeader>
    <oddFooter>&amp;C&amp;Z&amp;F&amp;R&amp;D&amp;T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AA851-8CED-47F1-8227-E1C86B81661F}">
  <sheetPr>
    <tabColor rgb="FF92D050"/>
  </sheetPr>
  <dimension ref="A1:J29"/>
  <sheetViews>
    <sheetView workbookViewId="0">
      <selection activeCell="F32" sqref="F32"/>
    </sheetView>
  </sheetViews>
  <sheetFormatPr defaultRowHeight="15" x14ac:dyDescent="0.25"/>
  <cols>
    <col min="1" max="1" width="26.28515625" customWidth="1"/>
    <col min="2" max="2" width="13.28515625" bestFit="1" customWidth="1"/>
    <col min="3" max="4" width="14.28515625" bestFit="1" customWidth="1"/>
    <col min="5" max="6" width="13.28515625" bestFit="1" customWidth="1"/>
    <col min="7" max="7" width="14.28515625" bestFit="1" customWidth="1"/>
    <col min="9" max="9" width="13.28515625" bestFit="1" customWidth="1"/>
  </cols>
  <sheetData>
    <row r="1" spans="1:10" x14ac:dyDescent="0.25">
      <c r="A1" s="119" t="s">
        <v>166</v>
      </c>
    </row>
    <row r="2" spans="1:10" x14ac:dyDescent="0.25">
      <c r="A2" s="179">
        <v>44926</v>
      </c>
      <c r="B2" t="s">
        <v>167</v>
      </c>
      <c r="C2" t="s">
        <v>33</v>
      </c>
      <c r="D2" t="s">
        <v>168</v>
      </c>
      <c r="E2" t="s">
        <v>169</v>
      </c>
      <c r="F2" t="s">
        <v>122</v>
      </c>
      <c r="G2" t="s">
        <v>50</v>
      </c>
    </row>
    <row r="3" spans="1:10" x14ac:dyDescent="0.25">
      <c r="A3" t="s">
        <v>219</v>
      </c>
      <c r="B3" s="102">
        <v>977100</v>
      </c>
      <c r="C3" s="103">
        <f>+G19</f>
        <v>15441869</v>
      </c>
      <c r="D3" s="102">
        <f>1737573+130916</f>
        <v>1868489</v>
      </c>
      <c r="E3" s="134">
        <f>3388099+2869755</f>
        <v>6257854</v>
      </c>
      <c r="F3" s="102">
        <f>565000+488305</f>
        <v>1053305</v>
      </c>
      <c r="G3" s="103">
        <f>SUM(B3:F3)</f>
        <v>25598617</v>
      </c>
      <c r="I3" s="102"/>
      <c r="J3" s="81"/>
    </row>
    <row r="4" spans="1:10" x14ac:dyDescent="0.25">
      <c r="A4" t="s">
        <v>220</v>
      </c>
      <c r="B4" s="102"/>
      <c r="C4" s="102">
        <f>+C3</f>
        <v>15441869</v>
      </c>
      <c r="D4" s="102">
        <f t="shared" ref="D4:F4" si="0">+D3</f>
        <v>1868489</v>
      </c>
      <c r="E4" s="134">
        <f t="shared" si="0"/>
        <v>6257854</v>
      </c>
      <c r="F4" s="102">
        <f t="shared" si="0"/>
        <v>1053305</v>
      </c>
      <c r="G4" s="102">
        <f>SUM(B4:F4)</f>
        <v>24621517</v>
      </c>
    </row>
    <row r="5" spans="1:10" x14ac:dyDescent="0.25">
      <c r="A5" s="117" t="s">
        <v>170</v>
      </c>
      <c r="B5" s="102"/>
      <c r="C5" s="135">
        <f>+C4/$G$4</f>
        <v>0.62716968251793748</v>
      </c>
      <c r="D5" s="135">
        <f>+D4/$G$4</f>
        <v>7.5888459675331948E-2</v>
      </c>
      <c r="E5" s="235">
        <f>+E4/$G$4</f>
        <v>0.25416199984753174</v>
      </c>
      <c r="F5" s="135">
        <f>+F4/$G$4</f>
        <v>4.2779857959198857E-2</v>
      </c>
      <c r="G5" s="135">
        <f>SUM(C5:F5)</f>
        <v>1</v>
      </c>
    </row>
    <row r="6" spans="1:10" x14ac:dyDescent="0.25">
      <c r="B6" s="102"/>
      <c r="C6" s="102"/>
      <c r="D6" s="102"/>
      <c r="E6" s="134"/>
      <c r="F6" s="102"/>
      <c r="G6" s="102"/>
    </row>
    <row r="7" spans="1:10" x14ac:dyDescent="0.25">
      <c r="A7" s="16" t="s">
        <v>272</v>
      </c>
      <c r="B7" s="102"/>
      <c r="C7" s="102"/>
      <c r="D7" s="102"/>
      <c r="E7" s="134"/>
      <c r="F7" s="102"/>
      <c r="G7" s="102"/>
    </row>
    <row r="8" spans="1:10" x14ac:dyDescent="0.25">
      <c r="A8" t="s">
        <v>171</v>
      </c>
      <c r="C8" s="126">
        <f>+G23</f>
        <v>3957</v>
      </c>
      <c r="D8" s="118">
        <v>568</v>
      </c>
      <c r="E8" s="118">
        <v>734</v>
      </c>
      <c r="F8" s="118">
        <v>5</v>
      </c>
      <c r="G8" s="118">
        <f>SUM(C8:F8)</f>
        <v>5264</v>
      </c>
      <c r="I8" s="118"/>
      <c r="J8" s="81"/>
    </row>
    <row r="9" spans="1:10" x14ac:dyDescent="0.25">
      <c r="C9" s="125">
        <f>+C8/$G$8</f>
        <v>0.75170972644376899</v>
      </c>
      <c r="D9" s="125">
        <f t="shared" ref="D9:F9" si="1">+D8/$G$8</f>
        <v>0.10790273556231003</v>
      </c>
      <c r="E9" s="125">
        <f t="shared" si="1"/>
        <v>0.13943768996960487</v>
      </c>
      <c r="F9" s="125">
        <f t="shared" si="1"/>
        <v>9.4984802431610945E-4</v>
      </c>
      <c r="G9" s="65">
        <f>SUM(C9:F9)</f>
        <v>0.99999999999999989</v>
      </c>
    </row>
    <row r="10" spans="1:10" ht="15.75" thickBot="1" x14ac:dyDescent="0.3">
      <c r="A10" t="s">
        <v>172</v>
      </c>
      <c r="C10" s="118">
        <v>3580</v>
      </c>
      <c r="D10" s="118">
        <v>558</v>
      </c>
      <c r="E10" s="118">
        <v>163</v>
      </c>
      <c r="F10" s="118">
        <v>3</v>
      </c>
      <c r="G10" s="118"/>
    </row>
    <row r="11" spans="1:10" x14ac:dyDescent="0.25">
      <c r="A11" s="138" t="s">
        <v>180</v>
      </c>
      <c r="B11" s="139"/>
      <c r="C11" s="139"/>
      <c r="D11" s="139"/>
      <c r="E11" s="139"/>
      <c r="F11" s="139"/>
      <c r="G11" s="139"/>
      <c r="H11" s="140"/>
    </row>
    <row r="12" spans="1:10" x14ac:dyDescent="0.25">
      <c r="A12" s="141" t="s">
        <v>221</v>
      </c>
      <c r="C12" s="142">
        <f>+C5*0.5</f>
        <v>0.31358484125896874</v>
      </c>
      <c r="D12" s="142">
        <f>+D5*0.5</f>
        <v>3.7944229837665974E-2</v>
      </c>
      <c r="E12" s="142">
        <f>+E5*0.5</f>
        <v>0.12708099992376587</v>
      </c>
      <c r="F12" s="142">
        <f>+F5*0.5</f>
        <v>2.1389928979599428E-2</v>
      </c>
      <c r="H12" s="143"/>
    </row>
    <row r="13" spans="1:10" x14ac:dyDescent="0.25">
      <c r="A13" s="141" t="s">
        <v>173</v>
      </c>
      <c r="C13" s="142">
        <f>+C9*0.5</f>
        <v>0.37585486322188449</v>
      </c>
      <c r="D13" s="142">
        <f t="shared" ref="D13:F13" si="2">+D9*0.5</f>
        <v>5.3951367781155016E-2</v>
      </c>
      <c r="E13" s="142">
        <f t="shared" si="2"/>
        <v>6.9718844984802436E-2</v>
      </c>
      <c r="F13" s="142">
        <f t="shared" si="2"/>
        <v>4.7492401215805472E-4</v>
      </c>
      <c r="H13" s="143"/>
    </row>
    <row r="14" spans="1:10" x14ac:dyDescent="0.25">
      <c r="A14" s="144" t="s">
        <v>50</v>
      </c>
      <c r="B14" s="127"/>
      <c r="C14" s="145">
        <f>+C12+C13</f>
        <v>0.68943970448085323</v>
      </c>
      <c r="D14" s="145">
        <f>+D12+D13</f>
        <v>9.189559761882099E-2</v>
      </c>
      <c r="E14" s="145">
        <f t="shared" ref="E14:F14" si="3">+E12+E13</f>
        <v>0.19679984490856831</v>
      </c>
      <c r="F14" s="145">
        <f t="shared" si="3"/>
        <v>2.1864852991757482E-2</v>
      </c>
      <c r="G14" s="129">
        <f>SUM(C14:F14)</f>
        <v>1</v>
      </c>
      <c r="H14" s="143"/>
    </row>
    <row r="15" spans="1:10" ht="15.75" thickBot="1" x14ac:dyDescent="0.3">
      <c r="A15" s="146"/>
      <c r="B15" s="147"/>
      <c r="C15" s="147"/>
      <c r="D15" s="147"/>
      <c r="E15" s="147"/>
      <c r="F15" s="147"/>
      <c r="G15" s="147"/>
      <c r="H15" s="148"/>
    </row>
    <row r="17" spans="1:10" x14ac:dyDescent="0.25">
      <c r="A17" s="119" t="s">
        <v>166</v>
      </c>
    </row>
    <row r="18" spans="1:10" x14ac:dyDescent="0.25">
      <c r="A18" s="179">
        <f>+A2</f>
        <v>44926</v>
      </c>
      <c r="C18" t="s">
        <v>33</v>
      </c>
      <c r="D18" t="s">
        <v>34</v>
      </c>
      <c r="E18" t="s">
        <v>35</v>
      </c>
      <c r="F18" t="s">
        <v>178</v>
      </c>
      <c r="G18" t="s">
        <v>50</v>
      </c>
    </row>
    <row r="19" spans="1:10" x14ac:dyDescent="0.25">
      <c r="A19" t="s">
        <v>222</v>
      </c>
      <c r="B19" s="102"/>
      <c r="C19" s="102">
        <f>5547916+3112768</f>
        <v>8660684</v>
      </c>
      <c r="D19" s="102">
        <f>1739615+979224</f>
        <v>2718839</v>
      </c>
      <c r="E19" s="102">
        <f>378422+623809+413143</f>
        <v>1415374</v>
      </c>
      <c r="F19" s="102">
        <f>51876+321665+2273431</f>
        <v>2646972</v>
      </c>
      <c r="G19" s="103">
        <f>SUM(B19:F19)</f>
        <v>15441869</v>
      </c>
      <c r="I19" s="102"/>
      <c r="J19" s="81"/>
    </row>
    <row r="20" spans="1:10" x14ac:dyDescent="0.25">
      <c r="A20" s="117" t="s">
        <v>170</v>
      </c>
      <c r="B20" s="102"/>
      <c r="C20" s="65">
        <f>+C19/$G$19</f>
        <v>0.56085723820089395</v>
      </c>
      <c r="D20" s="65">
        <f>+D19/$G$19</f>
        <v>0.17606929575688021</v>
      </c>
      <c r="E20" s="65">
        <f>+E19/$G$19</f>
        <v>9.1658205363612397E-2</v>
      </c>
      <c r="F20" s="65">
        <f>+F19/$G$19</f>
        <v>0.17141526067861346</v>
      </c>
      <c r="G20" s="65">
        <f>SUM(C20:F20)</f>
        <v>1</v>
      </c>
    </row>
    <row r="22" spans="1:10" x14ac:dyDescent="0.25">
      <c r="A22" t="s">
        <v>272</v>
      </c>
      <c r="B22" s="102"/>
      <c r="C22" s="102"/>
      <c r="D22" s="102"/>
      <c r="E22" s="102"/>
      <c r="F22" s="102"/>
      <c r="G22" s="102"/>
    </row>
    <row r="23" spans="1:10" x14ac:dyDescent="0.25">
      <c r="A23" t="s">
        <v>171</v>
      </c>
      <c r="C23" s="137">
        <v>1974</v>
      </c>
      <c r="D23" s="137">
        <v>1824</v>
      </c>
      <c r="E23" s="137">
        <v>132</v>
      </c>
      <c r="F23" s="137">
        <v>27</v>
      </c>
      <c r="G23" s="126">
        <f>SUM(C23:F23)</f>
        <v>3957</v>
      </c>
      <c r="I23" s="118"/>
      <c r="J23" s="81"/>
    </row>
    <row r="24" spans="1:10" x14ac:dyDescent="0.25">
      <c r="C24" s="125">
        <f>+C23/$G$23</f>
        <v>0.49886277482941621</v>
      </c>
      <c r="D24" s="125">
        <f>+D23/$G$23</f>
        <v>0.46095526914329038</v>
      </c>
      <c r="E24" s="125">
        <f>+E23/$G$23</f>
        <v>3.3358605003790752E-2</v>
      </c>
      <c r="F24" s="125">
        <f>+F23/$G$23</f>
        <v>6.8233510235026539E-3</v>
      </c>
      <c r="G24" s="65">
        <f>SUM(C24:F24)</f>
        <v>1</v>
      </c>
    </row>
    <row r="25" spans="1:10" x14ac:dyDescent="0.25">
      <c r="A25" s="130" t="s">
        <v>180</v>
      </c>
      <c r="C25" s="118"/>
      <c r="D25" s="118"/>
      <c r="E25" s="118"/>
      <c r="F25" s="118"/>
      <c r="G25" s="118"/>
    </row>
    <row r="26" spans="1:10" x14ac:dyDescent="0.25">
      <c r="A26" t="s">
        <v>179</v>
      </c>
    </row>
    <row r="27" spans="1:10" x14ac:dyDescent="0.25">
      <c r="A27" t="s">
        <v>221</v>
      </c>
      <c r="C27" s="65">
        <f>+C20*0.5</f>
        <v>0.28042861910044697</v>
      </c>
      <c r="D27" s="65">
        <f>+D20*0.5</f>
        <v>8.8034647878440106E-2</v>
      </c>
      <c r="E27" s="65">
        <f>+E20*0.5</f>
        <v>4.5829102681806198E-2</v>
      </c>
      <c r="F27" s="65">
        <f>+F20*0.5</f>
        <v>8.5707630339306728E-2</v>
      </c>
    </row>
    <row r="28" spans="1:10" x14ac:dyDescent="0.25">
      <c r="A28" t="s">
        <v>173</v>
      </c>
      <c r="C28" s="65">
        <f>+C24*0.5</f>
        <v>0.24943138741470811</v>
      </c>
      <c r="D28" s="65">
        <f t="shared" ref="D28:F28" si="4">+D24*0.5</f>
        <v>0.23047763457164519</v>
      </c>
      <c r="E28" s="65">
        <f t="shared" si="4"/>
        <v>1.6679302501895376E-2</v>
      </c>
      <c r="F28" s="65">
        <f t="shared" si="4"/>
        <v>3.4116755117513269E-3</v>
      </c>
    </row>
    <row r="29" spans="1:10" x14ac:dyDescent="0.25">
      <c r="A29" s="127" t="s">
        <v>50</v>
      </c>
      <c r="B29" s="127"/>
      <c r="C29" s="128">
        <f>+C27+C28</f>
        <v>0.52986000651515508</v>
      </c>
      <c r="D29" s="128">
        <f t="shared" ref="D29:F29" si="5">+D27+D28</f>
        <v>0.31851228245008528</v>
      </c>
      <c r="E29" s="128">
        <f t="shared" si="5"/>
        <v>6.2508405183701571E-2</v>
      </c>
      <c r="F29" s="128">
        <f t="shared" si="5"/>
        <v>8.9119305851058053E-2</v>
      </c>
      <c r="G29" s="129">
        <f>SUM(C29:F29)</f>
        <v>1</v>
      </c>
    </row>
  </sheetData>
  <pageMargins left="0.7" right="0.7" top="0.75" bottom="0.75" header="0.3" footer="0.3"/>
  <pageSetup orientation="landscape" r:id="rId1"/>
  <headerFooter>
    <oddFooter>&amp;C&amp;Z&amp;F&amp;R&amp;D&amp;T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5AFB9-636C-40A3-BD64-6D90B8A225A6}">
  <dimension ref="A1:J29"/>
  <sheetViews>
    <sheetView workbookViewId="0">
      <selection activeCell="C19" sqref="C19"/>
    </sheetView>
  </sheetViews>
  <sheetFormatPr defaultRowHeight="15" x14ac:dyDescent="0.25"/>
  <cols>
    <col min="1" max="1" width="26.28515625" customWidth="1"/>
    <col min="2" max="2" width="13.28515625" bestFit="1" customWidth="1"/>
    <col min="3" max="4" width="14.28515625" bestFit="1" customWidth="1"/>
    <col min="5" max="6" width="13.28515625" bestFit="1" customWidth="1"/>
    <col min="7" max="7" width="14.28515625" bestFit="1" customWidth="1"/>
    <col min="9" max="9" width="13.28515625" bestFit="1" customWidth="1"/>
  </cols>
  <sheetData>
    <row r="1" spans="1:10" x14ac:dyDescent="0.25">
      <c r="A1" s="119" t="s">
        <v>166</v>
      </c>
    </row>
    <row r="2" spans="1:10" x14ac:dyDescent="0.25">
      <c r="A2" s="179">
        <v>44926</v>
      </c>
      <c r="B2" t="s">
        <v>167</v>
      </c>
      <c r="C2" t="s">
        <v>33</v>
      </c>
      <c r="D2" t="s">
        <v>168</v>
      </c>
      <c r="E2" t="s">
        <v>169</v>
      </c>
      <c r="F2" t="s">
        <v>122</v>
      </c>
      <c r="G2" t="s">
        <v>50</v>
      </c>
    </row>
    <row r="3" spans="1:10" x14ac:dyDescent="0.25">
      <c r="A3" t="s">
        <v>219</v>
      </c>
      <c r="B3" s="102">
        <v>977100</v>
      </c>
      <c r="C3" s="103">
        <f>+G19</f>
        <v>14893376</v>
      </c>
      <c r="D3" s="102">
        <f>1737573+127210</f>
        <v>1864783</v>
      </c>
      <c r="E3" s="134">
        <f>3388099+2860744</f>
        <v>6248843</v>
      </c>
      <c r="F3" s="102">
        <f>565000+488305</f>
        <v>1053305</v>
      </c>
      <c r="G3" s="103">
        <f>SUM(B3:F3)</f>
        <v>25037407</v>
      </c>
      <c r="I3" s="102"/>
      <c r="J3" s="81"/>
    </row>
    <row r="4" spans="1:10" x14ac:dyDescent="0.25">
      <c r="A4" t="s">
        <v>220</v>
      </c>
      <c r="B4" s="102"/>
      <c r="C4" s="102">
        <f>+C3</f>
        <v>14893376</v>
      </c>
      <c r="D4" s="102">
        <f t="shared" ref="D4:F4" si="0">+D3</f>
        <v>1864783</v>
      </c>
      <c r="E4" s="134">
        <f t="shared" si="0"/>
        <v>6248843</v>
      </c>
      <c r="F4" s="102">
        <f t="shared" si="0"/>
        <v>1053305</v>
      </c>
      <c r="G4" s="102">
        <f>SUM(B4:F4)</f>
        <v>24060307</v>
      </c>
    </row>
    <row r="5" spans="1:10" x14ac:dyDescent="0.25">
      <c r="A5" s="117" t="s">
        <v>170</v>
      </c>
      <c r="B5" s="102"/>
      <c r="C5" s="135">
        <f>+C4/$G$4</f>
        <v>0.61900191049100084</v>
      </c>
      <c r="D5" s="135">
        <f>+D4/$G$4</f>
        <v>7.7504538907171877E-2</v>
      </c>
      <c r="E5" s="235">
        <f>+E4/$G$4</f>
        <v>0.25971584651850038</v>
      </c>
      <c r="F5" s="135">
        <f>+F4/$G$4</f>
        <v>4.377770408332695E-2</v>
      </c>
      <c r="G5" s="135">
        <f>SUM(C5:F5)</f>
        <v>1</v>
      </c>
    </row>
    <row r="6" spans="1:10" x14ac:dyDescent="0.25">
      <c r="B6" s="102"/>
      <c r="C6" s="102"/>
      <c r="D6" s="102"/>
      <c r="E6" s="134"/>
      <c r="F6" s="102"/>
      <c r="G6" s="102"/>
    </row>
    <row r="7" spans="1:10" x14ac:dyDescent="0.25">
      <c r="A7" s="16" t="s">
        <v>261</v>
      </c>
      <c r="B7" s="102"/>
      <c r="C7" s="102"/>
      <c r="D7" s="102"/>
      <c r="E7" s="134"/>
      <c r="F7" s="102"/>
      <c r="G7" s="102"/>
    </row>
    <row r="8" spans="1:10" x14ac:dyDescent="0.25">
      <c r="A8" t="s">
        <v>171</v>
      </c>
      <c r="C8" s="126">
        <f>+G23</f>
        <v>3887</v>
      </c>
      <c r="D8" s="118">
        <v>559</v>
      </c>
      <c r="E8" s="118">
        <v>701</v>
      </c>
      <c r="F8" s="118">
        <v>4</v>
      </c>
      <c r="G8" s="118">
        <f>SUM(C8:F8)</f>
        <v>5151</v>
      </c>
      <c r="I8" s="118"/>
      <c r="J8" s="81"/>
    </row>
    <row r="9" spans="1:10" x14ac:dyDescent="0.25">
      <c r="C9" s="125">
        <f>+C8/$G$8</f>
        <v>0.75461075519316634</v>
      </c>
      <c r="D9" s="125">
        <f t="shared" ref="D9:F9" si="1">+D8/$G$8</f>
        <v>0.10852261696757912</v>
      </c>
      <c r="E9" s="125">
        <f t="shared" si="1"/>
        <v>0.1360900795961949</v>
      </c>
      <c r="F9" s="125">
        <f t="shared" si="1"/>
        <v>7.7654824305960007E-4</v>
      </c>
      <c r="G9" s="65">
        <f>SUM(C9:F9)</f>
        <v>1</v>
      </c>
    </row>
    <row r="10" spans="1:10" ht="15.75" thickBot="1" x14ac:dyDescent="0.3">
      <c r="A10" t="s">
        <v>172</v>
      </c>
      <c r="C10" s="118">
        <v>3580</v>
      </c>
      <c r="D10" s="118">
        <v>558</v>
      </c>
      <c r="E10" s="118">
        <v>163</v>
      </c>
      <c r="F10" s="118">
        <v>3</v>
      </c>
      <c r="G10" s="118"/>
    </row>
    <row r="11" spans="1:10" x14ac:dyDescent="0.25">
      <c r="A11" s="138" t="s">
        <v>180</v>
      </c>
      <c r="B11" s="139"/>
      <c r="C11" s="139"/>
      <c r="D11" s="139"/>
      <c r="E11" s="139"/>
      <c r="F11" s="139"/>
      <c r="G11" s="139"/>
      <c r="H11" s="140"/>
    </row>
    <row r="12" spans="1:10" x14ac:dyDescent="0.25">
      <c r="A12" s="141" t="s">
        <v>221</v>
      </c>
      <c r="C12" s="142">
        <f>+C5*0.5</f>
        <v>0.30950095524550042</v>
      </c>
      <c r="D12" s="142">
        <f>+D5*0.5</f>
        <v>3.8752269453585939E-2</v>
      </c>
      <c r="E12" s="142">
        <f>+E5*0.5</f>
        <v>0.12985792325925019</v>
      </c>
      <c r="F12" s="142">
        <f>+F5*0.5</f>
        <v>2.1888852041663475E-2</v>
      </c>
      <c r="H12" s="143"/>
    </row>
    <row r="13" spans="1:10" x14ac:dyDescent="0.25">
      <c r="A13" s="141" t="s">
        <v>173</v>
      </c>
      <c r="C13" s="142">
        <f>+C9*0.5</f>
        <v>0.37730537759658317</v>
      </c>
      <c r="D13" s="142">
        <f t="shared" ref="D13:F13" si="2">+D9*0.5</f>
        <v>5.4261308483789558E-2</v>
      </c>
      <c r="E13" s="142">
        <f t="shared" si="2"/>
        <v>6.8045039798097451E-2</v>
      </c>
      <c r="F13" s="142">
        <f t="shared" si="2"/>
        <v>3.8827412152980003E-4</v>
      </c>
      <c r="H13" s="143"/>
    </row>
    <row r="14" spans="1:10" x14ac:dyDescent="0.25">
      <c r="A14" s="144" t="s">
        <v>50</v>
      </c>
      <c r="B14" s="127"/>
      <c r="C14" s="145">
        <f>+C12+C13</f>
        <v>0.68680633284208359</v>
      </c>
      <c r="D14" s="145">
        <f t="shared" ref="D14:F14" si="3">+D12+D13</f>
        <v>9.3013577937375497E-2</v>
      </c>
      <c r="E14" s="145">
        <f t="shared" si="3"/>
        <v>0.19790296305734764</v>
      </c>
      <c r="F14" s="145">
        <f t="shared" si="3"/>
        <v>2.2277126163193276E-2</v>
      </c>
      <c r="G14" s="129">
        <f>SUM(C14:F14)</f>
        <v>1</v>
      </c>
      <c r="H14" s="143"/>
    </row>
    <row r="15" spans="1:10" ht="15.75" thickBot="1" x14ac:dyDescent="0.3">
      <c r="A15" s="146"/>
      <c r="B15" s="147"/>
      <c r="C15" s="147"/>
      <c r="D15" s="147"/>
      <c r="E15" s="147"/>
      <c r="F15" s="147"/>
      <c r="G15" s="147"/>
      <c r="H15" s="148"/>
    </row>
    <row r="17" spans="1:10" x14ac:dyDescent="0.25">
      <c r="A17" s="119" t="s">
        <v>166</v>
      </c>
    </row>
    <row r="18" spans="1:10" x14ac:dyDescent="0.25">
      <c r="A18" s="179">
        <f>+A2</f>
        <v>44926</v>
      </c>
      <c r="C18" t="s">
        <v>33</v>
      </c>
      <c r="D18" t="s">
        <v>34</v>
      </c>
      <c r="E18" t="s">
        <v>35</v>
      </c>
      <c r="F18" t="s">
        <v>178</v>
      </c>
      <c r="G18" t="s">
        <v>50</v>
      </c>
    </row>
    <row r="19" spans="1:10" x14ac:dyDescent="0.25">
      <c r="A19" t="s">
        <v>222</v>
      </c>
      <c r="B19" s="102"/>
      <c r="C19" s="102">
        <f>5547916+2715939</f>
        <v>8263855</v>
      </c>
      <c r="D19" s="102">
        <f>1739615+875397</f>
        <v>2615012</v>
      </c>
      <c r="E19" s="102">
        <f>378422+623809+378100</f>
        <v>1380331</v>
      </c>
      <c r="F19" s="102">
        <f>51876+321665+2260637</f>
        <v>2634178</v>
      </c>
      <c r="G19" s="103">
        <f>SUM(B19:F19)</f>
        <v>14893376</v>
      </c>
      <c r="I19" s="102"/>
      <c r="J19" s="81"/>
    </row>
    <row r="20" spans="1:10" x14ac:dyDescent="0.25">
      <c r="A20" s="117" t="s">
        <v>170</v>
      </c>
      <c r="B20" s="102"/>
      <c r="C20" s="65">
        <f>+C19/$G$19</f>
        <v>0.55486781506087002</v>
      </c>
      <c r="D20" s="65">
        <f>+D19/$G$19</f>
        <v>0.17558221856481701</v>
      </c>
      <c r="E20" s="65">
        <f>+E19/$G$19</f>
        <v>9.2680866984087423E-2</v>
      </c>
      <c r="F20" s="65">
        <f>+F19/$G$19</f>
        <v>0.17686909939022555</v>
      </c>
      <c r="G20" s="65">
        <f>SUM(C20:F20)</f>
        <v>1</v>
      </c>
    </row>
    <row r="22" spans="1:10" x14ac:dyDescent="0.25">
      <c r="A22" t="s">
        <v>261</v>
      </c>
      <c r="B22" s="102"/>
      <c r="C22" s="102"/>
      <c r="D22" s="102"/>
      <c r="E22" s="102"/>
      <c r="F22" s="102"/>
      <c r="G22" s="102"/>
    </row>
    <row r="23" spans="1:10" x14ac:dyDescent="0.25">
      <c r="A23" t="s">
        <v>171</v>
      </c>
      <c r="C23" s="137">
        <v>1933</v>
      </c>
      <c r="D23" s="137">
        <v>1799</v>
      </c>
      <c r="E23" s="137">
        <v>132</v>
      </c>
      <c r="F23" s="137">
        <v>23</v>
      </c>
      <c r="G23" s="126">
        <f>SUM(C23:F23)</f>
        <v>3887</v>
      </c>
      <c r="I23" s="118"/>
      <c r="J23" s="81"/>
    </row>
    <row r="24" spans="1:10" x14ac:dyDescent="0.25">
      <c r="C24" s="125">
        <f>+C23/$G$23</f>
        <v>0.49729868793413945</v>
      </c>
      <c r="D24" s="125">
        <f>+D23/$G$23</f>
        <v>0.46282480061744274</v>
      </c>
      <c r="E24" s="125">
        <f>+E23/$G$23</f>
        <v>3.3959351685104194E-2</v>
      </c>
      <c r="F24" s="125">
        <f>+F23/$G$23</f>
        <v>5.9171597633136093E-3</v>
      </c>
      <c r="G24" s="65">
        <f>SUM(C24:F24)</f>
        <v>1</v>
      </c>
    </row>
    <row r="25" spans="1:10" x14ac:dyDescent="0.25">
      <c r="A25" s="130" t="s">
        <v>180</v>
      </c>
      <c r="C25" s="118"/>
      <c r="D25" s="118"/>
      <c r="E25" s="118"/>
      <c r="F25" s="118"/>
      <c r="G25" s="118"/>
    </row>
    <row r="26" spans="1:10" x14ac:dyDescent="0.25">
      <c r="A26" t="s">
        <v>179</v>
      </c>
    </row>
    <row r="27" spans="1:10" x14ac:dyDescent="0.25">
      <c r="A27" t="s">
        <v>221</v>
      </c>
      <c r="C27" s="65">
        <f>+C20*0.5</f>
        <v>0.27743390753043501</v>
      </c>
      <c r="D27" s="65">
        <f>+D20*0.5</f>
        <v>8.7791109282408505E-2</v>
      </c>
      <c r="E27" s="65">
        <f>+E20*0.5</f>
        <v>4.6340433492043712E-2</v>
      </c>
      <c r="F27" s="65">
        <f>+F20*0.5</f>
        <v>8.8434549695112774E-2</v>
      </c>
    </row>
    <row r="28" spans="1:10" x14ac:dyDescent="0.25">
      <c r="A28" t="s">
        <v>173</v>
      </c>
      <c r="C28" s="65">
        <f>+C24*0.5</f>
        <v>0.24864934396706972</v>
      </c>
      <c r="D28" s="65">
        <f t="shared" ref="D28:F28" si="4">+D24*0.5</f>
        <v>0.23141240030872137</v>
      </c>
      <c r="E28" s="65">
        <f t="shared" si="4"/>
        <v>1.6979675842552097E-2</v>
      </c>
      <c r="F28" s="65">
        <f t="shared" si="4"/>
        <v>2.9585798816568047E-3</v>
      </c>
    </row>
    <row r="29" spans="1:10" x14ac:dyDescent="0.25">
      <c r="A29" s="127" t="s">
        <v>50</v>
      </c>
      <c r="B29" s="127"/>
      <c r="C29" s="128">
        <f>+C27+C28</f>
        <v>0.52608325149750468</v>
      </c>
      <c r="D29" s="128">
        <f t="shared" ref="D29:F29" si="5">+D27+D28</f>
        <v>0.31920350959112986</v>
      </c>
      <c r="E29" s="128">
        <f t="shared" si="5"/>
        <v>6.3320109334595809E-2</v>
      </c>
      <c r="F29" s="128">
        <f t="shared" si="5"/>
        <v>9.139312957676958E-2</v>
      </c>
      <c r="G29" s="129">
        <f>SUM(C29:F29)</f>
        <v>1</v>
      </c>
    </row>
  </sheetData>
  <pageMargins left="0.7" right="0.7" top="0.75" bottom="0.75" header="0.3" footer="0.3"/>
  <pageSetup orientation="landscape" r:id="rId1"/>
  <headerFooter>
    <oddFooter>&amp;C&amp;Z&amp;F&amp;R&amp;D&amp;T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B46E8-D6E8-4AA9-AAC8-FD0A49F4A82C}">
  <dimension ref="A2:K27"/>
  <sheetViews>
    <sheetView zoomScale="80" zoomScaleNormal="80" workbookViewId="0">
      <selection activeCell="F22" sqref="F22"/>
    </sheetView>
  </sheetViews>
  <sheetFormatPr defaultRowHeight="15" x14ac:dyDescent="0.25"/>
  <cols>
    <col min="1" max="1" width="14.140625" customWidth="1"/>
    <col min="2" max="2" width="18.7109375" style="8" customWidth="1"/>
    <col min="3" max="3" width="18.42578125" customWidth="1"/>
    <col min="4" max="4" width="13.42578125" customWidth="1"/>
    <col min="5" max="6" width="11.7109375" style="8" customWidth="1"/>
    <col min="7" max="7" width="14.28515625" style="8" customWidth="1"/>
    <col min="8" max="8" width="8.85546875" customWidth="1"/>
    <col min="9" max="10" width="11.7109375" style="8" customWidth="1"/>
    <col min="11" max="11" width="11.7109375" style="6" customWidth="1"/>
    <col min="23" max="23" width="12.28515625" bestFit="1" customWidth="1"/>
  </cols>
  <sheetData>
    <row r="2" spans="1:11" x14ac:dyDescent="0.25">
      <c r="A2" s="16" t="s">
        <v>266</v>
      </c>
    </row>
    <row r="3" spans="1:11" x14ac:dyDescent="0.25">
      <c r="D3" s="19" t="s">
        <v>54</v>
      </c>
      <c r="I3" s="21" t="s">
        <v>55</v>
      </c>
    </row>
    <row r="5" spans="1:11" x14ac:dyDescent="0.25">
      <c r="B5" s="9" t="s">
        <v>42</v>
      </c>
      <c r="C5" s="4" t="s">
        <v>44</v>
      </c>
      <c r="D5" s="4" t="s">
        <v>43</v>
      </c>
      <c r="E5" s="9" t="s">
        <v>50</v>
      </c>
      <c r="F5" s="9" t="s">
        <v>51</v>
      </c>
      <c r="G5" s="9" t="s">
        <v>42</v>
      </c>
      <c r="H5" s="4" t="s">
        <v>49</v>
      </c>
      <c r="I5" s="9" t="s">
        <v>50</v>
      </c>
      <c r="J5" s="9" t="s">
        <v>51</v>
      </c>
      <c r="K5" s="9" t="s">
        <v>52</v>
      </c>
    </row>
    <row r="6" spans="1:11" x14ac:dyDescent="0.25">
      <c r="B6" s="10" t="s">
        <v>265</v>
      </c>
      <c r="C6" s="3" t="s">
        <v>45</v>
      </c>
      <c r="D6" s="3" t="s">
        <v>116</v>
      </c>
      <c r="E6" s="10"/>
      <c r="F6" s="10"/>
      <c r="G6" s="10"/>
      <c r="H6" s="3" t="s">
        <v>53</v>
      </c>
      <c r="I6" s="10"/>
      <c r="J6" s="10"/>
      <c r="K6" s="10" t="s">
        <v>50</v>
      </c>
    </row>
    <row r="7" spans="1:11" x14ac:dyDescent="0.25">
      <c r="B7" s="11"/>
      <c r="C7" s="1"/>
      <c r="D7" s="1"/>
      <c r="E7" s="11"/>
      <c r="F7" s="11"/>
      <c r="G7" s="11"/>
      <c r="H7" s="1"/>
    </row>
    <row r="8" spans="1:11" x14ac:dyDescent="0.25">
      <c r="A8" t="s">
        <v>46</v>
      </c>
      <c r="B8" s="192">
        <v>988211.98</v>
      </c>
      <c r="C8" s="94">
        <f t="shared" ref="C8:C13" si="0">$D$25</f>
        <v>0.75875764361517273</v>
      </c>
      <c r="D8" s="95">
        <v>6.54E-2</v>
      </c>
      <c r="E8" s="79">
        <f t="shared" ref="E8:E13" si="1">B8*C8*D8</f>
        <v>49037.795924245307</v>
      </c>
      <c r="F8" s="79">
        <f t="shared" ref="F8:F13" si="2">E8/12</f>
        <v>4086.4829936871088</v>
      </c>
      <c r="G8" s="79">
        <f t="shared" ref="G8:G13" si="3">B8</f>
        <v>988211.98</v>
      </c>
      <c r="H8" s="13">
        <v>6</v>
      </c>
      <c r="I8" s="79">
        <f t="shared" ref="I8:I13" si="4">G8/H8</f>
        <v>164701.99666666667</v>
      </c>
      <c r="J8" s="79">
        <f t="shared" ref="J8:J13" si="5">I8/12</f>
        <v>13725.166388888889</v>
      </c>
      <c r="K8" s="79">
        <f>ROUNDUP(F8+J8,0)</f>
        <v>17812</v>
      </c>
    </row>
    <row r="9" spans="1:11" x14ac:dyDescent="0.25">
      <c r="A9" t="s">
        <v>32</v>
      </c>
      <c r="B9" s="192">
        <v>306568.88</v>
      </c>
      <c r="C9" s="94">
        <f t="shared" si="0"/>
        <v>0.75875764361517273</v>
      </c>
      <c r="D9" s="95">
        <v>6.54E-2</v>
      </c>
      <c r="E9" s="79">
        <f t="shared" si="1"/>
        <v>15212.79085704309</v>
      </c>
      <c r="F9" s="79">
        <f t="shared" si="2"/>
        <v>1267.7325714202575</v>
      </c>
      <c r="G9" s="79">
        <f t="shared" si="3"/>
        <v>306568.88</v>
      </c>
      <c r="H9" s="13">
        <v>6</v>
      </c>
      <c r="I9" s="79">
        <f t="shared" si="4"/>
        <v>51094.813333333332</v>
      </c>
      <c r="J9" s="79">
        <f t="shared" si="5"/>
        <v>4257.9011111111113</v>
      </c>
      <c r="K9" s="79">
        <f t="shared" ref="K9:K13" si="6">ROUNDUP(F9+J9,0)</f>
        <v>5526</v>
      </c>
    </row>
    <row r="10" spans="1:11" x14ac:dyDescent="0.25">
      <c r="A10" t="s">
        <v>47</v>
      </c>
      <c r="B10" s="192">
        <v>705882.72</v>
      </c>
      <c r="C10" s="94">
        <f t="shared" si="0"/>
        <v>0.75875764361517273</v>
      </c>
      <c r="D10" s="95">
        <v>6.54E-2</v>
      </c>
      <c r="E10" s="79">
        <f t="shared" si="1"/>
        <v>35027.841667949811</v>
      </c>
      <c r="F10" s="79">
        <f t="shared" si="2"/>
        <v>2918.9868056624841</v>
      </c>
      <c r="G10" s="79">
        <f t="shared" si="3"/>
        <v>705882.72</v>
      </c>
      <c r="H10" s="13">
        <v>10</v>
      </c>
      <c r="I10" s="79">
        <f t="shared" si="4"/>
        <v>70588.271999999997</v>
      </c>
      <c r="J10" s="79">
        <f t="shared" si="5"/>
        <v>5882.3559999999998</v>
      </c>
      <c r="K10" s="79">
        <f t="shared" si="6"/>
        <v>8802</v>
      </c>
    </row>
    <row r="11" spans="1:11" x14ac:dyDescent="0.25">
      <c r="A11" t="s">
        <v>48</v>
      </c>
      <c r="B11" s="192">
        <v>257154.88</v>
      </c>
      <c r="C11" s="94">
        <f t="shared" si="0"/>
        <v>0.75875764361517273</v>
      </c>
      <c r="D11" s="95">
        <v>6.54E-2</v>
      </c>
      <c r="E11" s="79">
        <f t="shared" si="1"/>
        <v>12760.73229385844</v>
      </c>
      <c r="F11" s="79">
        <f t="shared" si="2"/>
        <v>1063.3943578215367</v>
      </c>
      <c r="G11" s="79">
        <f t="shared" si="3"/>
        <v>257154.88</v>
      </c>
      <c r="H11" s="13">
        <v>5</v>
      </c>
      <c r="I11" s="79">
        <f t="shared" si="4"/>
        <v>51430.976000000002</v>
      </c>
      <c r="J11" s="79">
        <f t="shared" si="5"/>
        <v>4285.9146666666666</v>
      </c>
      <c r="K11" s="79">
        <f t="shared" si="6"/>
        <v>5350</v>
      </c>
    </row>
    <row r="12" spans="1:11" x14ac:dyDescent="0.25">
      <c r="A12" t="s">
        <v>41</v>
      </c>
      <c r="B12" s="192">
        <v>203535.26</v>
      </c>
      <c r="C12" s="94">
        <f t="shared" si="0"/>
        <v>0.75875764361517273</v>
      </c>
      <c r="D12" s="95">
        <v>6.54E-2</v>
      </c>
      <c r="E12" s="79">
        <f t="shared" si="1"/>
        <v>10099.979301271182</v>
      </c>
      <c r="F12" s="79">
        <f t="shared" si="2"/>
        <v>841.66494177259847</v>
      </c>
      <c r="G12" s="79">
        <f t="shared" si="3"/>
        <v>203535.26</v>
      </c>
      <c r="H12" s="13">
        <v>4</v>
      </c>
      <c r="I12" s="79">
        <f t="shared" si="4"/>
        <v>50883.815000000002</v>
      </c>
      <c r="J12" s="79">
        <f t="shared" si="5"/>
        <v>4240.3179166666669</v>
      </c>
      <c r="K12" s="79">
        <f t="shared" si="6"/>
        <v>5082</v>
      </c>
    </row>
    <row r="13" spans="1:11" x14ac:dyDescent="0.25">
      <c r="A13" t="s">
        <v>31</v>
      </c>
      <c r="B13" s="192">
        <v>1296437.95</v>
      </c>
      <c r="C13" s="94">
        <f t="shared" si="0"/>
        <v>0.75875764361517273</v>
      </c>
      <c r="D13" s="95">
        <v>6.54E-2</v>
      </c>
      <c r="E13" s="79">
        <f t="shared" si="1"/>
        <v>64332.816143907643</v>
      </c>
      <c r="F13" s="79">
        <f t="shared" si="2"/>
        <v>5361.0680119923036</v>
      </c>
      <c r="G13" s="79">
        <f t="shared" si="3"/>
        <v>1296437.95</v>
      </c>
      <c r="H13" s="13">
        <v>10</v>
      </c>
      <c r="I13" s="79">
        <f t="shared" si="4"/>
        <v>129643.795</v>
      </c>
      <c r="J13" s="79">
        <f t="shared" si="5"/>
        <v>10803.649583333334</v>
      </c>
      <c r="K13" s="79">
        <f t="shared" si="6"/>
        <v>16165</v>
      </c>
    </row>
    <row r="14" spans="1:11" x14ac:dyDescent="0.25">
      <c r="B14" s="120"/>
    </row>
    <row r="15" spans="1:11" x14ac:dyDescent="0.25">
      <c r="B15" s="121">
        <f>SUM(B8:B13)</f>
        <v>3757791.67</v>
      </c>
      <c r="D15" s="180">
        <f>AVERAGE(D8:D13)</f>
        <v>6.54E-2</v>
      </c>
      <c r="E15" s="14">
        <f>SUM(E8:E13)</f>
        <v>186471.95618827548</v>
      </c>
      <c r="F15" s="22">
        <f>SUM(F8:F13)</f>
        <v>15539.329682356289</v>
      </c>
      <c r="G15" s="14">
        <f>SUM(G8:G13)</f>
        <v>3757791.67</v>
      </c>
      <c r="I15" s="14">
        <f>SUM(I8:I13)</f>
        <v>518343.66800000001</v>
      </c>
      <c r="J15" s="22">
        <f>SUM(J8:J13)</f>
        <v>43195.305666666667</v>
      </c>
      <c r="K15" s="22">
        <f>SUM(K8:K13)</f>
        <v>58737</v>
      </c>
    </row>
    <row r="19" spans="1:7" x14ac:dyDescent="0.25">
      <c r="A19" s="16" t="s">
        <v>239</v>
      </c>
    </row>
    <row r="22" spans="1:7" x14ac:dyDescent="0.25">
      <c r="C22" s="4" t="s">
        <v>44</v>
      </c>
    </row>
    <row r="23" spans="1:7" x14ac:dyDescent="0.25">
      <c r="C23" s="3" t="s">
        <v>45</v>
      </c>
    </row>
    <row r="24" spans="1:7" ht="15.75" thickBot="1" x14ac:dyDescent="0.3"/>
    <row r="25" spans="1:7" ht="15.75" thickBot="1" x14ac:dyDescent="0.3">
      <c r="A25" s="193"/>
      <c r="B25" s="194" t="s">
        <v>177</v>
      </c>
      <c r="C25" s="195">
        <f>629742+8716520+(1754587*0.5)</f>
        <v>10223555.5</v>
      </c>
      <c r="D25" s="196">
        <f>C25/C27</f>
        <v>0.75875764361517273</v>
      </c>
      <c r="E25" s="195" t="s">
        <v>268</v>
      </c>
      <c r="F25" s="195"/>
      <c r="G25" s="197"/>
    </row>
    <row r="26" spans="1:7" x14ac:dyDescent="0.25">
      <c r="A26" s="198"/>
      <c r="B26" s="199" t="s">
        <v>176</v>
      </c>
      <c r="C26" s="200">
        <v>3250517</v>
      </c>
      <c r="D26" s="201">
        <f>C26/C27</f>
        <v>0.24124235638482722</v>
      </c>
      <c r="E26" s="195" t="s">
        <v>268</v>
      </c>
      <c r="F26" s="200"/>
      <c r="G26" s="202"/>
    </row>
    <row r="27" spans="1:7" ht="15.75" thickBot="1" x14ac:dyDescent="0.3">
      <c r="A27" s="203"/>
      <c r="B27" s="204"/>
      <c r="C27" s="205">
        <f>C25+C26</f>
        <v>13474072.5</v>
      </c>
      <c r="D27" s="206"/>
      <c r="E27" s="204"/>
      <c r="F27" s="204"/>
      <c r="G27" s="207"/>
    </row>
  </sheetData>
  <pageMargins left="0.7" right="0.7" top="0.75" bottom="0.75" header="0.3" footer="0.3"/>
  <pageSetup scale="75" orientation="portrait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2570D-3DD8-4906-BEB7-A366277CC9F0}">
  <sheetPr>
    <pageSetUpPr fitToPage="1"/>
  </sheetPr>
  <dimension ref="A2:M22"/>
  <sheetViews>
    <sheetView zoomScale="90" zoomScaleNormal="90" workbookViewId="0">
      <selection activeCell="K16" sqref="K16"/>
    </sheetView>
  </sheetViews>
  <sheetFormatPr defaultRowHeight="15" x14ac:dyDescent="0.25"/>
  <cols>
    <col min="1" max="1" width="14.140625" customWidth="1"/>
    <col min="2" max="2" width="14.28515625" style="8" customWidth="1"/>
    <col min="3" max="3" width="18.42578125" customWidth="1"/>
    <col min="4" max="4" width="13.42578125" customWidth="1"/>
    <col min="5" max="6" width="11.7109375" style="8" customWidth="1"/>
    <col min="7" max="7" width="14.28515625" style="8" customWidth="1"/>
    <col min="8" max="8" width="8.85546875" customWidth="1"/>
    <col min="9" max="10" width="11.7109375" style="8" customWidth="1"/>
    <col min="11" max="11" width="11.7109375" style="6" customWidth="1"/>
    <col min="12" max="12" width="12.140625" customWidth="1"/>
  </cols>
  <sheetData>
    <row r="2" spans="1:13" x14ac:dyDescent="0.25">
      <c r="A2" s="16" t="s">
        <v>58</v>
      </c>
    </row>
    <row r="3" spans="1:13" x14ac:dyDescent="0.25">
      <c r="D3" s="19" t="s">
        <v>54</v>
      </c>
      <c r="I3" s="21" t="s">
        <v>55</v>
      </c>
    </row>
    <row r="5" spans="1:13" x14ac:dyDescent="0.25">
      <c r="B5" s="9" t="s">
        <v>42</v>
      </c>
      <c r="C5" s="4" t="s">
        <v>44</v>
      </c>
      <c r="D5" s="4" t="s">
        <v>43</v>
      </c>
      <c r="E5" s="9" t="s">
        <v>50</v>
      </c>
      <c r="F5" s="9" t="s">
        <v>51</v>
      </c>
      <c r="G5" s="9" t="s">
        <v>42</v>
      </c>
      <c r="H5" s="4" t="s">
        <v>49</v>
      </c>
      <c r="I5" s="9" t="s">
        <v>50</v>
      </c>
      <c r="J5" s="9" t="s">
        <v>51</v>
      </c>
      <c r="K5" s="9" t="s">
        <v>52</v>
      </c>
    </row>
    <row r="6" spans="1:13" x14ac:dyDescent="0.25">
      <c r="B6" s="10"/>
      <c r="C6" s="3" t="s">
        <v>45</v>
      </c>
      <c r="D6" s="3" t="s">
        <v>116</v>
      </c>
      <c r="E6" s="10" t="s">
        <v>144</v>
      </c>
      <c r="F6" s="10" t="s">
        <v>144</v>
      </c>
      <c r="G6" s="10" t="s">
        <v>61</v>
      </c>
      <c r="H6" s="3" t="s">
        <v>53</v>
      </c>
      <c r="I6" s="10"/>
      <c r="J6" s="10"/>
      <c r="K6" s="10" t="s">
        <v>50</v>
      </c>
    </row>
    <row r="7" spans="1:13" x14ac:dyDescent="0.25">
      <c r="B7" s="11"/>
      <c r="C7" s="1"/>
      <c r="D7" s="1"/>
      <c r="E7" s="11"/>
      <c r="F7" s="11"/>
      <c r="G7" s="11"/>
      <c r="H7" s="1"/>
    </row>
    <row r="8" spans="1:13" x14ac:dyDescent="0.25">
      <c r="A8" t="s">
        <v>57</v>
      </c>
      <c r="B8" s="12">
        <f>574557.91+713455.91</f>
        <v>1288013.82</v>
      </c>
      <c r="C8" s="94">
        <f>'2024 NUC Rent'!D25</f>
        <v>0.75875764361517273</v>
      </c>
      <c r="D8" s="95">
        <v>6.54E-2</v>
      </c>
      <c r="E8" s="79">
        <f>B8*C8*D8</f>
        <v>63914.787647856312</v>
      </c>
      <c r="F8" s="79">
        <f>E8/12</f>
        <v>5326.2323039880257</v>
      </c>
      <c r="G8" s="79">
        <f>B8-574557.91</f>
        <v>713455.91</v>
      </c>
      <c r="H8" s="13">
        <v>20</v>
      </c>
      <c r="I8" s="79">
        <f>G8/H8</f>
        <v>35672.7955</v>
      </c>
      <c r="J8" s="79">
        <f>I8/12</f>
        <v>2972.7329583333335</v>
      </c>
      <c r="K8" s="79">
        <f>ROUNDUP(F8+J8,0)</f>
        <v>8299</v>
      </c>
    </row>
    <row r="9" spans="1:13" x14ac:dyDescent="0.25">
      <c r="M9" s="6"/>
    </row>
    <row r="10" spans="1:13" x14ac:dyDescent="0.25">
      <c r="B10" s="14">
        <f>SUM(B8:B8)</f>
        <v>1288013.82</v>
      </c>
      <c r="E10" s="14">
        <f>SUM(E8:E8)</f>
        <v>63914.787647856312</v>
      </c>
      <c r="F10" s="22">
        <f>SUM(F8:F8)</f>
        <v>5326.2323039880257</v>
      </c>
      <c r="G10" s="14">
        <f>SUM(G8:G8)</f>
        <v>713455.91</v>
      </c>
      <c r="I10" s="14">
        <f>SUM(I8:I8)</f>
        <v>35672.7955</v>
      </c>
      <c r="J10" s="22">
        <f>SUM(J8:J8)</f>
        <v>2972.7329583333335</v>
      </c>
      <c r="K10" s="22">
        <f>SUM(K8:K8)</f>
        <v>8299</v>
      </c>
    </row>
    <row r="12" spans="1:13" x14ac:dyDescent="0.25">
      <c r="H12" s="209" t="s">
        <v>210</v>
      </c>
    </row>
    <row r="13" spans="1:13" x14ac:dyDescent="0.25">
      <c r="I13"/>
      <c r="J13" t="s">
        <v>186</v>
      </c>
      <c r="K13" s="8" t="s">
        <v>51</v>
      </c>
      <c r="L13" t="s">
        <v>165</v>
      </c>
    </row>
    <row r="14" spans="1:13" x14ac:dyDescent="0.25">
      <c r="B14" s="24"/>
      <c r="I14" s="11" t="s">
        <v>12</v>
      </c>
      <c r="J14" s="232">
        <f>+'2023 Allocation Source'!E14</f>
        <v>0.19790296305734764</v>
      </c>
      <c r="K14" s="210">
        <f>ROUNDUP(J14*K$10,0)</f>
        <v>1643</v>
      </c>
      <c r="L14" s="211">
        <f>+K14*12</f>
        <v>19716</v>
      </c>
    </row>
    <row r="15" spans="1:13" x14ac:dyDescent="0.25">
      <c r="B15" s="11"/>
      <c r="D15" s="25"/>
      <c r="I15" s="11" t="s">
        <v>11</v>
      </c>
      <c r="J15" s="232">
        <f>+'2023 Allocation Source'!D14</f>
        <v>9.3013577937375497E-2</v>
      </c>
      <c r="K15" s="210">
        <f t="shared" ref="K15:K17" si="0">ROUNDUP(J15*K$10,0)</f>
        <v>772</v>
      </c>
      <c r="L15" s="211">
        <f t="shared" ref="L15:L18" si="1">+K15*12</f>
        <v>9264</v>
      </c>
    </row>
    <row r="16" spans="1:13" x14ac:dyDescent="0.25">
      <c r="B16" s="11"/>
      <c r="D16" s="25"/>
      <c r="I16" s="11" t="s">
        <v>10</v>
      </c>
      <c r="J16" s="232">
        <f>+'2023 Allocation Source'!C14</f>
        <v>0.68680633284208359</v>
      </c>
      <c r="K16" s="210">
        <f t="shared" si="0"/>
        <v>5700</v>
      </c>
      <c r="L16" s="211">
        <f t="shared" si="1"/>
        <v>68400</v>
      </c>
    </row>
    <row r="17" spans="2:12" x14ac:dyDescent="0.25">
      <c r="B17" s="11"/>
      <c r="D17" s="25"/>
      <c r="I17" s="11" t="s">
        <v>122</v>
      </c>
      <c r="J17" s="232">
        <f>+'2023 Allocation Source'!F14</f>
        <v>2.2277126163193276E-2</v>
      </c>
      <c r="K17" s="210">
        <f t="shared" si="0"/>
        <v>185</v>
      </c>
      <c r="L17" s="211">
        <f t="shared" si="1"/>
        <v>2220</v>
      </c>
    </row>
    <row r="18" spans="2:12" x14ac:dyDescent="0.25">
      <c r="B18" s="11"/>
      <c r="D18" s="25"/>
      <c r="H18" s="8"/>
      <c r="I18" s="80"/>
      <c r="J18" s="5">
        <f>SUM(J14:J17)</f>
        <v>1</v>
      </c>
      <c r="K18" s="121">
        <f>SUM(K14:K17)</f>
        <v>8300</v>
      </c>
      <c r="L18" s="106">
        <f t="shared" si="1"/>
        <v>99600</v>
      </c>
    </row>
    <row r="22" spans="2:12" x14ac:dyDescent="0.25">
      <c r="J22" s="25"/>
      <c r="K22" s="136"/>
      <c r="L22" s="136"/>
    </row>
  </sheetData>
  <pageMargins left="0.7" right="0.7" top="0.75" bottom="0.75" header="0.3" footer="0.3"/>
  <pageSetup scale="49" orientation="landscape" r:id="rId1"/>
  <headerFooter>
    <oddFooter>&amp;L&amp;Z&amp;F&amp;R&amp;D&amp;T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B1FAD-534D-4A38-93FF-0C8A903FDE87}">
  <sheetPr>
    <pageSetUpPr fitToPage="1"/>
  </sheetPr>
  <dimension ref="C2:AA18"/>
  <sheetViews>
    <sheetView zoomScale="95" zoomScaleNormal="95" workbookViewId="0">
      <selection activeCell="Z16" sqref="Z16"/>
    </sheetView>
  </sheetViews>
  <sheetFormatPr defaultRowHeight="15" x14ac:dyDescent="0.25"/>
  <cols>
    <col min="1" max="2" width="1.42578125" customWidth="1"/>
    <col min="3" max="3" width="14.140625" customWidth="1"/>
    <col min="4" max="5" width="1.42578125" customWidth="1"/>
    <col min="6" max="6" width="14.28515625" style="8" customWidth="1"/>
    <col min="7" max="7" width="1.42578125" customWidth="1"/>
    <col min="8" max="8" width="18.42578125" customWidth="1"/>
    <col min="9" max="9" width="1.42578125" customWidth="1"/>
    <col min="10" max="10" width="13.42578125" customWidth="1"/>
    <col min="11" max="11" width="1.42578125" customWidth="1"/>
    <col min="12" max="12" width="11.7109375" style="8" customWidth="1"/>
    <col min="13" max="13" width="1.42578125" customWidth="1"/>
    <col min="14" max="14" width="11.7109375" style="8" customWidth="1"/>
    <col min="15" max="17" width="1.42578125" customWidth="1"/>
    <col min="18" max="18" width="14.28515625" style="8" customWidth="1"/>
    <col min="19" max="19" width="1.42578125" customWidth="1"/>
    <col min="20" max="20" width="8.85546875" customWidth="1"/>
    <col min="21" max="21" width="1.42578125" customWidth="1"/>
    <col min="22" max="22" width="11.7109375" style="8" customWidth="1"/>
    <col min="23" max="23" width="1.42578125" customWidth="1"/>
    <col min="24" max="24" width="11.7109375" style="8" customWidth="1"/>
    <col min="25" max="25" width="1.42578125" customWidth="1"/>
    <col min="26" max="26" width="11.7109375" style="6" customWidth="1"/>
    <col min="27" max="27" width="13.7109375" customWidth="1"/>
  </cols>
  <sheetData>
    <row r="2" spans="3:27" x14ac:dyDescent="0.25">
      <c r="C2" s="16" t="s">
        <v>59</v>
      </c>
    </row>
    <row r="3" spans="3:27" x14ac:dyDescent="0.25">
      <c r="J3" s="19" t="s">
        <v>54</v>
      </c>
      <c r="V3" s="21" t="s">
        <v>55</v>
      </c>
    </row>
    <row r="5" spans="3:27" x14ac:dyDescent="0.25">
      <c r="E5" s="4"/>
      <c r="F5" s="9" t="s">
        <v>42</v>
      </c>
      <c r="G5" s="4"/>
      <c r="H5" s="4" t="s">
        <v>44</v>
      </c>
      <c r="I5" s="4"/>
      <c r="J5" s="4" t="s">
        <v>43</v>
      </c>
      <c r="K5" s="4"/>
      <c r="L5" s="9" t="s">
        <v>50</v>
      </c>
      <c r="M5" s="4"/>
      <c r="N5" s="9" t="s">
        <v>51</v>
      </c>
      <c r="O5" s="4"/>
      <c r="Q5" s="4"/>
      <c r="R5" s="9" t="s">
        <v>42</v>
      </c>
      <c r="S5" s="4"/>
      <c r="T5" s="4" t="s">
        <v>49</v>
      </c>
      <c r="U5" s="4"/>
      <c r="V5" s="9" t="s">
        <v>50</v>
      </c>
      <c r="W5" s="4"/>
      <c r="X5" s="9" t="s">
        <v>51</v>
      </c>
      <c r="Z5" s="9" t="s">
        <v>52</v>
      </c>
    </row>
    <row r="6" spans="3:27" x14ac:dyDescent="0.25">
      <c r="E6" s="3"/>
      <c r="F6" s="10"/>
      <c r="G6" s="3"/>
      <c r="H6" s="3" t="s">
        <v>45</v>
      </c>
      <c r="I6" s="3"/>
      <c r="J6" s="3" t="s">
        <v>116</v>
      </c>
      <c r="K6" s="3"/>
      <c r="L6" s="10" t="s">
        <v>144</v>
      </c>
      <c r="M6" s="3"/>
      <c r="N6" s="10" t="s">
        <v>144</v>
      </c>
      <c r="O6" s="3"/>
      <c r="Q6" s="3"/>
      <c r="R6" s="10" t="s">
        <v>61</v>
      </c>
      <c r="S6" s="3"/>
      <c r="T6" s="3" t="s">
        <v>53</v>
      </c>
      <c r="U6" s="3"/>
      <c r="V6" s="10"/>
      <c r="W6" s="3"/>
      <c r="X6" s="10"/>
      <c r="Z6" s="10" t="s">
        <v>50</v>
      </c>
    </row>
    <row r="7" spans="3:27" x14ac:dyDescent="0.25">
      <c r="E7" s="1"/>
      <c r="F7" s="11"/>
      <c r="G7" s="1"/>
      <c r="H7" s="1"/>
      <c r="I7" s="1"/>
      <c r="J7" s="1"/>
      <c r="K7" s="1"/>
      <c r="L7" s="11"/>
      <c r="M7" s="1"/>
      <c r="N7" s="11"/>
      <c r="O7" s="1"/>
      <c r="Q7" s="1"/>
      <c r="R7" s="11"/>
      <c r="S7" s="1"/>
      <c r="T7" s="1"/>
      <c r="U7" s="1"/>
      <c r="W7" s="1"/>
    </row>
    <row r="8" spans="3:27" x14ac:dyDescent="0.25">
      <c r="C8" t="s">
        <v>60</v>
      </c>
      <c r="F8" s="12">
        <v>654101.36</v>
      </c>
      <c r="H8" s="94">
        <f>+'2024 NUC Rent'!$D$25</f>
        <v>0.75875764361517273</v>
      </c>
      <c r="J8" s="95">
        <v>6.54E-2</v>
      </c>
      <c r="L8" s="79">
        <f>F8*H8*J8</f>
        <v>32458.308191579818</v>
      </c>
      <c r="N8" s="79">
        <f>L8/12</f>
        <v>2704.8590159649848</v>
      </c>
      <c r="R8" s="79">
        <f>F8-40000</f>
        <v>614101.36</v>
      </c>
      <c r="T8" s="13">
        <v>20</v>
      </c>
      <c r="V8" s="79">
        <f>R8/T8</f>
        <v>30705.067999999999</v>
      </c>
      <c r="X8" s="79">
        <f>V8/12</f>
        <v>2558.7556666666665</v>
      </c>
      <c r="Z8" s="79">
        <f>ROUND(N8+X8,0)</f>
        <v>5264</v>
      </c>
    </row>
    <row r="10" spans="3:27" x14ac:dyDescent="0.25">
      <c r="F10" s="14">
        <f>SUM(F8:F8)</f>
        <v>654101.36</v>
      </c>
      <c r="L10" s="14">
        <f>SUM(L8:L8)</f>
        <v>32458.308191579818</v>
      </c>
      <c r="N10" s="22">
        <f>SUM(N8:N8)</f>
        <v>2704.8590159649848</v>
      </c>
      <c r="R10" s="14">
        <f>SUM(R8:R8)</f>
        <v>614101.36</v>
      </c>
      <c r="V10" s="14">
        <f>SUM(V8:V8)</f>
        <v>30705.067999999999</v>
      </c>
      <c r="X10" s="22">
        <f>SUM(X8:X8)</f>
        <v>2558.7556666666665</v>
      </c>
      <c r="Z10" s="22">
        <f>SUM(Z8:Z8)</f>
        <v>5264</v>
      </c>
    </row>
    <row r="13" spans="3:27" x14ac:dyDescent="0.25">
      <c r="C13" t="s">
        <v>60</v>
      </c>
      <c r="F13" s="8" t="s">
        <v>269</v>
      </c>
      <c r="T13" s="24" t="s">
        <v>233</v>
      </c>
      <c r="V13"/>
      <c r="X13"/>
      <c r="Z13" s="8" t="s">
        <v>51</v>
      </c>
      <c r="AA13" t="s">
        <v>165</v>
      </c>
    </row>
    <row r="14" spans="3:27" x14ac:dyDescent="0.25">
      <c r="F14" s="24"/>
      <c r="T14" s="11" t="s">
        <v>12</v>
      </c>
      <c r="V14" s="122">
        <f>+'2024 Allocation Source'!E14</f>
        <v>0.19679984490856831</v>
      </c>
      <c r="W14" s="81"/>
      <c r="X14" s="81"/>
      <c r="Z14" s="208">
        <f>ROUNDUP($Z$10*V14,0)</f>
        <v>1036</v>
      </c>
      <c r="AA14" s="236">
        <f>+Z14*12</f>
        <v>12432</v>
      </c>
    </row>
    <row r="15" spans="3:27" x14ac:dyDescent="0.25">
      <c r="F15" s="11"/>
      <c r="J15" s="25"/>
      <c r="T15" s="11" t="s">
        <v>11</v>
      </c>
      <c r="V15" s="122">
        <f>+'2024 Allocation Source'!D14</f>
        <v>9.189559761882099E-2</v>
      </c>
      <c r="W15" s="81"/>
      <c r="X15" s="81"/>
      <c r="Z15" s="208">
        <f t="shared" ref="Z15:Z17" si="0">ROUNDUP($Z$10*V15,0)</f>
        <v>484</v>
      </c>
      <c r="AA15" s="236">
        <f t="shared" ref="AA15:AA17" si="1">+Z15*12</f>
        <v>5808</v>
      </c>
    </row>
    <row r="16" spans="3:27" x14ac:dyDescent="0.25">
      <c r="F16" s="11"/>
      <c r="J16" s="25"/>
      <c r="T16" s="11" t="s">
        <v>10</v>
      </c>
      <c r="V16" s="122">
        <f>+'2024 Allocation Source'!C14</f>
        <v>0.68943970448085323</v>
      </c>
      <c r="W16" s="81"/>
      <c r="X16" s="81"/>
      <c r="Z16" s="8">
        <f t="shared" si="0"/>
        <v>3630</v>
      </c>
      <c r="AA16" s="237">
        <f t="shared" si="1"/>
        <v>43560</v>
      </c>
    </row>
    <row r="17" spans="6:27" x14ac:dyDescent="0.25">
      <c r="F17" s="11"/>
      <c r="J17" s="25"/>
      <c r="T17" s="11" t="s">
        <v>122</v>
      </c>
      <c r="V17" s="123">
        <f>+'2024 Allocation Source'!F14</f>
        <v>2.1864852991757482E-2</v>
      </c>
      <c r="W17" s="81"/>
      <c r="X17" s="81"/>
      <c r="Z17" s="208">
        <f t="shared" si="0"/>
        <v>116</v>
      </c>
      <c r="AA17" s="236">
        <f t="shared" si="1"/>
        <v>1392</v>
      </c>
    </row>
    <row r="18" spans="6:27" x14ac:dyDescent="0.25">
      <c r="F18" s="11"/>
      <c r="J18" s="25"/>
      <c r="T18" s="8"/>
      <c r="V18" s="82">
        <f>SUM(V14:V17)</f>
        <v>1</v>
      </c>
      <c r="W18" s="81"/>
      <c r="X18" s="81"/>
      <c r="Z18" s="14">
        <f>SUM(Z14:Z17)</f>
        <v>5266</v>
      </c>
      <c r="AA18" s="71">
        <f>SUM(AA14:AA17)</f>
        <v>63192</v>
      </c>
    </row>
  </sheetData>
  <pageMargins left="0.7" right="0.7" top="0.75" bottom="0.75" header="0.3" footer="0.3"/>
  <pageSetup scale="45" orientation="landscape" horizontalDpi="4294967295" verticalDpi="4294967295" r:id="rId1"/>
  <headerFooter>
    <oddFooter>&amp;L&amp;Z&amp;F&amp;R&amp;D&amp;T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4"/>
  <sheetViews>
    <sheetView zoomScaleNormal="100" workbookViewId="0">
      <selection activeCell="F20" sqref="F20"/>
    </sheetView>
  </sheetViews>
  <sheetFormatPr defaultRowHeight="15" x14ac:dyDescent="0.25"/>
  <cols>
    <col min="1" max="3" width="1.42578125" customWidth="1"/>
    <col min="4" max="4" width="26.5703125" customWidth="1"/>
    <col min="5" max="5" width="1.42578125" customWidth="1"/>
    <col min="6" max="6" width="13.28515625" customWidth="1"/>
    <col min="7" max="7" width="1.42578125" customWidth="1"/>
    <col min="8" max="8" width="13.28515625" customWidth="1"/>
    <col min="9" max="9" width="1.42578125" customWidth="1"/>
    <col min="10" max="10" width="13.28515625" customWidth="1"/>
    <col min="11" max="11" width="1.42578125" customWidth="1"/>
    <col min="12" max="12" width="13.28515625" customWidth="1"/>
    <col min="13" max="13" width="1.42578125" customWidth="1"/>
    <col min="14" max="14" width="13.28515625" customWidth="1"/>
    <col min="15" max="15" width="3.5703125" customWidth="1"/>
    <col min="18" max="18" width="11.140625" customWidth="1"/>
    <col min="19" max="19" width="10.28515625" bestFit="1" customWidth="1"/>
    <col min="20" max="20" width="11.7109375" customWidth="1"/>
    <col min="21" max="21" width="9.140625" customWidth="1"/>
    <col min="22" max="22" width="11.85546875" customWidth="1"/>
    <col min="24" max="24" width="11.7109375" bestFit="1" customWidth="1"/>
    <col min="25" max="25" width="11.5703125" bestFit="1" customWidth="1"/>
  </cols>
  <sheetData>
    <row r="1" spans="1:21" x14ac:dyDescent="0.25">
      <c r="A1" s="16" t="s">
        <v>94</v>
      </c>
      <c r="F1" s="20" t="str">
        <f>+'Commodity OK'!H2</f>
        <v>Data Input Mar 24 billing =Mar invoices = Feb Flow  data= Feb Sales Volume</v>
      </c>
      <c r="G1" s="16"/>
      <c r="H1" s="16"/>
      <c r="I1" s="16"/>
      <c r="J1" s="16"/>
      <c r="K1" s="16"/>
      <c r="L1" s="16"/>
    </row>
    <row r="2" spans="1:21" x14ac:dyDescent="0.25">
      <c r="H2" s="18"/>
      <c r="I2" s="18"/>
      <c r="J2" s="17" t="s">
        <v>9</v>
      </c>
      <c r="K2" s="18"/>
      <c r="L2" s="18"/>
      <c r="M2" s="18"/>
      <c r="N2" s="18"/>
      <c r="O2" s="16"/>
      <c r="Q2" s="77" t="s">
        <v>143</v>
      </c>
    </row>
    <row r="3" spans="1:21" x14ac:dyDescent="0.25">
      <c r="A3" s="16" t="s">
        <v>96</v>
      </c>
      <c r="H3" s="19" t="s">
        <v>12</v>
      </c>
      <c r="I3" s="19"/>
      <c r="J3" s="19" t="s">
        <v>11</v>
      </c>
      <c r="K3" s="19"/>
      <c r="L3" s="19" t="s">
        <v>10</v>
      </c>
      <c r="M3" s="19"/>
      <c r="N3" s="19" t="s">
        <v>122</v>
      </c>
      <c r="O3" s="19"/>
      <c r="P3" s="2" t="s">
        <v>262</v>
      </c>
      <c r="Q3" s="2"/>
      <c r="R3" s="2"/>
    </row>
    <row r="4" spans="1:21" x14ac:dyDescent="0.25">
      <c r="F4" s="17" t="s">
        <v>8</v>
      </c>
      <c r="H4" s="1"/>
      <c r="J4" s="1"/>
      <c r="L4" s="1"/>
      <c r="N4" s="1"/>
      <c r="P4" s="242" t="s">
        <v>12</v>
      </c>
      <c r="Q4" s="242"/>
      <c r="R4" s="150">
        <f>'2024 Allocation Source'!E14</f>
        <v>0.19679984490856831</v>
      </c>
      <c r="S4" s="150"/>
      <c r="T4" s="150"/>
    </row>
    <row r="5" spans="1:21" x14ac:dyDescent="0.25">
      <c r="P5" s="241" t="s">
        <v>11</v>
      </c>
      <c r="Q5" s="241"/>
      <c r="R5" s="150">
        <f>'2024 Allocation Source'!D14</f>
        <v>9.189559761882099E-2</v>
      </c>
      <c r="S5" s="7"/>
      <c r="T5" s="150"/>
    </row>
    <row r="6" spans="1:21" x14ac:dyDescent="0.25">
      <c r="B6" s="54" t="s">
        <v>13</v>
      </c>
      <c r="C6" s="54"/>
      <c r="D6" s="54"/>
      <c r="F6" s="112">
        <v>0</v>
      </c>
      <c r="G6" s="8"/>
      <c r="H6" s="79">
        <f>F6*R$4</f>
        <v>0</v>
      </c>
      <c r="I6" s="8"/>
      <c r="J6" s="79">
        <f>F6*R$5</f>
        <v>0</v>
      </c>
      <c r="K6" s="8"/>
      <c r="L6" s="79">
        <f>F6*R$6</f>
        <v>0</v>
      </c>
      <c r="M6" s="8"/>
      <c r="N6" s="79">
        <f>F6*R$7</f>
        <v>0</v>
      </c>
      <c r="O6" s="8"/>
      <c r="P6" s="241" t="s">
        <v>10</v>
      </c>
      <c r="Q6" s="241"/>
      <c r="R6" s="150">
        <f>'2024 Allocation Source'!C14</f>
        <v>0.68943970448085323</v>
      </c>
      <c r="S6" s="7"/>
      <c r="T6" s="150"/>
    </row>
    <row r="7" spans="1:21" x14ac:dyDescent="0.25">
      <c r="B7" t="s">
        <v>17</v>
      </c>
      <c r="F7" s="112">
        <f>11726.12-SUM('Direct Charges'!F25:F28)</f>
        <v>9433.3900000000012</v>
      </c>
      <c r="G7" s="8"/>
      <c r="H7" s="79">
        <f>F7*R$4</f>
        <v>1856.4896889620395</v>
      </c>
      <c r="I7" s="8"/>
      <c r="J7" s="79">
        <f>F7*R$5</f>
        <v>866.8870116214099</v>
      </c>
      <c r="K7" s="8"/>
      <c r="L7" s="79">
        <f>F7*R$6</f>
        <v>6503.7536138526366</v>
      </c>
      <c r="M7" s="8"/>
      <c r="N7" s="79">
        <f>F7*R$7</f>
        <v>206.25968556391516</v>
      </c>
      <c r="O7" s="8"/>
      <c r="P7" s="241" t="s">
        <v>122</v>
      </c>
      <c r="Q7" s="241"/>
      <c r="R7" s="151">
        <f>'2024 Allocation Source'!F14</f>
        <v>2.1864852991757482E-2</v>
      </c>
      <c r="S7" s="7"/>
      <c r="T7" s="150"/>
    </row>
    <row r="8" spans="1:21" x14ac:dyDescent="0.25">
      <c r="B8" s="54" t="s">
        <v>15</v>
      </c>
      <c r="C8" s="54"/>
      <c r="D8" s="54"/>
      <c r="F8" s="112">
        <v>10165.52</v>
      </c>
      <c r="G8" s="8"/>
      <c r="H8" s="79">
        <f t="shared" ref="H8:H19" si="0">F8*R$4</f>
        <v>2000.5727594149494</v>
      </c>
      <c r="I8" s="8"/>
      <c r="J8" s="79">
        <f>F8*R$5</f>
        <v>934.16653550607714</v>
      </c>
      <c r="K8" s="8"/>
      <c r="L8" s="79">
        <f>F8*R$6</f>
        <v>7008.5131046942033</v>
      </c>
      <c r="M8" s="8"/>
      <c r="N8" s="79">
        <f>F8*R$7</f>
        <v>222.26760038477053</v>
      </c>
      <c r="O8" s="8"/>
      <c r="R8" s="150">
        <f>SUM(R4:R7)</f>
        <v>1</v>
      </c>
      <c r="S8" s="7"/>
      <c r="T8" s="150"/>
      <c r="U8" s="73"/>
    </row>
    <row r="9" spans="1:21" x14ac:dyDescent="0.25">
      <c r="B9" t="s">
        <v>18</v>
      </c>
      <c r="F9" s="112">
        <v>0</v>
      </c>
      <c r="G9" s="8"/>
      <c r="H9" s="79">
        <f t="shared" si="0"/>
        <v>0</v>
      </c>
      <c r="I9" s="8"/>
      <c r="J9" s="79">
        <f>F9*R$5</f>
        <v>0</v>
      </c>
      <c r="K9" s="8"/>
      <c r="L9" s="79">
        <f>F9*R$6</f>
        <v>0</v>
      </c>
      <c r="M9" s="8"/>
      <c r="N9" s="79">
        <f>F9*R$7</f>
        <v>0</v>
      </c>
      <c r="O9" s="8"/>
      <c r="U9" s="73"/>
    </row>
    <row r="10" spans="1:21" x14ac:dyDescent="0.25">
      <c r="B10" s="54" t="s">
        <v>19</v>
      </c>
      <c r="C10" s="54"/>
      <c r="D10" s="54"/>
      <c r="F10" s="112">
        <v>93924.12</v>
      </c>
      <c r="G10" s="8"/>
      <c r="H10" s="79">
        <f>IF(N10=2000,(F10-N10)*(R4/(R8-R7)),(F10*R4))</f>
        <v>18484.252249173758</v>
      </c>
      <c r="I10" s="8"/>
      <c r="J10" s="83">
        <f>IF(N10=2000,(F10-N10)*(R5/(R8-R7)),(F10*R5))</f>
        <v>8631.2131382218558</v>
      </c>
      <c r="K10" s="8"/>
      <c r="L10" s="83">
        <f>IF(N10=2000,(F10-N10)*(R6/(R8-R7)),(F10*R6))</f>
        <v>64755.017536424195</v>
      </c>
      <c r="M10" s="8"/>
      <c r="N10" s="83">
        <f>IF((F10*R$7&lt;2000),(2000),F10*R$7)</f>
        <v>2053.6370761801886</v>
      </c>
      <c r="O10" s="8"/>
      <c r="P10" s="8"/>
      <c r="Q10" s="8"/>
      <c r="U10" s="73"/>
    </row>
    <row r="11" spans="1:21" x14ac:dyDescent="0.25">
      <c r="B11" t="s">
        <v>20</v>
      </c>
      <c r="F11" s="112">
        <f>13498.94-SUM('Direct Charges'!F34:F39)</f>
        <v>9755.7900000000009</v>
      </c>
      <c r="G11" s="8"/>
      <c r="H11" s="79">
        <f t="shared" si="0"/>
        <v>1919.9379589605617</v>
      </c>
      <c r="I11" s="8"/>
      <c r="J11" s="79">
        <f>F11*R$5</f>
        <v>896.51415229371776</v>
      </c>
      <c r="K11" s="8"/>
      <c r="L11" s="79">
        <f>F11*R$6</f>
        <v>6726.0289745772634</v>
      </c>
      <c r="M11" s="8"/>
      <c r="N11" s="79">
        <f>F11*R$7</f>
        <v>213.30891416845776</v>
      </c>
      <c r="O11" s="8"/>
      <c r="U11" s="73"/>
    </row>
    <row r="12" spans="1:21" x14ac:dyDescent="0.25">
      <c r="B12" t="s">
        <v>21</v>
      </c>
      <c r="F12" s="155">
        <f>28282.06-SUM('Direct Charges'!F42:F45)</f>
        <v>4321.0499999999993</v>
      </c>
      <c r="G12" s="8"/>
      <c r="H12" s="79">
        <f t="shared" si="0"/>
        <v>850.38196984216893</v>
      </c>
      <c r="I12" s="8"/>
      <c r="J12" s="79">
        <f>F12*R$5</f>
        <v>397.08547209080638</v>
      </c>
      <c r="K12" s="8"/>
      <c r="L12" s="79">
        <f>F12*R$6</f>
        <v>2979.1034350469904</v>
      </c>
      <c r="M12" s="8"/>
      <c r="N12" s="79">
        <f>F12*R$7</f>
        <v>94.479123020033654</v>
      </c>
      <c r="O12" s="8"/>
    </row>
    <row r="13" spans="1:21" x14ac:dyDescent="0.25">
      <c r="B13" t="s">
        <v>25</v>
      </c>
      <c r="F13" s="112">
        <v>19989.87</v>
      </c>
      <c r="G13" s="8"/>
      <c r="H13" s="79">
        <f t="shared" si="0"/>
        <v>3934.0033157424423</v>
      </c>
      <c r="I13" s="8"/>
      <c r="J13" s="79">
        <f>F13*R$5</f>
        <v>1836.9810499725411</v>
      </c>
      <c r="K13" s="8"/>
      <c r="L13" s="79">
        <f>F13*R$6</f>
        <v>13781.810065410673</v>
      </c>
      <c r="M13" s="8"/>
      <c r="N13" s="79">
        <f>F13*R$7</f>
        <v>437.07556887434311</v>
      </c>
      <c r="O13" s="8"/>
    </row>
    <row r="14" spans="1:21" x14ac:dyDescent="0.25">
      <c r="B14" t="s">
        <v>26</v>
      </c>
      <c r="F14" s="112">
        <v>0</v>
      </c>
      <c r="G14" s="8"/>
      <c r="H14" s="79">
        <f>F14*R$4</f>
        <v>0</v>
      </c>
      <c r="I14" s="8"/>
      <c r="J14" s="79">
        <f>F14*R$5</f>
        <v>0</v>
      </c>
      <c r="K14" s="8"/>
      <c r="L14" s="79">
        <f>F14*R$6</f>
        <v>0</v>
      </c>
      <c r="M14" s="8"/>
      <c r="N14" s="79">
        <f>F14*R$7</f>
        <v>0</v>
      </c>
      <c r="O14" s="8"/>
    </row>
    <row r="15" spans="1:21" x14ac:dyDescent="0.25">
      <c r="B15" t="s">
        <v>27</v>
      </c>
      <c r="F15" s="112">
        <v>17743.849999999999</v>
      </c>
      <c r="G15" s="8"/>
      <c r="H15" s="79">
        <f>IF(N15=1000,(F15-N15)*(R4/(R8-R7)),(F15*R4))</f>
        <v>3368.8464147833788</v>
      </c>
      <c r="I15" s="8"/>
      <c r="J15" s="83">
        <f>IF(N15=1000,(F15-N15)*(R5/(R8-R7)),(F15*R5))</f>
        <v>1573.0812934144872</v>
      </c>
      <c r="K15" s="8"/>
      <c r="L15" s="83">
        <f>IF(N15=1000,(F15-N15)*(R6/(R8-R7)),(F15*R6))</f>
        <v>11801.922291802133</v>
      </c>
      <c r="M15" s="8"/>
      <c r="N15" s="83">
        <f>IF((F15*R$7&lt;1000),(1000),F15*R$7)</f>
        <v>1000</v>
      </c>
      <c r="O15" s="8"/>
      <c r="Q15" s="8"/>
    </row>
    <row r="16" spans="1:21" x14ac:dyDescent="0.25">
      <c r="B16" t="s">
        <v>195</v>
      </c>
      <c r="F16" s="112">
        <v>2278.7600000000002</v>
      </c>
      <c r="G16" s="8"/>
      <c r="H16" s="79">
        <v>0</v>
      </c>
      <c r="I16" s="8"/>
      <c r="J16" s="79">
        <v>0</v>
      </c>
      <c r="K16" s="8"/>
      <c r="L16" s="79">
        <f>+F16</f>
        <v>2278.7600000000002</v>
      </c>
      <c r="M16" s="8"/>
      <c r="N16" s="79">
        <v>0</v>
      </c>
      <c r="O16" s="8"/>
    </row>
    <row r="17" spans="1:19" x14ac:dyDescent="0.25">
      <c r="B17" t="s">
        <v>28</v>
      </c>
      <c r="F17" s="102">
        <v>0</v>
      </c>
      <c r="G17" s="8"/>
      <c r="H17" s="79">
        <f t="shared" si="0"/>
        <v>0</v>
      </c>
      <c r="I17" s="8"/>
      <c r="J17" s="79">
        <f>F17*R$5</f>
        <v>0</v>
      </c>
      <c r="K17" s="8"/>
      <c r="L17" s="79">
        <f>F17*R$6</f>
        <v>0</v>
      </c>
      <c r="M17" s="8"/>
      <c r="N17" s="79">
        <f>F17*R$7</f>
        <v>0</v>
      </c>
      <c r="O17" s="8"/>
    </row>
    <row r="18" spans="1:19" x14ac:dyDescent="0.25">
      <c r="B18" t="s">
        <v>29</v>
      </c>
      <c r="F18" s="112">
        <v>3646.12</v>
      </c>
      <c r="G18" s="8"/>
      <c r="H18" s="79">
        <f t="shared" si="0"/>
        <v>717.55585051802905</v>
      </c>
      <c r="I18" s="8"/>
      <c r="J18" s="79">
        <f>F18*R$5</f>
        <v>335.06237638993559</v>
      </c>
      <c r="K18" s="8"/>
      <c r="L18" s="79">
        <f>F18*R$6</f>
        <v>2513.7798953017286</v>
      </c>
      <c r="M18" s="8"/>
      <c r="N18" s="79">
        <f>F18*R$7</f>
        <v>79.721877790306792</v>
      </c>
      <c r="O18" s="8"/>
    </row>
    <row r="19" spans="1:19" x14ac:dyDescent="0.25">
      <c r="B19" t="s">
        <v>30</v>
      </c>
      <c r="F19" s="112">
        <v>7363.74</v>
      </c>
      <c r="G19" s="8"/>
      <c r="H19" s="79">
        <f t="shared" si="0"/>
        <v>1449.1828899470208</v>
      </c>
      <c r="I19" s="8"/>
      <c r="J19" s="79">
        <f>F19*R$5</f>
        <v>676.69528800961689</v>
      </c>
      <c r="K19" s="8"/>
      <c r="L19" s="79">
        <f>F19*R$6</f>
        <v>5076.8547294738382</v>
      </c>
      <c r="M19" s="8"/>
      <c r="N19" s="79">
        <f>F19*R$7</f>
        <v>161.00709256952425</v>
      </c>
      <c r="O19" s="8"/>
      <c r="R19" t="s">
        <v>187</v>
      </c>
      <c r="S19" t="s">
        <v>185</v>
      </c>
    </row>
    <row r="20" spans="1:19" x14ac:dyDescent="0.25">
      <c r="F20" s="8"/>
      <c r="G20" s="8"/>
      <c r="H20" s="8"/>
      <c r="I20" s="8"/>
      <c r="J20" s="8"/>
      <c r="K20" s="8"/>
      <c r="L20" s="8"/>
      <c r="M20" s="8"/>
      <c r="N20" s="8"/>
      <c r="O20" s="8"/>
      <c r="P20" s="242" t="s">
        <v>12</v>
      </c>
      <c r="Q20" s="242"/>
      <c r="R20" s="149">
        <f>+F21*R4</f>
        <v>35152.823225225722</v>
      </c>
      <c r="S20" s="55">
        <f>+H21-R20</f>
        <v>-571.60012788137101</v>
      </c>
    </row>
    <row r="21" spans="1:19" x14ac:dyDescent="0.25">
      <c r="F21" s="84">
        <f>SUM(F6:F19)</f>
        <v>178622.21000000002</v>
      </c>
      <c r="G21" s="23"/>
      <c r="H21" s="84">
        <f>SUM(H6:H19)</f>
        <v>34581.223097344351</v>
      </c>
      <c r="I21" s="23"/>
      <c r="J21" s="84">
        <f>SUM(J6:J19)</f>
        <v>16147.686317520445</v>
      </c>
      <c r="K21" s="23"/>
      <c r="L21" s="84">
        <f>SUM(L6:L19)</f>
        <v>123425.54364658365</v>
      </c>
      <c r="M21" s="23"/>
      <c r="N21" s="84">
        <f>SUM(N6:N19)</f>
        <v>4467.7569385515408</v>
      </c>
      <c r="O21" s="23"/>
      <c r="P21" s="241" t="s">
        <v>11</v>
      </c>
      <c r="Q21" s="241"/>
      <c r="R21" s="149">
        <f>+F21*R5</f>
        <v>16414.594735944545</v>
      </c>
      <c r="S21" s="55">
        <f>+J21-R21</f>
        <v>-266.90841842410009</v>
      </c>
    </row>
    <row r="22" spans="1:19" x14ac:dyDescent="0.25">
      <c r="F22" s="6"/>
      <c r="G22" s="6"/>
      <c r="H22" s="6"/>
      <c r="I22" s="6"/>
      <c r="J22" s="6"/>
      <c r="K22" s="6"/>
      <c r="L22" s="6"/>
      <c r="M22" s="6"/>
      <c r="N22" s="6"/>
      <c r="O22" s="6"/>
      <c r="P22" s="241" t="s">
        <v>10</v>
      </c>
      <c r="Q22" s="241"/>
      <c r="R22" s="149">
        <f>+F21*R6</f>
        <v>123149.24367611692</v>
      </c>
      <c r="S22" s="55">
        <f>+L21-R22</f>
        <v>276.29997046673088</v>
      </c>
    </row>
    <row r="23" spans="1:19" x14ac:dyDescent="0.25">
      <c r="F23" s="6"/>
      <c r="G23" s="6"/>
      <c r="H23" s="6"/>
      <c r="I23" s="6"/>
      <c r="J23" s="6"/>
      <c r="K23" s="6"/>
      <c r="L23" s="6"/>
      <c r="M23" s="6"/>
      <c r="N23" s="6"/>
      <c r="O23" s="6"/>
      <c r="P23" s="241" t="s">
        <v>122</v>
      </c>
      <c r="Q23" s="241"/>
      <c r="R23" s="149">
        <f>+F21*R7</f>
        <v>3905.5483627128338</v>
      </c>
      <c r="S23" s="55">
        <f>+N21-R23</f>
        <v>562.20857583870702</v>
      </c>
    </row>
    <row r="24" spans="1:19" ht="15.75" thickBot="1" x14ac:dyDescent="0.3">
      <c r="F24" s="6"/>
      <c r="G24" s="6"/>
      <c r="H24" s="6"/>
      <c r="I24" s="6"/>
      <c r="J24" s="6"/>
      <c r="K24" s="6"/>
      <c r="L24" s="6"/>
      <c r="M24" s="6"/>
      <c r="N24" s="6"/>
      <c r="O24" s="6"/>
      <c r="R24" s="152">
        <f>SUM(R20:R23)</f>
        <v>178622.21000000002</v>
      </c>
      <c r="S24" s="152">
        <f>SUM(S20:S23)</f>
        <v>-3.3196556614711881E-11</v>
      </c>
    </row>
    <row r="25" spans="1:19" ht="15.75" thickTop="1" x14ac:dyDescent="0.25">
      <c r="F25" s="6"/>
      <c r="G25" s="6"/>
      <c r="H25" s="6"/>
      <c r="I25" s="6"/>
      <c r="J25" s="6"/>
      <c r="K25" s="6"/>
      <c r="L25" s="6"/>
      <c r="M25" s="6"/>
      <c r="N25" s="6"/>
      <c r="O25" s="6"/>
      <c r="R25" s="149"/>
    </row>
    <row r="26" spans="1:19" x14ac:dyDescent="0.25">
      <c r="A26" s="16" t="s">
        <v>97</v>
      </c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9" x14ac:dyDescent="0.25">
      <c r="B27" t="s">
        <v>46</v>
      </c>
      <c r="F27" s="79">
        <f>'2024 NUC Rent'!K8</f>
        <v>17812</v>
      </c>
      <c r="G27" s="6"/>
      <c r="H27" s="79">
        <f t="shared" ref="H27:H29" si="1">F27*R$4</f>
        <v>3505.3988375114186</v>
      </c>
      <c r="I27" s="8"/>
      <c r="J27" s="85">
        <f t="shared" ref="J27:J29" si="2">F27*R$5</f>
        <v>1636.8443847864394</v>
      </c>
      <c r="K27" s="8"/>
      <c r="L27" s="79">
        <f t="shared" ref="L27:L29" si="3">F27*R$6</f>
        <v>12280.300016212957</v>
      </c>
      <c r="M27" s="8"/>
      <c r="N27" s="79">
        <f t="shared" ref="N27:N29" si="4">F27*R$7</f>
        <v>389.45676148918426</v>
      </c>
      <c r="O27" s="8"/>
    </row>
    <row r="28" spans="1:19" x14ac:dyDescent="0.25">
      <c r="B28" t="s">
        <v>32</v>
      </c>
      <c r="F28" s="79">
        <f>'2024 NUC Rent'!K9</f>
        <v>5526</v>
      </c>
      <c r="G28" s="6"/>
      <c r="H28" s="79">
        <f t="shared" si="1"/>
        <v>1087.5159429647485</v>
      </c>
      <c r="I28" s="8"/>
      <c r="J28" s="85">
        <f t="shared" si="2"/>
        <v>507.8150724416048</v>
      </c>
      <c r="K28" s="8"/>
      <c r="L28" s="79">
        <f t="shared" si="3"/>
        <v>3809.8438069611948</v>
      </c>
      <c r="M28" s="8"/>
      <c r="N28" s="79">
        <f t="shared" si="4"/>
        <v>120.82517763245184</v>
      </c>
      <c r="O28" s="8"/>
    </row>
    <row r="29" spans="1:19" x14ac:dyDescent="0.25">
      <c r="B29" t="s">
        <v>47</v>
      </c>
      <c r="F29" s="79">
        <f>'2024 NUC Rent'!K10</f>
        <v>8802</v>
      </c>
      <c r="G29" s="6"/>
      <c r="H29" s="79">
        <f t="shared" si="1"/>
        <v>1732.2322348852183</v>
      </c>
      <c r="I29" s="8"/>
      <c r="J29" s="85">
        <f t="shared" si="2"/>
        <v>808.86505024086239</v>
      </c>
      <c r="K29" s="8"/>
      <c r="L29" s="79">
        <f t="shared" si="3"/>
        <v>6068.4482788404703</v>
      </c>
      <c r="M29" s="8"/>
      <c r="N29" s="79">
        <f t="shared" si="4"/>
        <v>192.45443603344935</v>
      </c>
      <c r="O29" s="8"/>
    </row>
    <row r="30" spans="1:19" x14ac:dyDescent="0.25">
      <c r="B30" t="s">
        <v>48</v>
      </c>
      <c r="F30" s="79">
        <f>'2024 NUC Rent'!K11</f>
        <v>5350</v>
      </c>
      <c r="G30" s="6"/>
      <c r="H30" s="79">
        <f>F30*R$4</f>
        <v>1052.8791702608405</v>
      </c>
      <c r="I30" s="8"/>
      <c r="J30" s="85">
        <f>F30*R$5</f>
        <v>491.6414472606923</v>
      </c>
      <c r="K30" s="8"/>
      <c r="L30" s="79">
        <f>F30*R$6</f>
        <v>3688.502418972565</v>
      </c>
      <c r="M30" s="8"/>
      <c r="N30" s="79">
        <f>F30*R$7</f>
        <v>116.97696350590253</v>
      </c>
      <c r="O30" s="8"/>
    </row>
    <row r="31" spans="1:19" x14ac:dyDescent="0.25">
      <c r="B31" t="s">
        <v>41</v>
      </c>
      <c r="F31" s="79">
        <f>'2024 NUC Rent'!K12</f>
        <v>5082</v>
      </c>
      <c r="G31" s="6"/>
      <c r="H31" s="79">
        <f>F31*R$4</f>
        <v>1000.1368118253441</v>
      </c>
      <c r="I31" s="8"/>
      <c r="J31" s="79">
        <f>F31*R$5</f>
        <v>467.0134270988483</v>
      </c>
      <c r="K31" s="8"/>
      <c r="L31" s="79">
        <f>F31*R$6</f>
        <v>3503.7325781716963</v>
      </c>
      <c r="M31" s="8"/>
      <c r="N31" s="79">
        <f>F31*R$7</f>
        <v>111.11718290411153</v>
      </c>
      <c r="O31" s="8"/>
    </row>
    <row r="32" spans="1:19" x14ac:dyDescent="0.25">
      <c r="B32" t="s">
        <v>31</v>
      </c>
      <c r="F32" s="79">
        <f>'2024 NUC Rent'!K13</f>
        <v>16165</v>
      </c>
      <c r="G32" s="6"/>
      <c r="H32" s="79">
        <f>F32*R$4</f>
        <v>3181.2694929470067</v>
      </c>
      <c r="I32" s="8"/>
      <c r="J32" s="79">
        <f>F32*R$5</f>
        <v>1485.4923355082412</v>
      </c>
      <c r="K32" s="8"/>
      <c r="L32" s="79">
        <f>F32*R$6</f>
        <v>11144.792822932992</v>
      </c>
      <c r="M32" s="8"/>
      <c r="N32" s="79">
        <f>F32*R$7</f>
        <v>353.4453486117597</v>
      </c>
      <c r="O32" s="8"/>
    </row>
    <row r="33" spans="6:15" x14ac:dyDescent="0.25">
      <c r="F33" s="6"/>
      <c r="G33" s="6"/>
      <c r="H33" s="8"/>
      <c r="I33" s="8"/>
      <c r="J33" s="8"/>
      <c r="K33" s="8"/>
      <c r="L33" s="8"/>
      <c r="M33" s="8"/>
      <c r="N33" s="8"/>
      <c r="O33" s="8"/>
    </row>
    <row r="34" spans="6:15" x14ac:dyDescent="0.25">
      <c r="F34" s="84">
        <f>SUM(F27:F32)</f>
        <v>58737</v>
      </c>
      <c r="G34" s="20"/>
      <c r="H34" s="84">
        <f>SUM(H27:H32)</f>
        <v>11559.432490394578</v>
      </c>
      <c r="I34" s="23"/>
      <c r="J34" s="84">
        <f>SUM(J27:J32)</f>
        <v>5397.6717173366878</v>
      </c>
      <c r="K34" s="23"/>
      <c r="L34" s="84">
        <f>SUM(L27:L32)</f>
        <v>40495.619922091879</v>
      </c>
      <c r="M34" s="23"/>
      <c r="N34" s="84">
        <f>SUM(N27:N32)</f>
        <v>1284.2758701768594</v>
      </c>
      <c r="O34" s="23"/>
    </row>
  </sheetData>
  <mergeCells count="8">
    <mergeCell ref="P21:Q21"/>
    <mergeCell ref="P22:Q22"/>
    <mergeCell ref="P23:Q23"/>
    <mergeCell ref="P4:Q4"/>
    <mergeCell ref="P5:Q5"/>
    <mergeCell ref="P6:Q6"/>
    <mergeCell ref="P7:Q7"/>
    <mergeCell ref="P20:Q20"/>
  </mergeCells>
  <pageMargins left="0.7" right="0.7" top="0.75" bottom="0.75" header="0.3" footer="0.3"/>
  <pageSetup scale="65"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69"/>
  <sheetViews>
    <sheetView zoomScaleNormal="100" workbookViewId="0">
      <pane xSplit="4" ySplit="4" topLeftCell="E38" activePane="bottomRight" state="frozen"/>
      <selection pane="topRight" activeCell="E1" sqref="E1"/>
      <selection pane="bottomLeft" activeCell="A5" sqref="A5"/>
      <selection pane="bottomRight" activeCell="J58" sqref="J58"/>
    </sheetView>
  </sheetViews>
  <sheetFormatPr defaultRowHeight="15" x14ac:dyDescent="0.25"/>
  <cols>
    <col min="1" max="3" width="1.42578125" customWidth="1"/>
    <col min="4" max="4" width="29.140625" customWidth="1"/>
    <col min="5" max="5" width="2.85546875" customWidth="1"/>
    <col min="6" max="6" width="19.85546875" customWidth="1"/>
    <col min="7" max="7" width="2.85546875" customWidth="1"/>
    <col min="8" max="8" width="12.7109375" customWidth="1"/>
    <col min="9" max="9" width="2.85546875" customWidth="1"/>
    <col min="10" max="10" width="15.28515625" customWidth="1"/>
    <col min="11" max="11" width="2.85546875" customWidth="1"/>
    <col min="12" max="12" width="11.85546875" customWidth="1"/>
    <col min="13" max="13" width="2.85546875" customWidth="1"/>
    <col min="14" max="14" width="13.5703125" customWidth="1"/>
    <col min="15" max="15" width="2.85546875" customWidth="1"/>
    <col min="16" max="16" width="9.7109375" customWidth="1"/>
    <col min="17" max="17" width="10.5703125" customWidth="1"/>
    <col min="18" max="18" width="10.140625" customWidth="1"/>
    <col min="19" max="19" width="4.140625" customWidth="1"/>
    <col min="20" max="23" width="9.28515625" customWidth="1"/>
  </cols>
  <sheetData>
    <row r="1" spans="1:22" x14ac:dyDescent="0.25">
      <c r="A1" s="16" t="s">
        <v>114</v>
      </c>
      <c r="F1" s="6" t="str">
        <f>+'Commodity OK'!H2</f>
        <v>Data Input Mar 24 billing =Mar invoices = Feb Flow  data= Feb Sales Volume</v>
      </c>
    </row>
    <row r="2" spans="1:22" x14ac:dyDescent="0.25">
      <c r="H2" s="18"/>
      <c r="I2" s="18"/>
      <c r="J2" s="17" t="s">
        <v>9</v>
      </c>
      <c r="K2" s="18"/>
      <c r="L2" s="18"/>
      <c r="M2" s="18"/>
      <c r="N2" s="18"/>
      <c r="Q2" s="1" t="s">
        <v>40</v>
      </c>
    </row>
    <row r="3" spans="1:22" x14ac:dyDescent="0.25">
      <c r="A3" s="16" t="s">
        <v>98</v>
      </c>
      <c r="H3" s="19" t="s">
        <v>33</v>
      </c>
      <c r="I3" s="19"/>
      <c r="J3" s="19" t="s">
        <v>36</v>
      </c>
      <c r="K3" s="19"/>
      <c r="L3" s="19" t="s">
        <v>35</v>
      </c>
      <c r="M3" s="19"/>
      <c r="N3" s="19" t="s">
        <v>109</v>
      </c>
      <c r="P3" s="2" t="s">
        <v>262</v>
      </c>
      <c r="Q3" s="2"/>
      <c r="R3" s="2"/>
    </row>
    <row r="4" spans="1:22" x14ac:dyDescent="0.25">
      <c r="F4" s="17" t="s">
        <v>8</v>
      </c>
      <c r="H4" s="1"/>
      <c r="J4" s="1"/>
      <c r="L4" s="1"/>
      <c r="N4" s="1"/>
      <c r="P4" s="1" t="s">
        <v>33</v>
      </c>
      <c r="Q4" s="131">
        <f>+'2023 Allocation Source'!C29</f>
        <v>0.52608325149750468</v>
      </c>
      <c r="R4" s="131">
        <f>Q4/Q8</f>
        <v>0.52608325149750468</v>
      </c>
    </row>
    <row r="5" spans="1:22" x14ac:dyDescent="0.25">
      <c r="P5" s="1" t="s">
        <v>34</v>
      </c>
      <c r="Q5" s="131">
        <f>+'2023 Allocation Source'!D29</f>
        <v>0.31920350959112986</v>
      </c>
      <c r="R5" s="131">
        <f>Q5/Q8</f>
        <v>0.31920350959112986</v>
      </c>
    </row>
    <row r="6" spans="1:22" x14ac:dyDescent="0.25">
      <c r="B6" t="s">
        <v>0</v>
      </c>
      <c r="F6" s="85">
        <f>'Direct Charges'!L10</f>
        <v>67295.59</v>
      </c>
      <c r="G6" s="60"/>
      <c r="H6" s="85">
        <f>ROUNDUP(IF(N6=2500,(F6-L6-N6)*(Q4/(Q8-Q6-Q7)),(F6*R4)),0)</f>
        <v>35404</v>
      </c>
      <c r="I6" s="60"/>
      <c r="J6" s="222">
        <f>ROUNDUP(IF(SUM(H6,L6,N6,F6*R5)&gt;F6,((F6-L6-N6)*(Q5/(Q8-Q6-Q7))),(F6*R5)),0)</f>
        <v>21481</v>
      </c>
      <c r="K6" s="60"/>
      <c r="L6" s="85">
        <f>ROUNDUP(IF((F6*R$6&lt;2500),(2500),F6*R$6),0)</f>
        <v>4262</v>
      </c>
      <c r="M6" s="60"/>
      <c r="N6" s="85">
        <f>ROUNDUP(IF((F6*R$7&lt;2500),(2500),F6*R$7),0)</f>
        <v>6151</v>
      </c>
      <c r="O6" s="6"/>
      <c r="P6" s="1" t="s">
        <v>35</v>
      </c>
      <c r="Q6" s="131">
        <f>+'2023 Allocation Source'!E29</f>
        <v>6.3320109334595809E-2</v>
      </c>
      <c r="R6" s="131">
        <f>Q6/Q8</f>
        <v>6.3320109334595809E-2</v>
      </c>
    </row>
    <row r="7" spans="1:22" x14ac:dyDescent="0.25">
      <c r="B7" t="s">
        <v>4</v>
      </c>
      <c r="F7" s="85">
        <f>'Direct Charges'!L16</f>
        <v>28060.31</v>
      </c>
      <c r="G7" s="60"/>
      <c r="H7" s="85">
        <f>ROUNDUP(F7*R$4,0)</f>
        <v>14763</v>
      </c>
      <c r="I7" s="60"/>
      <c r="J7" s="222">
        <f>ROUNDUP(F7*R$5,0)</f>
        <v>8957</v>
      </c>
      <c r="K7" s="60"/>
      <c r="L7" s="85">
        <f>ROUNDUP(F7*R$6,0)</f>
        <v>1777</v>
      </c>
      <c r="M7" s="60"/>
      <c r="N7" s="85">
        <f>ROUNDUP(F7*R$7,0)</f>
        <v>2565</v>
      </c>
      <c r="P7" s="1" t="s">
        <v>112</v>
      </c>
      <c r="Q7" s="131">
        <f>+'2023 Allocation Source'!F29</f>
        <v>9.139312957676958E-2</v>
      </c>
      <c r="R7" s="215">
        <f>Q7/Q8</f>
        <v>9.139312957676958E-2</v>
      </c>
    </row>
    <row r="8" spans="1:22" x14ac:dyDescent="0.25">
      <c r="B8" t="s">
        <v>13</v>
      </c>
      <c r="F8" s="85">
        <f>'Allocation Charges'!L6</f>
        <v>0</v>
      </c>
      <c r="G8" s="60"/>
      <c r="H8" s="85">
        <f>ROUNDUP(F8*R$4,0)</f>
        <v>0</v>
      </c>
      <c r="I8" s="60"/>
      <c r="J8" s="222">
        <f>ROUNDUP(F8*R$5,0)</f>
        <v>0</v>
      </c>
      <c r="K8" s="60"/>
      <c r="L8" s="85">
        <f>ROUNDUP(F8*R$6,0)</f>
        <v>0</v>
      </c>
      <c r="M8" s="60"/>
      <c r="N8" s="85">
        <f>ROUNDUP(F8*R$7,0)</f>
        <v>0</v>
      </c>
      <c r="P8" s="1"/>
      <c r="Q8" s="78">
        <f>SUM(Q4:Q7)</f>
        <v>1</v>
      </c>
      <c r="R8" s="5">
        <f>SUM(R4:R7)</f>
        <v>1</v>
      </c>
    </row>
    <row r="9" spans="1:22" x14ac:dyDescent="0.25">
      <c r="B9" t="s">
        <v>14</v>
      </c>
      <c r="F9" s="85">
        <f>'Direct Charges'!L18</f>
        <v>8833.42</v>
      </c>
      <c r="G9" s="60"/>
      <c r="H9" s="85">
        <v>0</v>
      </c>
      <c r="I9" s="60"/>
      <c r="J9" s="222">
        <v>0</v>
      </c>
      <c r="K9" s="60"/>
      <c r="L9" s="85">
        <f>ROUNDUP(F9,0)</f>
        <v>8834</v>
      </c>
      <c r="M9" s="60"/>
      <c r="N9" s="85">
        <v>0</v>
      </c>
      <c r="P9" s="1"/>
      <c r="Q9" s="1"/>
      <c r="R9" s="5"/>
    </row>
    <row r="10" spans="1:22" x14ac:dyDescent="0.25">
      <c r="B10" t="s">
        <v>17</v>
      </c>
      <c r="F10" s="6"/>
      <c r="G10" s="60"/>
      <c r="H10" s="6"/>
      <c r="I10" s="60"/>
      <c r="J10" s="120"/>
      <c r="K10" s="60"/>
      <c r="L10" s="6"/>
      <c r="M10" s="60"/>
      <c r="N10" s="60"/>
      <c r="Q10" s="1"/>
    </row>
    <row r="11" spans="1:22" x14ac:dyDescent="0.25">
      <c r="C11" t="s">
        <v>37</v>
      </c>
      <c r="F11" s="6">
        <f>'Direct Charges'!L28</f>
        <v>1895.2</v>
      </c>
      <c r="G11" s="60"/>
      <c r="H11" s="6"/>
      <c r="I11" s="60"/>
      <c r="J11" s="120"/>
      <c r="K11" s="60"/>
      <c r="L11" s="6"/>
      <c r="M11" s="60"/>
      <c r="N11" s="60"/>
      <c r="Q11" s="1"/>
    </row>
    <row r="12" spans="1:22" x14ac:dyDescent="0.25">
      <c r="C12" t="s">
        <v>38</v>
      </c>
      <c r="F12" s="6">
        <f>'Allocation Charges'!L7</f>
        <v>6503.7536138526366</v>
      </c>
      <c r="G12" s="60"/>
      <c r="H12" s="6"/>
      <c r="I12" s="60"/>
      <c r="J12" s="120"/>
      <c r="K12" s="60"/>
      <c r="L12" s="6"/>
      <c r="M12" s="60"/>
      <c r="N12" s="60"/>
      <c r="P12" s="6"/>
      <c r="Q12" s="52"/>
      <c r="R12" s="60"/>
    </row>
    <row r="13" spans="1:22" x14ac:dyDescent="0.25">
      <c r="F13" s="224">
        <f>F12+F11</f>
        <v>8398.9536138526364</v>
      </c>
      <c r="G13" s="60"/>
      <c r="H13" s="85">
        <f>ROUNDUP(F13*R$4,0)</f>
        <v>4419</v>
      </c>
      <c r="I13" s="60"/>
      <c r="J13" s="222">
        <f>ROUNDUP(F13*R$5,0)</f>
        <v>2681</v>
      </c>
      <c r="K13" s="60"/>
      <c r="L13" s="85">
        <f>ROUNDUP(F13*R$6,0)</f>
        <v>532</v>
      </c>
      <c r="M13" s="60"/>
      <c r="N13" s="85">
        <f>ROUNDUP(F13*R$7,0)</f>
        <v>768</v>
      </c>
      <c r="Q13" s="52"/>
      <c r="S13" s="6"/>
    </row>
    <row r="14" spans="1:22" x14ac:dyDescent="0.25">
      <c r="B14" t="s">
        <v>15</v>
      </c>
      <c r="F14" s="6"/>
      <c r="G14" s="60"/>
      <c r="H14" s="6"/>
      <c r="I14" s="60"/>
      <c r="J14" s="120"/>
      <c r="K14" s="60"/>
      <c r="L14" s="6"/>
      <c r="M14" s="60"/>
      <c r="N14" s="6"/>
      <c r="Q14" s="6"/>
      <c r="S14" s="6"/>
      <c r="T14" s="60"/>
    </row>
    <row r="15" spans="1:22" x14ac:dyDescent="0.25">
      <c r="C15" t="s">
        <v>37</v>
      </c>
      <c r="F15" s="6">
        <f>'Direct Charges'!L31</f>
        <v>3150.67</v>
      </c>
      <c r="G15" s="60"/>
      <c r="H15" s="6"/>
      <c r="I15" s="60"/>
      <c r="J15" s="120"/>
      <c r="K15" s="60"/>
      <c r="L15" s="6"/>
      <c r="M15" s="60"/>
      <c r="N15" s="6"/>
      <c r="Q15" s="60"/>
      <c r="R15" s="60"/>
      <c r="S15" s="60"/>
      <c r="T15" s="60"/>
      <c r="V15" s="60"/>
    </row>
    <row r="16" spans="1:22" x14ac:dyDescent="0.25">
      <c r="C16" t="s">
        <v>38</v>
      </c>
      <c r="F16" s="6">
        <f>'Allocation Charges'!L8</f>
        <v>7008.5131046942033</v>
      </c>
      <c r="G16" s="60"/>
      <c r="H16" s="6"/>
      <c r="I16" s="60"/>
      <c r="J16" s="120"/>
      <c r="K16" s="60"/>
      <c r="L16" s="6"/>
      <c r="M16" s="60"/>
      <c r="N16" s="6"/>
      <c r="S16" s="6"/>
      <c r="T16" s="6"/>
    </row>
    <row r="17" spans="2:22" x14ac:dyDescent="0.25">
      <c r="D17" s="7" t="s">
        <v>39</v>
      </c>
      <c r="F17" s="224">
        <f>F16+F15</f>
        <v>10159.183104694202</v>
      </c>
      <c r="G17" s="60"/>
      <c r="H17" s="85">
        <f>ROUNDUP(F17*R$4,0)</f>
        <v>5345</v>
      </c>
      <c r="I17" s="60"/>
      <c r="J17" s="222">
        <f>ROUNDUP(F17*R$5,0)</f>
        <v>3243</v>
      </c>
      <c r="K17" s="60"/>
      <c r="L17" s="85">
        <f>ROUNDUP(F17*R$6,0)</f>
        <v>644</v>
      </c>
      <c r="M17" s="60"/>
      <c r="N17" s="85">
        <f>ROUNDUP(F17*R$7,0)</f>
        <v>929</v>
      </c>
      <c r="S17" s="65"/>
      <c r="T17" s="6"/>
      <c r="V17" s="6"/>
    </row>
    <row r="18" spans="2:22" x14ac:dyDescent="0.25">
      <c r="B18" t="s">
        <v>18</v>
      </c>
      <c r="F18" s="85">
        <f>'Allocation Charges'!L9</f>
        <v>0</v>
      </c>
      <c r="G18" s="60"/>
      <c r="H18" s="85">
        <f>ROUNDUP(F18*R$4,0)</f>
        <v>0</v>
      </c>
      <c r="I18" s="60"/>
      <c r="J18" s="222">
        <f>ROUNDUP(F18*R$5,0)</f>
        <v>0</v>
      </c>
      <c r="K18" s="60"/>
      <c r="L18" s="85">
        <f>ROUNDUP(F18*R$6,0)</f>
        <v>0</v>
      </c>
      <c r="M18" s="60"/>
      <c r="N18" s="85">
        <f>ROUNDUP(F18*R$7,0)</f>
        <v>0</v>
      </c>
      <c r="S18" s="66"/>
    </row>
    <row r="19" spans="2:22" x14ac:dyDescent="0.25">
      <c r="B19" t="s">
        <v>19</v>
      </c>
      <c r="F19" s="85">
        <f>'Allocation Charges'!L10</f>
        <v>64755.017536424195</v>
      </c>
      <c r="G19" s="60"/>
      <c r="H19" s="85">
        <f>ROUNDUP(F19*R$4,0)</f>
        <v>34067</v>
      </c>
      <c r="I19" s="60"/>
      <c r="J19" s="222">
        <f>ROUNDUP(F19*R$5,0)</f>
        <v>20671</v>
      </c>
      <c r="K19" s="60"/>
      <c r="L19" s="85">
        <f>ROUNDUP(F19*R$6,0)</f>
        <v>4101</v>
      </c>
      <c r="M19" s="60"/>
      <c r="N19" s="85">
        <f>ROUNDUP(F19*R$7,0)</f>
        <v>5919</v>
      </c>
    </row>
    <row r="20" spans="2:22" x14ac:dyDescent="0.25">
      <c r="B20" t="s">
        <v>20</v>
      </c>
      <c r="F20" s="6"/>
      <c r="G20" s="60"/>
      <c r="H20" s="6"/>
      <c r="I20" s="60"/>
      <c r="J20" s="120"/>
      <c r="K20" s="60"/>
      <c r="L20" s="6"/>
      <c r="M20" s="60"/>
      <c r="N20" s="6"/>
    </row>
    <row r="21" spans="2:22" x14ac:dyDescent="0.25">
      <c r="C21" t="s">
        <v>37</v>
      </c>
      <c r="F21" s="6">
        <f>'Direct Charges'!L39</f>
        <v>2383.19</v>
      </c>
      <c r="G21" s="60"/>
      <c r="H21" s="6"/>
      <c r="I21" s="60"/>
      <c r="J21" s="120"/>
      <c r="K21" s="60"/>
      <c r="L21" s="6"/>
      <c r="M21" s="60"/>
      <c r="N21" s="6"/>
      <c r="S21" s="6"/>
    </row>
    <row r="22" spans="2:22" x14ac:dyDescent="0.25">
      <c r="C22" t="s">
        <v>38</v>
      </c>
      <c r="F22" s="6">
        <f>'Allocation Charges'!L11</f>
        <v>6726.0289745772634</v>
      </c>
      <c r="G22" s="60"/>
      <c r="H22" s="6"/>
      <c r="I22" s="60"/>
      <c r="J22" s="120"/>
      <c r="K22" s="60"/>
      <c r="L22" s="6"/>
      <c r="M22" s="60"/>
      <c r="N22" s="6"/>
    </row>
    <row r="23" spans="2:22" x14ac:dyDescent="0.25">
      <c r="F23" s="224">
        <f>F22+F21</f>
        <v>9109.218974577263</v>
      </c>
      <c r="G23" s="60"/>
      <c r="H23" s="85">
        <f>ROUNDUP(F23*R$4,0)</f>
        <v>4793</v>
      </c>
      <c r="I23" s="60"/>
      <c r="J23" s="222">
        <f>ROUNDUP(F23*R$5,0)</f>
        <v>2908</v>
      </c>
      <c r="K23" s="60"/>
      <c r="L23" s="85">
        <f>ROUNDUP(F23*R$6,0)</f>
        <v>577</v>
      </c>
      <c r="M23" s="60"/>
      <c r="N23" s="85">
        <f>ROUNDUP(F23*R$7,0)</f>
        <v>833</v>
      </c>
    </row>
    <row r="24" spans="2:22" x14ac:dyDescent="0.25">
      <c r="B24" t="s">
        <v>21</v>
      </c>
      <c r="F24" s="6"/>
      <c r="G24" s="60"/>
      <c r="H24" s="6"/>
      <c r="I24" s="60"/>
      <c r="J24" s="120"/>
      <c r="K24" s="60"/>
      <c r="L24" s="6"/>
      <c r="M24" s="60"/>
      <c r="N24" s="6"/>
    </row>
    <row r="25" spans="2:22" x14ac:dyDescent="0.25">
      <c r="C25" t="s">
        <v>37</v>
      </c>
      <c r="F25" s="6">
        <f>'Direct Charges'!L45</f>
        <v>12764.66</v>
      </c>
      <c r="G25" s="60"/>
      <c r="H25" s="6"/>
      <c r="I25" s="60"/>
      <c r="J25" s="120"/>
      <c r="K25" s="60"/>
      <c r="L25" s="6"/>
      <c r="M25" s="60"/>
      <c r="N25" s="6"/>
    </row>
    <row r="26" spans="2:22" x14ac:dyDescent="0.25">
      <c r="C26" t="s">
        <v>38</v>
      </c>
      <c r="F26" s="6">
        <f>'Allocation Charges'!L12</f>
        <v>2979.1034350469904</v>
      </c>
      <c r="G26" s="60"/>
      <c r="H26" s="6"/>
      <c r="I26" s="60"/>
      <c r="J26" s="120"/>
      <c r="K26" s="60"/>
      <c r="L26" s="6"/>
      <c r="M26" s="60"/>
      <c r="N26" s="6"/>
    </row>
    <row r="27" spans="2:22" x14ac:dyDescent="0.25">
      <c r="D27" s="7" t="s">
        <v>39</v>
      </c>
      <c r="F27" s="224">
        <f>F26+F25</f>
        <v>15743.763435046991</v>
      </c>
      <c r="G27" s="60"/>
      <c r="H27" s="85">
        <f>ROUNDUP(F27*R$4,0)</f>
        <v>8283</v>
      </c>
      <c r="I27" s="60"/>
      <c r="J27" s="222">
        <f>ROUNDUP(F27*R$5,0)</f>
        <v>5026</v>
      </c>
      <c r="K27" s="60"/>
      <c r="L27" s="85">
        <f>ROUNDUP(F27*R$6,0)</f>
        <v>997</v>
      </c>
      <c r="M27" s="60"/>
      <c r="N27" s="85">
        <f>ROUNDUP(F27*R$7,0)</f>
        <v>1439</v>
      </c>
    </row>
    <row r="28" spans="2:22" x14ac:dyDescent="0.25">
      <c r="B28" t="s">
        <v>25</v>
      </c>
      <c r="F28" s="85">
        <f>'Allocation Charges'!L13</f>
        <v>13781.810065410673</v>
      </c>
      <c r="G28" s="60"/>
      <c r="H28" s="85">
        <f>ROUNDUP(F28*R$4,0)</f>
        <v>7251</v>
      </c>
      <c r="I28" s="60"/>
      <c r="J28" s="222">
        <f>ROUNDUP(F28*R$5,0)</f>
        <v>4400</v>
      </c>
      <c r="K28" s="60"/>
      <c r="L28" s="85">
        <f>ROUNDUP(F28*R$6,0)</f>
        <v>873</v>
      </c>
      <c r="M28" s="60"/>
      <c r="N28" s="85">
        <f>ROUNDUP(F28*R$7,0)</f>
        <v>1260</v>
      </c>
    </row>
    <row r="29" spans="2:22" x14ac:dyDescent="0.25">
      <c r="B29" t="s">
        <v>26</v>
      </c>
      <c r="G29" s="60"/>
    </row>
    <row r="30" spans="2:22" x14ac:dyDescent="0.25">
      <c r="C30" t="s">
        <v>37</v>
      </c>
      <c r="F30" s="6">
        <f>+'Direct Charges'!L51</f>
        <v>954.04</v>
      </c>
      <c r="G30" s="60"/>
      <c r="H30" s="6"/>
      <c r="I30" s="60"/>
      <c r="J30" s="120"/>
      <c r="K30" s="60"/>
      <c r="L30" s="6"/>
      <c r="M30" s="60"/>
      <c r="N30" s="6"/>
    </row>
    <row r="31" spans="2:22" x14ac:dyDescent="0.25">
      <c r="C31" t="s">
        <v>38</v>
      </c>
      <c r="F31" s="6">
        <f>'Allocation Charges'!L14</f>
        <v>0</v>
      </c>
      <c r="G31" s="60"/>
      <c r="H31" s="6"/>
      <c r="I31" s="60"/>
      <c r="J31" s="120"/>
      <c r="K31" s="60"/>
      <c r="L31" s="6"/>
      <c r="M31" s="60"/>
      <c r="N31" s="6"/>
    </row>
    <row r="32" spans="2:22" x14ac:dyDescent="0.25">
      <c r="D32" s="7" t="s">
        <v>39</v>
      </c>
      <c r="F32" s="224">
        <f>+F31+F30</f>
        <v>954.04</v>
      </c>
      <c r="G32" s="60"/>
      <c r="H32" s="85">
        <f>ROUNDUP(F32*R$4,0)</f>
        <v>502</v>
      </c>
      <c r="I32" s="60"/>
      <c r="J32" s="222">
        <f>ROUNDUP(F32*R$5,0)</f>
        <v>305</v>
      </c>
      <c r="K32" s="60"/>
      <c r="L32" s="85">
        <f>ROUNDUP(F32*R$6,0)</f>
        <v>61</v>
      </c>
      <c r="M32" s="60"/>
      <c r="N32" s="85">
        <f>ROUNDUP(F32*R$7,0)</f>
        <v>88</v>
      </c>
    </row>
    <row r="33" spans="1:17" x14ac:dyDescent="0.25">
      <c r="B33" t="s">
        <v>27</v>
      </c>
      <c r="F33" s="6"/>
      <c r="G33" s="60"/>
      <c r="H33" s="6"/>
      <c r="I33" s="60"/>
      <c r="J33" s="120"/>
      <c r="K33" s="60"/>
      <c r="L33" s="6"/>
      <c r="M33" s="60"/>
      <c r="N33" s="6"/>
    </row>
    <row r="34" spans="1:17" x14ac:dyDescent="0.25">
      <c r="C34" t="s">
        <v>37</v>
      </c>
      <c r="F34" s="6">
        <f>+'Direct Charges'!L57</f>
        <v>29290.74</v>
      </c>
      <c r="G34" s="60"/>
      <c r="H34" s="6"/>
      <c r="I34" s="60"/>
      <c r="J34" s="120"/>
      <c r="K34" s="60"/>
      <c r="L34" s="6"/>
      <c r="M34" s="60"/>
      <c r="N34" s="6"/>
    </row>
    <row r="35" spans="1:17" x14ac:dyDescent="0.25">
      <c r="C35" t="s">
        <v>38</v>
      </c>
      <c r="F35" s="6">
        <f>'Allocation Charges'!L15</f>
        <v>11801.922291802133</v>
      </c>
      <c r="G35" s="60"/>
      <c r="H35" s="6"/>
      <c r="I35" s="60"/>
      <c r="J35" s="120"/>
      <c r="K35" s="60"/>
      <c r="L35" s="6"/>
      <c r="M35" s="60"/>
      <c r="N35" s="6"/>
    </row>
    <row r="36" spans="1:17" x14ac:dyDescent="0.25">
      <c r="D36" s="7" t="s">
        <v>39</v>
      </c>
      <c r="F36" s="224">
        <f>F35+F34</f>
        <v>41092.662291802131</v>
      </c>
      <c r="G36" s="60"/>
      <c r="H36" s="85">
        <f>ROUNDUP(F36*R$4,0)</f>
        <v>21619</v>
      </c>
      <c r="I36" s="60"/>
      <c r="J36" s="222">
        <f>ROUNDUP(F36*R$5,0)</f>
        <v>13117</v>
      </c>
      <c r="K36" s="60"/>
      <c r="L36" s="85">
        <f>ROUNDUP(F36*R$6,0)</f>
        <v>2602</v>
      </c>
      <c r="M36" s="60"/>
      <c r="N36" s="85">
        <f>ROUNDUP(F36*R$7,0)</f>
        <v>3756</v>
      </c>
    </row>
    <row r="37" spans="1:17" x14ac:dyDescent="0.25">
      <c r="B37" t="s">
        <v>195</v>
      </c>
      <c r="F37" s="85">
        <f>'Allocation Charges'!L16</f>
        <v>2278.7600000000002</v>
      </c>
      <c r="G37" s="60"/>
      <c r="H37" s="85">
        <f>ROUNDUP(F37*R$4,0)</f>
        <v>1199</v>
      </c>
      <c r="I37" s="60"/>
      <c r="J37" s="222">
        <f>ROUNDUP(F37*R$5,0)</f>
        <v>728</v>
      </c>
      <c r="K37" s="60"/>
      <c r="L37" s="85">
        <f>ROUNDUP(F37*R$6,0)</f>
        <v>145</v>
      </c>
      <c r="M37" s="60"/>
      <c r="N37" s="85">
        <f>ROUNDUP(F37*R$7,0)</f>
        <v>209</v>
      </c>
    </row>
    <row r="38" spans="1:17" x14ac:dyDescent="0.25">
      <c r="B38" t="s">
        <v>28</v>
      </c>
      <c r="F38" s="85">
        <f>'Allocation Charges'!L17</f>
        <v>0</v>
      </c>
      <c r="G38" s="60"/>
      <c r="H38" s="85">
        <f>ROUNDUP(F38*R$4,0)</f>
        <v>0</v>
      </c>
      <c r="I38" s="60"/>
      <c r="J38" s="222">
        <f>ROUNDUP(F38*R$5,0)</f>
        <v>0</v>
      </c>
      <c r="K38" s="60"/>
      <c r="L38" s="85">
        <f>ROUNDUP(F38*R$6,0)</f>
        <v>0</v>
      </c>
      <c r="M38" s="60"/>
      <c r="N38" s="85">
        <f>ROUNDUP(F38*R$7,0)</f>
        <v>0</v>
      </c>
    </row>
    <row r="39" spans="1:17" x14ac:dyDescent="0.25">
      <c r="B39" t="s">
        <v>29</v>
      </c>
      <c r="F39" s="85">
        <f>'Allocation Charges'!L18</f>
        <v>2513.7798953017286</v>
      </c>
      <c r="G39" s="60"/>
      <c r="H39" s="85">
        <f>ROUNDUP(F39*R$4,0)</f>
        <v>1323</v>
      </c>
      <c r="I39" s="60"/>
      <c r="J39" s="222">
        <f>ROUNDUP(F39*R$5,0)</f>
        <v>803</v>
      </c>
      <c r="K39" s="60"/>
      <c r="L39" s="85">
        <f>ROUNDUP(F39*R$6,0)</f>
        <v>160</v>
      </c>
      <c r="M39" s="60"/>
      <c r="N39" s="85">
        <f>ROUNDUP(F39*R$7,0)</f>
        <v>230</v>
      </c>
    </row>
    <row r="40" spans="1:17" x14ac:dyDescent="0.25">
      <c r="B40" t="s">
        <v>30</v>
      </c>
      <c r="F40" s="85">
        <f>'Allocation Charges'!L19</f>
        <v>5076.8547294738382</v>
      </c>
      <c r="G40" s="60"/>
      <c r="H40" s="85">
        <f>ROUNDUP(F40*R$4,0)</f>
        <v>2671</v>
      </c>
      <c r="I40" s="60"/>
      <c r="J40" s="222">
        <f>ROUNDUP(F40*R$5,0)</f>
        <v>1621</v>
      </c>
      <c r="K40" s="60"/>
      <c r="L40" s="85">
        <f>ROUNDUP(F40*R$6,0)</f>
        <v>322</v>
      </c>
      <c r="M40" s="60"/>
      <c r="N40" s="85">
        <f>ROUNDUP(F40*R$7,0)</f>
        <v>464</v>
      </c>
    </row>
    <row r="41" spans="1:17" x14ac:dyDescent="0.25">
      <c r="F41" s="6"/>
      <c r="G41" s="60"/>
      <c r="H41" s="6"/>
      <c r="I41" s="60"/>
      <c r="J41" s="120"/>
      <c r="K41" s="60"/>
      <c r="L41" s="6"/>
      <c r="M41" s="60"/>
      <c r="N41" s="6"/>
      <c r="Q41" s="6"/>
    </row>
    <row r="42" spans="1:17" x14ac:dyDescent="0.25">
      <c r="F42" s="219">
        <f>F6+F7+F8+F9+F13+F17+F18+F19+F23+F27+F28+F32++F37+F38+F39+F40+F36</f>
        <v>278053.36364658369</v>
      </c>
      <c r="G42" s="60"/>
      <c r="H42" s="219">
        <f>SUM(H6:H41)</f>
        <v>141639</v>
      </c>
      <c r="I42" s="60"/>
      <c r="J42" s="219">
        <f>SUM(J6:J41)</f>
        <v>85941</v>
      </c>
      <c r="K42" s="60"/>
      <c r="L42" s="219">
        <f>SUM(L6:L41)</f>
        <v>25887</v>
      </c>
      <c r="M42" s="60"/>
      <c r="N42" s="219">
        <f>SUM(N6:N41)</f>
        <v>24611</v>
      </c>
    </row>
    <row r="43" spans="1:17" x14ac:dyDescent="0.25">
      <c r="F43" s="6"/>
      <c r="G43" s="6"/>
      <c r="H43" s="6"/>
      <c r="I43" s="6"/>
      <c r="J43" s="120"/>
      <c r="K43" s="6"/>
      <c r="L43" s="6"/>
      <c r="M43" s="6"/>
      <c r="N43" s="6"/>
    </row>
    <row r="44" spans="1:17" x14ac:dyDescent="0.25">
      <c r="A44" s="16" t="s">
        <v>99</v>
      </c>
      <c r="F44" s="6"/>
      <c r="G44" s="6"/>
      <c r="H44" s="6"/>
      <c r="I44" s="6"/>
      <c r="J44" s="120"/>
      <c r="K44" s="6"/>
      <c r="L44" s="6"/>
      <c r="M44" s="6"/>
      <c r="N44" s="6"/>
    </row>
    <row r="45" spans="1:17" x14ac:dyDescent="0.25">
      <c r="F45" s="6"/>
      <c r="G45" s="6"/>
      <c r="H45" s="6"/>
      <c r="I45" s="6"/>
      <c r="J45" s="120"/>
      <c r="K45" s="6"/>
      <c r="L45" s="6"/>
      <c r="M45" s="6"/>
      <c r="N45" s="6"/>
    </row>
    <row r="46" spans="1:17" x14ac:dyDescent="0.25">
      <c r="B46" t="s">
        <v>100</v>
      </c>
      <c r="F46" s="85">
        <f>'Allocation Charges'!L27</f>
        <v>12280.300016212957</v>
      </c>
      <c r="G46" s="8"/>
      <c r="H46" s="85">
        <f t="shared" ref="H46:H51" si="0">ROUNDUP(F46*R$4,0)</f>
        <v>6461</v>
      </c>
      <c r="I46" s="8"/>
      <c r="J46" s="222">
        <f t="shared" ref="J46:J51" si="1">ROUNDUP(F46*R$5,0)</f>
        <v>3920</v>
      </c>
      <c r="K46" s="8"/>
      <c r="L46" s="85">
        <f t="shared" ref="L46:L51" si="2">ROUNDUP(F46*R$6,0)</f>
        <v>778</v>
      </c>
      <c r="M46" s="8"/>
      <c r="N46" s="85">
        <f t="shared" ref="N46:N51" si="3">ROUNDUP(F46*R$7,0)</f>
        <v>1123</v>
      </c>
    </row>
    <row r="47" spans="1:17" x14ac:dyDescent="0.25">
      <c r="B47" t="s">
        <v>101</v>
      </c>
      <c r="F47" s="85">
        <f>'Allocation Charges'!L28</f>
        <v>3809.8438069611948</v>
      </c>
      <c r="G47" s="8"/>
      <c r="H47" s="85">
        <f t="shared" si="0"/>
        <v>2005</v>
      </c>
      <c r="I47" s="8"/>
      <c r="J47" s="222">
        <f t="shared" si="1"/>
        <v>1217</v>
      </c>
      <c r="K47" s="8"/>
      <c r="L47" s="85">
        <f t="shared" si="2"/>
        <v>242</v>
      </c>
      <c r="M47" s="8"/>
      <c r="N47" s="85">
        <f t="shared" si="3"/>
        <v>349</v>
      </c>
    </row>
    <row r="48" spans="1:17" x14ac:dyDescent="0.25">
      <c r="B48" t="s">
        <v>102</v>
      </c>
      <c r="F48" s="85">
        <f>'Allocation Charges'!L29</f>
        <v>6068.4482788404703</v>
      </c>
      <c r="G48" s="8"/>
      <c r="H48" s="85">
        <f t="shared" si="0"/>
        <v>3193</v>
      </c>
      <c r="I48" s="8"/>
      <c r="J48" s="222">
        <f t="shared" si="1"/>
        <v>1938</v>
      </c>
      <c r="K48" s="8"/>
      <c r="L48" s="85">
        <f t="shared" si="2"/>
        <v>385</v>
      </c>
      <c r="M48" s="8"/>
      <c r="N48" s="85">
        <f t="shared" si="3"/>
        <v>555</v>
      </c>
    </row>
    <row r="49" spans="1:14" x14ac:dyDescent="0.25">
      <c r="B49" t="s">
        <v>103</v>
      </c>
      <c r="F49" s="85">
        <f>'Allocation Charges'!L30</f>
        <v>3688.502418972565</v>
      </c>
      <c r="G49" s="8"/>
      <c r="H49" s="85">
        <f t="shared" si="0"/>
        <v>1941</v>
      </c>
      <c r="I49" s="8"/>
      <c r="J49" s="222">
        <f t="shared" si="1"/>
        <v>1178</v>
      </c>
      <c r="K49" s="8"/>
      <c r="L49" s="85">
        <f t="shared" si="2"/>
        <v>234</v>
      </c>
      <c r="M49" s="8"/>
      <c r="N49" s="85">
        <f t="shared" si="3"/>
        <v>338</v>
      </c>
    </row>
    <row r="50" spans="1:14" x14ac:dyDescent="0.25">
      <c r="B50" t="s">
        <v>104</v>
      </c>
      <c r="F50" s="85">
        <f>'Allocation Charges'!L31</f>
        <v>3503.7325781716963</v>
      </c>
      <c r="G50" s="8"/>
      <c r="H50" s="85">
        <f t="shared" si="0"/>
        <v>1844</v>
      </c>
      <c r="I50" s="8"/>
      <c r="J50" s="222">
        <f t="shared" si="1"/>
        <v>1119</v>
      </c>
      <c r="K50" s="8"/>
      <c r="L50" s="85">
        <f t="shared" si="2"/>
        <v>222</v>
      </c>
      <c r="M50" s="8"/>
      <c r="N50" s="85">
        <f t="shared" si="3"/>
        <v>321</v>
      </c>
    </row>
    <row r="51" spans="1:14" x14ac:dyDescent="0.25">
      <c r="B51" t="s">
        <v>105</v>
      </c>
      <c r="F51" s="85">
        <f>'Allocation Charges'!L32</f>
        <v>11144.792822932992</v>
      </c>
      <c r="G51" s="8"/>
      <c r="H51" s="85">
        <f t="shared" si="0"/>
        <v>5864</v>
      </c>
      <c r="I51" s="8"/>
      <c r="J51" s="222">
        <f t="shared" si="1"/>
        <v>3558</v>
      </c>
      <c r="K51" s="8"/>
      <c r="L51" s="85">
        <f t="shared" si="2"/>
        <v>706</v>
      </c>
      <c r="M51" s="8"/>
      <c r="N51" s="85">
        <f t="shared" si="3"/>
        <v>1019</v>
      </c>
    </row>
    <row r="52" spans="1:14" x14ac:dyDescent="0.25">
      <c r="F52" s="6"/>
      <c r="G52" s="8"/>
      <c r="H52" s="6"/>
      <c r="I52" s="8"/>
      <c r="J52" s="120"/>
      <c r="K52" s="8"/>
      <c r="L52" s="6"/>
      <c r="M52" s="8"/>
      <c r="N52" s="6"/>
    </row>
    <row r="53" spans="1:14" x14ac:dyDescent="0.25">
      <c r="F53" s="219">
        <f>SUM(F46:F51)</f>
        <v>40495.619922091879</v>
      </c>
      <c r="G53" s="8"/>
      <c r="H53" s="219">
        <f>SUM(H46:H51)</f>
        <v>21308</v>
      </c>
      <c r="I53" s="8"/>
      <c r="J53" s="220">
        <f>SUM(J46:J51)</f>
        <v>12930</v>
      </c>
      <c r="K53" s="8"/>
      <c r="L53" s="219">
        <f>SUM(L46:L51)</f>
        <v>2567</v>
      </c>
      <c r="M53" s="8"/>
      <c r="N53" s="219">
        <f>SUM(N46:N51)</f>
        <v>3705</v>
      </c>
    </row>
    <row r="54" spans="1:14" x14ac:dyDescent="0.25">
      <c r="F54" s="6"/>
      <c r="H54" s="6"/>
      <c r="J54" s="120"/>
    </row>
    <row r="55" spans="1:14" x14ac:dyDescent="0.25">
      <c r="A55" s="16" t="s">
        <v>83</v>
      </c>
      <c r="F55" s="20"/>
      <c r="G55" s="16"/>
      <c r="H55" s="20"/>
      <c r="I55" s="16"/>
      <c r="J55" s="221"/>
      <c r="K55" s="16"/>
      <c r="L55" s="20"/>
      <c r="M55" s="16"/>
      <c r="N55" s="20"/>
    </row>
    <row r="56" spans="1:14" x14ac:dyDescent="0.25">
      <c r="A56" s="16"/>
      <c r="F56" s="20"/>
      <c r="G56" s="16"/>
      <c r="H56" s="20"/>
      <c r="I56" s="16"/>
      <c r="J56" s="221"/>
      <c r="K56" s="16"/>
      <c r="L56" s="20"/>
      <c r="M56" s="16"/>
      <c r="N56" s="20"/>
    </row>
    <row r="57" spans="1:14" x14ac:dyDescent="0.25">
      <c r="A57" s="16"/>
      <c r="B57" t="s">
        <v>106</v>
      </c>
      <c r="F57" s="85">
        <f>SUM(H57:N57)</f>
        <v>11904</v>
      </c>
      <c r="G57" s="8"/>
      <c r="H57" s="85">
        <v>0</v>
      </c>
      <c r="I57" s="8"/>
      <c r="J57" s="222">
        <f>ROUNDUP('Commodity OK'!F24+'Commodity OK'!F25+'Commodity OK'!F26,0)</f>
        <v>11904</v>
      </c>
      <c r="K57" s="8"/>
      <c r="L57" s="79">
        <v>0</v>
      </c>
      <c r="M57" s="8"/>
      <c r="N57" s="79">
        <v>0</v>
      </c>
    </row>
    <row r="58" spans="1:14" x14ac:dyDescent="0.25">
      <c r="A58" s="16"/>
      <c r="B58" t="s">
        <v>107</v>
      </c>
      <c r="F58" s="85">
        <f>SUM(H58:N58)</f>
        <v>257000</v>
      </c>
      <c r="G58" s="120"/>
      <c r="H58" s="85">
        <f>ROUNDUP('Commodity OK'!Q6-H59,0)</f>
        <v>120549</v>
      </c>
      <c r="I58" s="120"/>
      <c r="J58" s="222">
        <f>ROUNDUP('Commodity OK'!Q8-J59-J57,0)</f>
        <v>98948</v>
      </c>
      <c r="K58" s="120"/>
      <c r="L58" s="222">
        <f>ROUNDUP('Commodity OK'!Q7-L59,0)</f>
        <v>4325</v>
      </c>
      <c r="M58" s="120"/>
      <c r="N58" s="222">
        <f>ROUNDUP('Commodity OK'!Q9-N59-N60,0)</f>
        <v>33178</v>
      </c>
    </row>
    <row r="59" spans="1:14" x14ac:dyDescent="0.25">
      <c r="A59" s="16"/>
      <c r="B59" t="s">
        <v>108</v>
      </c>
      <c r="F59" s="85">
        <f>SUM(H59:N59)</f>
        <v>18628</v>
      </c>
      <c r="G59" s="120"/>
      <c r="H59" s="85">
        <f>ROUNDUP(('Commodity OK'!F43-'Commodity OK'!F40)*'Commodity OK'!O6,0)</f>
        <v>8349</v>
      </c>
      <c r="I59" s="120"/>
      <c r="J59" s="222">
        <f>ROUNDUP(('Commodity OK'!F43-'Commodity OK'!F40)*'Commodity OK'!O8,0)</f>
        <v>7677</v>
      </c>
      <c r="K59" s="120"/>
      <c r="L59" s="222">
        <f>ROUNDUP(('Commodity OK'!F43-'Commodity OK'!F40)*'Commodity OK'!O7,0)</f>
        <v>300</v>
      </c>
      <c r="M59" s="120"/>
      <c r="N59" s="222">
        <f>ROUNDUP(('Commodity OK'!F43-'Commodity OK'!F40)*'Commodity OK'!O9,0)</f>
        <v>2302</v>
      </c>
    </row>
    <row r="60" spans="1:14" x14ac:dyDescent="0.25">
      <c r="A60" s="16"/>
      <c r="B60" t="s">
        <v>113</v>
      </c>
      <c r="F60" s="85">
        <f>SUM(H60:N60)</f>
        <v>54</v>
      </c>
      <c r="G60" s="120"/>
      <c r="H60" s="85">
        <v>0</v>
      </c>
      <c r="I60" s="120"/>
      <c r="J60" s="222">
        <v>0</v>
      </c>
      <c r="K60" s="120"/>
      <c r="L60" s="222">
        <v>0</v>
      </c>
      <c r="M60" s="120"/>
      <c r="N60" s="222">
        <f>ROUNDUP('Commodity OK'!F40,0)</f>
        <v>54</v>
      </c>
    </row>
    <row r="61" spans="1:14" x14ac:dyDescent="0.25">
      <c r="A61" s="16"/>
      <c r="F61" s="20"/>
      <c r="G61" s="23"/>
      <c r="H61" s="20"/>
      <c r="I61" s="23"/>
      <c r="J61" s="221"/>
      <c r="K61" s="23"/>
      <c r="L61" s="23"/>
      <c r="M61" s="23"/>
      <c r="N61" s="23"/>
    </row>
    <row r="62" spans="1:14" x14ac:dyDescent="0.25">
      <c r="A62" s="16"/>
      <c r="F62" s="219">
        <f>SUM(F57:F60)</f>
        <v>287586</v>
      </c>
      <c r="G62" s="221"/>
      <c r="H62" s="219">
        <f>SUM(H57:H60)</f>
        <v>128898</v>
      </c>
      <c r="I62" s="221"/>
      <c r="J62" s="219">
        <f>SUM(J57:J60)</f>
        <v>118529</v>
      </c>
      <c r="K62" s="221"/>
      <c r="L62" s="219">
        <f>SUM(L57:L60)</f>
        <v>4625</v>
      </c>
      <c r="M62" s="221"/>
      <c r="N62" s="220">
        <f>SUM(N57:N60)</f>
        <v>35534</v>
      </c>
    </row>
    <row r="63" spans="1:14" ht="7.5" customHeight="1" x14ac:dyDescent="0.25">
      <c r="A63" s="16"/>
      <c r="F63" s="20"/>
      <c r="G63" s="23"/>
      <c r="H63" s="20"/>
      <c r="I63" s="23"/>
      <c r="J63" s="221"/>
      <c r="K63" s="23"/>
      <c r="L63" s="23"/>
      <c r="M63" s="23"/>
      <c r="N63" s="23"/>
    </row>
    <row r="64" spans="1:14" x14ac:dyDescent="0.25">
      <c r="A64" s="34"/>
      <c r="B64" s="35"/>
      <c r="C64" s="35"/>
      <c r="D64" s="35"/>
      <c r="E64" s="35"/>
      <c r="F64" s="223"/>
      <c r="G64" s="58"/>
      <c r="H64" s="223"/>
      <c r="I64" s="58"/>
      <c r="J64" s="225"/>
      <c r="K64" s="58"/>
      <c r="L64" s="58"/>
      <c r="M64" s="58"/>
      <c r="N64" s="58"/>
    </row>
    <row r="65" spans="4:14" x14ac:dyDescent="0.25">
      <c r="F65" s="6"/>
      <c r="G65" s="8"/>
      <c r="H65" s="6"/>
      <c r="I65" s="8"/>
      <c r="J65" s="120"/>
      <c r="K65" s="8"/>
      <c r="L65" s="8"/>
      <c r="M65" s="8"/>
      <c r="N65" s="8"/>
    </row>
    <row r="66" spans="4:14" x14ac:dyDescent="0.25">
      <c r="D66" s="15" t="s">
        <v>56</v>
      </c>
      <c r="F66" s="219">
        <f>F53+F42+F62</f>
        <v>606134.98356867558</v>
      </c>
      <c r="G66" s="120"/>
      <c r="H66" s="219">
        <f>H53+H42+H62</f>
        <v>291845</v>
      </c>
      <c r="I66" s="120"/>
      <c r="J66" s="220">
        <f>J53+J42+J62</f>
        <v>217400</v>
      </c>
      <c r="K66" s="120"/>
      <c r="L66" s="220">
        <f>L53+L42+L62</f>
        <v>33079</v>
      </c>
      <c r="M66" s="120"/>
      <c r="N66" s="220">
        <f>N53+N42+N62</f>
        <v>63850</v>
      </c>
    </row>
    <row r="68" spans="4:14" x14ac:dyDescent="0.25">
      <c r="F68" s="6">
        <f>SUM(H66:N66)</f>
        <v>606174</v>
      </c>
      <c r="H68" s="102"/>
      <c r="J68" s="102"/>
      <c r="N68" s="8"/>
    </row>
    <row r="69" spans="4:14" x14ac:dyDescent="0.25">
      <c r="H69" s="6"/>
      <c r="J69" s="6"/>
    </row>
  </sheetData>
  <pageMargins left="0.25" right="0.25" top="0.75" bottom="0.75" header="0.3" footer="0.3"/>
  <pageSetup scale="66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X69"/>
  <sheetViews>
    <sheetView topLeftCell="A15" zoomScaleNormal="100" workbookViewId="0">
      <selection activeCell="F25" sqref="F25"/>
    </sheetView>
  </sheetViews>
  <sheetFormatPr defaultRowHeight="15" x14ac:dyDescent="0.25"/>
  <cols>
    <col min="1" max="2" width="1.42578125" customWidth="1"/>
    <col min="3" max="3" width="24.7109375" customWidth="1"/>
    <col min="4" max="4" width="12.85546875" customWidth="1"/>
    <col min="5" max="5" width="1.42578125" customWidth="1"/>
    <col min="6" max="6" width="19.28515625" style="6" customWidth="1"/>
    <col min="7" max="7" width="1.42578125" style="6" customWidth="1"/>
    <col min="8" max="8" width="16.28515625" style="6" customWidth="1"/>
    <col min="9" max="9" width="1.42578125" style="6" customWidth="1"/>
    <col min="10" max="10" width="42.7109375" customWidth="1"/>
    <col min="11" max="11" width="10.5703125" customWidth="1"/>
    <col min="12" max="12" width="1.42578125" customWidth="1"/>
    <col min="13" max="13" width="11.85546875" customWidth="1"/>
    <col min="14" max="14" width="1.42578125" customWidth="1"/>
    <col min="15" max="15" width="10.5703125" customWidth="1"/>
    <col min="16" max="16" width="1.42578125" customWidth="1"/>
    <col min="17" max="17" width="16.140625" customWidth="1"/>
    <col min="18" max="18" width="1.42578125" customWidth="1"/>
    <col min="19" max="19" width="12.7109375" customWidth="1"/>
    <col min="20" max="20" width="1.42578125" customWidth="1"/>
    <col min="22" max="22" width="9.85546875" bestFit="1" customWidth="1"/>
    <col min="23" max="24" width="10.5703125" customWidth="1"/>
  </cols>
  <sheetData>
    <row r="2" spans="2:21" ht="17.25" x14ac:dyDescent="0.4">
      <c r="B2" s="16" t="s">
        <v>62</v>
      </c>
      <c r="F2" s="96" t="s">
        <v>274</v>
      </c>
      <c r="G2" s="97"/>
      <c r="H2" s="97" t="s">
        <v>275</v>
      </c>
      <c r="I2" s="99"/>
      <c r="J2" s="54"/>
    </row>
    <row r="3" spans="2:21" x14ac:dyDescent="0.25">
      <c r="M3" s="101" t="s">
        <v>276</v>
      </c>
    </row>
    <row r="4" spans="2:21" x14ac:dyDescent="0.25">
      <c r="C4" s="16" t="s">
        <v>71</v>
      </c>
      <c r="D4" s="26" t="s">
        <v>74</v>
      </c>
      <c r="E4" s="26"/>
      <c r="F4" s="29" t="s">
        <v>72</v>
      </c>
      <c r="G4" s="29"/>
      <c r="H4" s="29" t="s">
        <v>73</v>
      </c>
      <c r="I4" s="29"/>
      <c r="J4" s="19" t="s">
        <v>140</v>
      </c>
      <c r="K4" s="19" t="s">
        <v>77</v>
      </c>
      <c r="L4" s="19"/>
      <c r="M4" s="159" t="s">
        <v>277</v>
      </c>
      <c r="N4" s="19"/>
      <c r="O4" s="19" t="s">
        <v>78</v>
      </c>
      <c r="P4" s="19"/>
      <c r="Q4" s="19" t="s">
        <v>79</v>
      </c>
      <c r="R4" s="19"/>
      <c r="S4" s="176" t="s">
        <v>278</v>
      </c>
    </row>
    <row r="5" spans="2:21" x14ac:dyDescent="0.25">
      <c r="M5" s="19" t="s">
        <v>130</v>
      </c>
      <c r="S5" s="19" t="s">
        <v>130</v>
      </c>
    </row>
    <row r="6" spans="2:21" x14ac:dyDescent="0.25">
      <c r="C6" s="127" t="s">
        <v>264</v>
      </c>
      <c r="D6" s="88">
        <v>329</v>
      </c>
      <c r="E6" s="27"/>
      <c r="F6" s="214">
        <v>62.51</v>
      </c>
      <c r="H6" s="6">
        <f t="shared" ref="H6:H16" si="0">F6/D6</f>
        <v>0.19</v>
      </c>
      <c r="K6" t="s">
        <v>33</v>
      </c>
      <c r="M6" s="132">
        <v>372010</v>
      </c>
      <c r="O6" s="25">
        <f>+M6/$M$11</f>
        <v>0.44820805933536867</v>
      </c>
      <c r="Q6" s="6">
        <f>O6*F45</f>
        <v>128897.19312898644</v>
      </c>
      <c r="S6" s="132">
        <v>685915</v>
      </c>
      <c r="U6" s="110" t="s">
        <v>152</v>
      </c>
    </row>
    <row r="7" spans="2:21" x14ac:dyDescent="0.25">
      <c r="C7" s="127" t="s">
        <v>141</v>
      </c>
      <c r="D7" s="88">
        <v>7946</v>
      </c>
      <c r="E7" s="27"/>
      <c r="F7" s="214">
        <v>3449.4</v>
      </c>
      <c r="H7" s="6">
        <f t="shared" si="0"/>
        <v>0.43410521016863834</v>
      </c>
      <c r="K7" t="s">
        <v>81</v>
      </c>
      <c r="M7" s="132">
        <v>13348</v>
      </c>
      <c r="O7" s="25">
        <f t="shared" ref="O7:O9" si="1">+M7/$M$11</f>
        <v>1.6082043966582891E-2</v>
      </c>
      <c r="Q7" s="6">
        <f>O7*F45</f>
        <v>4624.9287220389533</v>
      </c>
      <c r="S7" s="132">
        <v>25508</v>
      </c>
    </row>
    <row r="8" spans="2:21" x14ac:dyDescent="0.25">
      <c r="C8" s="127" t="s">
        <v>164</v>
      </c>
      <c r="D8" s="88">
        <f>2140-832</f>
        <v>1308</v>
      </c>
      <c r="E8" s="27"/>
      <c r="F8" s="214">
        <f>525.57+1345.84</f>
        <v>1871.4099999999999</v>
      </c>
      <c r="H8" s="6">
        <f t="shared" si="0"/>
        <v>1.4307415902140672</v>
      </c>
      <c r="K8" t="s">
        <v>82</v>
      </c>
      <c r="M8" s="132">
        <v>342084</v>
      </c>
      <c r="O8" s="25">
        <f t="shared" si="1"/>
        <v>0.41215237700513496</v>
      </c>
      <c r="Q8" s="6">
        <f>O8*F45</f>
        <v>118528.17777569474</v>
      </c>
      <c r="S8" s="132">
        <v>658454</v>
      </c>
    </row>
    <row r="9" spans="2:21" x14ac:dyDescent="0.25">
      <c r="C9" s="127" t="s">
        <v>63</v>
      </c>
      <c r="D9" s="88">
        <v>30014</v>
      </c>
      <c r="E9" s="27"/>
      <c r="F9" s="214">
        <v>20371.11</v>
      </c>
      <c r="H9" s="6">
        <f t="shared" si="0"/>
        <v>0.67872026387685747</v>
      </c>
      <c r="K9" t="s">
        <v>109</v>
      </c>
      <c r="M9" s="132">
        <v>102552</v>
      </c>
      <c r="O9" s="25">
        <f t="shared" si="1"/>
        <v>0.12355751969291344</v>
      </c>
      <c r="Q9" s="6">
        <f>O9*F45</f>
        <v>35533.090373279803</v>
      </c>
      <c r="S9" s="132">
        <v>122670</v>
      </c>
    </row>
    <row r="10" spans="2:21" x14ac:dyDescent="0.25">
      <c r="C10" s="127" t="s">
        <v>64</v>
      </c>
      <c r="D10" s="88">
        <v>424</v>
      </c>
      <c r="E10" s="27"/>
      <c r="F10" s="214">
        <v>339.59</v>
      </c>
      <c r="H10" s="6">
        <f t="shared" si="0"/>
        <v>0.80091981132075463</v>
      </c>
    </row>
    <row r="11" spans="2:21" x14ac:dyDescent="0.25">
      <c r="C11" s="127" t="s">
        <v>65</v>
      </c>
      <c r="D11" s="88">
        <v>147</v>
      </c>
      <c r="E11" s="27"/>
      <c r="F11" s="214">
        <v>203.19</v>
      </c>
      <c r="H11" s="6">
        <f t="shared" si="0"/>
        <v>1.3822448979591837</v>
      </c>
      <c r="M11" s="28">
        <f>SUM(M6:M10)</f>
        <v>829994</v>
      </c>
      <c r="N11" s="32"/>
      <c r="O11" s="33">
        <f>SUM(O6:O9)</f>
        <v>0.99999999999999989</v>
      </c>
      <c r="P11" s="32"/>
      <c r="Q11" s="30">
        <f>SUM(Q6:Q9)</f>
        <v>287583.38999999996</v>
      </c>
      <c r="R11" s="32"/>
      <c r="S11" s="28">
        <f>SUM(S6:S10)</f>
        <v>1492547</v>
      </c>
    </row>
    <row r="12" spans="2:21" x14ac:dyDescent="0.25">
      <c r="C12" s="127" t="s">
        <v>66</v>
      </c>
      <c r="D12" s="88">
        <v>30</v>
      </c>
      <c r="E12" s="27"/>
      <c r="F12" s="214">
        <v>131.88999999999999</v>
      </c>
      <c r="H12" s="6">
        <f t="shared" si="0"/>
        <v>4.3963333333333328</v>
      </c>
      <c r="K12" s="217"/>
    </row>
    <row r="13" spans="2:21" x14ac:dyDescent="0.25">
      <c r="C13" s="127" t="s">
        <v>67</v>
      </c>
      <c r="D13" s="88">
        <v>1162</v>
      </c>
      <c r="E13" s="27"/>
      <c r="F13" s="214">
        <v>926.11</v>
      </c>
      <c r="H13" s="6">
        <f t="shared" si="0"/>
        <v>0.79699655765920829</v>
      </c>
      <c r="M13" t="s">
        <v>197</v>
      </c>
      <c r="Q13" s="6"/>
    </row>
    <row r="14" spans="2:21" x14ac:dyDescent="0.25">
      <c r="C14" s="127" t="s">
        <v>68</v>
      </c>
      <c r="D14" s="88">
        <v>2487</v>
      </c>
      <c r="E14" s="27"/>
      <c r="F14" s="214">
        <v>2074.6799999999998</v>
      </c>
      <c r="H14" s="6">
        <f t="shared" si="0"/>
        <v>0.83420989143546431</v>
      </c>
      <c r="O14" t="s">
        <v>206</v>
      </c>
    </row>
    <row r="15" spans="2:21" x14ac:dyDescent="0.25">
      <c r="C15" s="127" t="s">
        <v>69</v>
      </c>
      <c r="D15" s="88">
        <v>416</v>
      </c>
      <c r="E15" s="27"/>
      <c r="F15" s="214">
        <v>260.33</v>
      </c>
      <c r="H15" s="6">
        <f t="shared" si="0"/>
        <v>0.62579326923076917</v>
      </c>
      <c r="O15" s="7" t="s">
        <v>202</v>
      </c>
      <c r="Q15" s="134">
        <f>546991.53-1000</f>
        <v>545991.53</v>
      </c>
      <c r="S15" t="s">
        <v>213</v>
      </c>
    </row>
    <row r="16" spans="2:21" x14ac:dyDescent="0.25">
      <c r="C16" s="127" t="s">
        <v>70</v>
      </c>
      <c r="D16" s="88">
        <v>2939</v>
      </c>
      <c r="E16" s="27"/>
      <c r="F16" s="214">
        <v>1739.35</v>
      </c>
      <c r="H16" s="6">
        <f t="shared" si="0"/>
        <v>0.59181694453895883</v>
      </c>
      <c r="O16" s="7" t="s">
        <v>204</v>
      </c>
      <c r="Q16" s="102">
        <v>6213.76</v>
      </c>
      <c r="S16" t="s">
        <v>213</v>
      </c>
    </row>
    <row r="17" spans="3:24" x14ac:dyDescent="0.25">
      <c r="C17" s="127" t="s">
        <v>175</v>
      </c>
      <c r="D17" s="88">
        <v>85</v>
      </c>
      <c r="E17" s="27"/>
      <c r="F17" s="214">
        <f>494.7+68.06</f>
        <v>562.76</v>
      </c>
      <c r="H17" s="6">
        <f>F17/D17</f>
        <v>6.620705882352941</v>
      </c>
      <c r="J17" s="6"/>
      <c r="O17" s="7" t="s">
        <v>205</v>
      </c>
      <c r="Q17" s="102">
        <v>8511.66</v>
      </c>
      <c r="S17" t="s">
        <v>213</v>
      </c>
    </row>
    <row r="18" spans="3:24" ht="15.75" thickBot="1" x14ac:dyDescent="0.3">
      <c r="C18" s="16" t="s">
        <v>162</v>
      </c>
      <c r="D18" s="28">
        <f>SUM(D6:D17)</f>
        <v>47287</v>
      </c>
      <c r="E18" s="31"/>
      <c r="F18" s="30">
        <f>SUM(F6:F17)</f>
        <v>31992.329999999998</v>
      </c>
      <c r="G18" s="20"/>
      <c r="H18" s="6">
        <f>F18/D18</f>
        <v>0.6765565588851058</v>
      </c>
      <c r="I18" s="20"/>
      <c r="J18" s="6"/>
      <c r="M18" s="6"/>
      <c r="O18" s="6" t="s">
        <v>145</v>
      </c>
      <c r="Q18" s="104">
        <f>SUM(Q15:Q17)</f>
        <v>560716.95000000007</v>
      </c>
      <c r="S18" t="s">
        <v>214</v>
      </c>
    </row>
    <row r="19" spans="3:24" ht="15.75" thickTop="1" x14ac:dyDescent="0.25">
      <c r="K19" s="6"/>
      <c r="M19" s="6"/>
      <c r="O19" s="6" t="s">
        <v>203</v>
      </c>
      <c r="Q19" s="6">
        <f>+F42</f>
        <v>9457.4</v>
      </c>
      <c r="S19" t="s">
        <v>214</v>
      </c>
      <c r="W19" s="6"/>
    </row>
    <row r="20" spans="3:24" x14ac:dyDescent="0.25">
      <c r="O20" s="6" t="s">
        <v>50</v>
      </c>
      <c r="Q20" s="173">
        <f>+Q18+Q19</f>
        <v>570174.35000000009</v>
      </c>
      <c r="S20" t="s">
        <v>214</v>
      </c>
    </row>
    <row r="21" spans="3:24" x14ac:dyDescent="0.25">
      <c r="C21" s="16" t="s">
        <v>76</v>
      </c>
      <c r="D21" s="26" t="s">
        <v>74</v>
      </c>
      <c r="E21" s="26"/>
      <c r="F21" s="29" t="s">
        <v>72</v>
      </c>
      <c r="G21" s="29"/>
      <c r="H21" s="29" t="s">
        <v>73</v>
      </c>
      <c r="I21" s="29"/>
      <c r="Q21" s="6">
        <f>+Q20-Q11</f>
        <v>282590.96000000014</v>
      </c>
      <c r="S21" t="s">
        <v>214</v>
      </c>
    </row>
    <row r="22" spans="3:24" x14ac:dyDescent="0.25">
      <c r="Q22" s="6"/>
      <c r="X22" s="6"/>
    </row>
    <row r="23" spans="3:24" x14ac:dyDescent="0.25">
      <c r="C23" s="127" t="s">
        <v>207</v>
      </c>
      <c r="D23" s="88">
        <v>329</v>
      </c>
      <c r="F23" s="214">
        <v>1646.18</v>
      </c>
      <c r="H23" s="6">
        <f t="shared" ref="H23:H36" si="2">F23/D23</f>
        <v>5.0035866261398176</v>
      </c>
      <c r="Q23" s="6"/>
    </row>
    <row r="24" spans="3:24" x14ac:dyDescent="0.25">
      <c r="C24" t="s">
        <v>160</v>
      </c>
      <c r="D24" s="88"/>
      <c r="F24" s="63"/>
      <c r="H24" t="e">
        <f>F24/D24</f>
        <v>#DIV/0!</v>
      </c>
      <c r="J24" t="s">
        <v>139</v>
      </c>
      <c r="Q24" s="6"/>
    </row>
    <row r="25" spans="3:24" x14ac:dyDescent="0.25">
      <c r="C25" t="s">
        <v>273</v>
      </c>
      <c r="D25" s="88">
        <v>4379</v>
      </c>
      <c r="F25" s="63">
        <v>11903.71</v>
      </c>
      <c r="H25" s="6">
        <f t="shared" si="2"/>
        <v>2.7183626398721166</v>
      </c>
      <c r="Q25" s="6"/>
    </row>
    <row r="26" spans="3:24" x14ac:dyDescent="0.25">
      <c r="C26" t="s">
        <v>238</v>
      </c>
      <c r="D26" s="88"/>
      <c r="F26" s="63"/>
      <c r="H26" s="6" t="e">
        <f t="shared" si="2"/>
        <v>#DIV/0!</v>
      </c>
      <c r="J26" t="s">
        <v>138</v>
      </c>
      <c r="S26" s="6"/>
    </row>
    <row r="27" spans="3:24" x14ac:dyDescent="0.25">
      <c r="C27" s="127" t="s">
        <v>174</v>
      </c>
      <c r="D27" s="88">
        <v>4964</v>
      </c>
      <c r="F27" s="214">
        <v>15843.11</v>
      </c>
      <c r="H27" s="6">
        <f t="shared" si="2"/>
        <v>3.1916015310233683</v>
      </c>
      <c r="S27" s="6"/>
    </row>
    <row r="28" spans="3:24" x14ac:dyDescent="0.25">
      <c r="C28" s="127" t="s">
        <v>258</v>
      </c>
      <c r="D28" s="88">
        <v>5974</v>
      </c>
      <c r="F28" s="214">
        <v>21789.62</v>
      </c>
      <c r="H28" s="6">
        <f t="shared" si="2"/>
        <v>3.6474087713424841</v>
      </c>
      <c r="S28" s="6"/>
    </row>
    <row r="29" spans="3:24" x14ac:dyDescent="0.25">
      <c r="C29" s="127" t="s">
        <v>259</v>
      </c>
      <c r="D29" s="88">
        <v>2169</v>
      </c>
      <c r="F29" s="214">
        <v>9431.68</v>
      </c>
      <c r="H29" s="6">
        <f t="shared" si="2"/>
        <v>4.3484001844167821</v>
      </c>
      <c r="S29" s="6"/>
    </row>
    <row r="30" spans="3:24" x14ac:dyDescent="0.25">
      <c r="C30" s="127" t="s">
        <v>260</v>
      </c>
      <c r="D30" s="88">
        <v>25006</v>
      </c>
      <c r="F30" s="214">
        <v>140651.24</v>
      </c>
      <c r="H30" s="6">
        <f t="shared" si="2"/>
        <v>5.6246996720787008</v>
      </c>
      <c r="O30" s="6"/>
      <c r="Q30" s="6"/>
    </row>
    <row r="31" spans="3:24" x14ac:dyDescent="0.25">
      <c r="C31" s="127" t="s">
        <v>263</v>
      </c>
      <c r="D31" s="88">
        <v>73</v>
      </c>
      <c r="F31" s="214">
        <v>138.87</v>
      </c>
      <c r="H31" s="6">
        <f t="shared" si="2"/>
        <v>1.9023287671232878</v>
      </c>
    </row>
    <row r="32" spans="3:24" x14ac:dyDescent="0.25">
      <c r="C32" s="127" t="s">
        <v>247</v>
      </c>
      <c r="D32" s="88">
        <v>850</v>
      </c>
      <c r="F32" s="214">
        <f>3499.17+224.96</f>
        <v>3724.13</v>
      </c>
      <c r="H32" s="6">
        <f t="shared" si="2"/>
        <v>4.3813294117647059</v>
      </c>
    </row>
    <row r="33" spans="3:22" x14ac:dyDescent="0.25">
      <c r="C33" s="127" t="s">
        <v>110</v>
      </c>
      <c r="D33" s="88">
        <v>4492</v>
      </c>
      <c r="F33" s="214">
        <v>25694.240000000002</v>
      </c>
      <c r="H33" s="6">
        <f t="shared" ref="H33:H35" si="3">F33/D33</f>
        <v>5.7200000000000006</v>
      </c>
    </row>
    <row r="34" spans="3:22" x14ac:dyDescent="0.25">
      <c r="C34" s="127" t="s">
        <v>246</v>
      </c>
      <c r="D34" s="88">
        <v>3</v>
      </c>
      <c r="F34" s="214">
        <v>6.23</v>
      </c>
      <c r="H34" s="6">
        <f t="shared" si="3"/>
        <v>2.0766666666666667</v>
      </c>
    </row>
    <row r="35" spans="3:22" x14ac:dyDescent="0.25">
      <c r="C35" t="s">
        <v>190</v>
      </c>
      <c r="D35" s="88"/>
      <c r="F35" s="214">
        <v>6082.01</v>
      </c>
      <c r="H35" s="6" t="e">
        <f t="shared" si="3"/>
        <v>#DIV/0!</v>
      </c>
      <c r="J35" s="6"/>
    </row>
    <row r="36" spans="3:22" x14ac:dyDescent="0.25">
      <c r="D36" s="28">
        <f>SUM(D23:D35)</f>
        <v>48239</v>
      </c>
      <c r="E36" s="16"/>
      <c r="F36" s="89">
        <f>SUM(F23:F35)</f>
        <v>236911.02</v>
      </c>
      <c r="H36" s="6">
        <f t="shared" si="2"/>
        <v>4.9111926034950972</v>
      </c>
      <c r="J36" s="6"/>
      <c r="K36" s="74" t="s">
        <v>131</v>
      </c>
      <c r="O36" s="55"/>
      <c r="Q36" s="55"/>
    </row>
    <row r="37" spans="3:22" x14ac:dyDescent="0.25">
      <c r="K37" s="74" t="s">
        <v>132</v>
      </c>
    </row>
    <row r="38" spans="3:22" x14ac:dyDescent="0.25">
      <c r="K38" s="74" t="s">
        <v>133</v>
      </c>
    </row>
    <row r="39" spans="3:22" x14ac:dyDescent="0.25">
      <c r="C39" t="s">
        <v>134</v>
      </c>
      <c r="F39" s="214">
        <v>657</v>
      </c>
      <c r="J39" t="s">
        <v>234</v>
      </c>
      <c r="K39" s="74" t="s">
        <v>136</v>
      </c>
    </row>
    <row r="40" spans="3:22" ht="15.75" thickBot="1" x14ac:dyDescent="0.3">
      <c r="C40" t="s">
        <v>111</v>
      </c>
      <c r="F40" s="214">
        <v>53.98</v>
      </c>
      <c r="Q40" s="6"/>
      <c r="S40" s="6"/>
    </row>
    <row r="41" spans="3:22" ht="15.75" thickBot="1" x14ac:dyDescent="0.3">
      <c r="C41" t="s">
        <v>75</v>
      </c>
      <c r="F41" s="109">
        <f>+D18*0.18</f>
        <v>8511.66</v>
      </c>
      <c r="J41" s="76" t="s">
        <v>192</v>
      </c>
      <c r="K41" s="74"/>
      <c r="S41" s="54"/>
    </row>
    <row r="42" spans="3:22" ht="15.75" thickBot="1" x14ac:dyDescent="0.3">
      <c r="C42" t="s">
        <v>135</v>
      </c>
      <c r="F42" s="6">
        <f>D18*0.2</f>
        <v>9457.4</v>
      </c>
      <c r="J42" s="76" t="s">
        <v>194</v>
      </c>
    </row>
    <row r="43" spans="3:22" x14ac:dyDescent="0.25">
      <c r="F43" s="30">
        <f>SUM(F39:F42)</f>
        <v>18680.04</v>
      </c>
      <c r="J43" s="162" t="s">
        <v>162</v>
      </c>
      <c r="K43" s="165" t="s">
        <v>193</v>
      </c>
      <c r="L43" s="163"/>
      <c r="M43" s="164" t="s">
        <v>50</v>
      </c>
    </row>
    <row r="44" spans="3:22" ht="15.75" thickBot="1" x14ac:dyDescent="0.3">
      <c r="C44" s="102">
        <f>263532.32+6082.01</f>
        <v>269614.33</v>
      </c>
      <c r="D44" s="117" t="s">
        <v>215</v>
      </c>
      <c r="J44" s="160">
        <f>+D18</f>
        <v>47287</v>
      </c>
      <c r="K44" s="147">
        <v>0.18</v>
      </c>
      <c r="L44" s="147"/>
      <c r="M44" s="161">
        <f>+J44*K44</f>
        <v>8511.66</v>
      </c>
      <c r="S44" s="54"/>
      <c r="T44" s="54"/>
      <c r="U44" s="54"/>
      <c r="V44" s="169"/>
    </row>
    <row r="45" spans="3:22" x14ac:dyDescent="0.25">
      <c r="C45" s="6">
        <f>+F18+F36+F39+F40</f>
        <v>269614.32999999996</v>
      </c>
      <c r="D45" s="15" t="s">
        <v>39</v>
      </c>
      <c r="E45" s="16"/>
      <c r="F45" s="173">
        <f>F18+F36+F43</f>
        <v>287583.38999999996</v>
      </c>
    </row>
    <row r="46" spans="3:22" x14ac:dyDescent="0.25">
      <c r="C46" s="6">
        <f>+C45-C44</f>
        <v>0</v>
      </c>
      <c r="F46" s="99">
        <f>F45-F42-F41</f>
        <v>269614.32999999996</v>
      </c>
      <c r="H46" s="177">
        <f>F46-F35</f>
        <v>263532.31999999995</v>
      </c>
      <c r="I46" s="177"/>
      <c r="J46" s="178" t="s">
        <v>208</v>
      </c>
    </row>
    <row r="47" spans="3:22" x14ac:dyDescent="0.25">
      <c r="F47"/>
      <c r="G47"/>
    </row>
    <row r="48" spans="3:22" x14ac:dyDescent="0.25">
      <c r="D48" s="168"/>
      <c r="E48" s="54"/>
      <c r="F48" s="54"/>
      <c r="G48" s="169">
        <v>44280</v>
      </c>
    </row>
    <row r="49" spans="6:7" x14ac:dyDescent="0.25">
      <c r="F49"/>
      <c r="G49"/>
    </row>
    <row r="50" spans="6:7" x14ac:dyDescent="0.25">
      <c r="F50"/>
      <c r="G50"/>
    </row>
    <row r="67" spans="19:19" x14ac:dyDescent="0.25">
      <c r="S67" s="102"/>
    </row>
    <row r="68" spans="19:19" x14ac:dyDescent="0.25">
      <c r="S68" s="102"/>
    </row>
    <row r="69" spans="19:19" x14ac:dyDescent="0.25">
      <c r="S69" s="102"/>
    </row>
  </sheetData>
  <pageMargins left="0.25" right="0.25" top="0.75" bottom="0.75" header="0.3" footer="0.3"/>
  <pageSetup scale="59" orientation="landscape" horizontalDpi="4294967295" verticalDpi="4294967295" r:id="rId1"/>
  <headerFooter>
    <oddFooter>&amp;L&amp;D&amp;T&amp;R&amp;Z&amp;F&amp;A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60"/>
  <sheetViews>
    <sheetView showWhiteSpace="0" view="pageLayout" topLeftCell="A30" zoomScaleNormal="100" workbookViewId="0">
      <selection activeCell="I45" sqref="I45"/>
    </sheetView>
  </sheetViews>
  <sheetFormatPr defaultRowHeight="15" x14ac:dyDescent="0.25"/>
  <cols>
    <col min="1" max="3" width="1.42578125" customWidth="1"/>
    <col min="4" max="4" width="29.140625" customWidth="1"/>
    <col min="5" max="5" width="1.42578125" customWidth="1"/>
    <col min="6" max="6" width="13.28515625" customWidth="1"/>
    <col min="7" max="7" width="1.42578125" customWidth="1"/>
    <col min="16" max="16" width="13.7109375" customWidth="1"/>
  </cols>
  <sheetData>
    <row r="1" spans="1:16" x14ac:dyDescent="0.25">
      <c r="A1" s="16" t="s">
        <v>244</v>
      </c>
      <c r="F1" s="6" t="str">
        <f>+'Commodity OK'!H2</f>
        <v>Data Input Mar 24 billing =Mar invoices = Feb Flow  data= Feb Sales Volume</v>
      </c>
    </row>
    <row r="3" spans="1:16" x14ac:dyDescent="0.25">
      <c r="A3" s="16" t="s">
        <v>98</v>
      </c>
    </row>
    <row r="4" spans="1:16" x14ac:dyDescent="0.25">
      <c r="F4" s="17" t="s">
        <v>8</v>
      </c>
      <c r="I4" s="1"/>
      <c r="J4" s="1"/>
      <c r="K4" s="5"/>
    </row>
    <row r="5" spans="1:16" x14ac:dyDescent="0.25">
      <c r="I5" s="1"/>
      <c r="J5" s="1"/>
      <c r="K5" s="5"/>
    </row>
    <row r="6" spans="1:16" x14ac:dyDescent="0.25">
      <c r="B6" t="s">
        <v>0</v>
      </c>
      <c r="F6" s="85">
        <f>ROUNDUP('Direct Charges'!J8,0)</f>
        <v>6989</v>
      </c>
      <c r="I6" s="1"/>
      <c r="J6" s="1"/>
      <c r="K6" s="5"/>
    </row>
    <row r="7" spans="1:16" x14ac:dyDescent="0.25">
      <c r="B7" t="s">
        <v>4</v>
      </c>
      <c r="F7" s="85">
        <f>ROUNDUP('Direct Charges'!J14,0)</f>
        <v>719</v>
      </c>
      <c r="I7" s="1"/>
      <c r="J7" s="1"/>
      <c r="K7" s="5"/>
      <c r="P7" s="6"/>
    </row>
    <row r="8" spans="1:16" x14ac:dyDescent="0.25">
      <c r="B8" t="s">
        <v>13</v>
      </c>
      <c r="F8" s="85">
        <f>ROUNDUP('Allocation Charges'!J6,0)</f>
        <v>0</v>
      </c>
      <c r="I8" s="1"/>
      <c r="J8" s="1"/>
      <c r="K8" s="5"/>
    </row>
    <row r="9" spans="1:16" x14ac:dyDescent="0.25">
      <c r="B9" t="s">
        <v>14</v>
      </c>
      <c r="F9" s="85">
        <v>0</v>
      </c>
      <c r="I9" s="1"/>
      <c r="J9" s="1"/>
      <c r="K9" s="5"/>
    </row>
    <row r="10" spans="1:16" x14ac:dyDescent="0.25">
      <c r="B10" t="s">
        <v>17</v>
      </c>
      <c r="F10" s="6"/>
      <c r="G10" s="6"/>
      <c r="J10" s="1"/>
    </row>
    <row r="11" spans="1:16" x14ac:dyDescent="0.25">
      <c r="C11" t="s">
        <v>37</v>
      </c>
      <c r="F11" s="6">
        <f>'Direct Charges'!J26</f>
        <v>197.85</v>
      </c>
      <c r="G11" s="6"/>
      <c r="J11" s="1"/>
    </row>
    <row r="12" spans="1:16" x14ac:dyDescent="0.25">
      <c r="C12" t="s">
        <v>38</v>
      </c>
      <c r="F12" s="6">
        <f>'Allocation Charges'!J7</f>
        <v>866.8870116214099</v>
      </c>
      <c r="G12" s="6"/>
      <c r="J12" s="1"/>
    </row>
    <row r="13" spans="1:16" x14ac:dyDescent="0.25">
      <c r="D13" s="7" t="s">
        <v>39</v>
      </c>
      <c r="E13" s="36"/>
      <c r="F13" s="224">
        <f>ROUNDUP(F12+F11,0)</f>
        <v>1065</v>
      </c>
      <c r="G13" s="6"/>
      <c r="J13" s="1"/>
    </row>
    <row r="14" spans="1:16" x14ac:dyDescent="0.25">
      <c r="D14" s="7"/>
      <c r="F14" s="6"/>
      <c r="G14" s="6"/>
      <c r="J14" s="1"/>
    </row>
    <row r="15" spans="1:16" x14ac:dyDescent="0.25">
      <c r="B15" t="s">
        <v>15</v>
      </c>
      <c r="F15" s="85">
        <f>ROUNDUP('Allocation Charges'!J8,0)</f>
        <v>935</v>
      </c>
      <c r="G15" s="6"/>
    </row>
    <row r="16" spans="1:16" x14ac:dyDescent="0.25">
      <c r="B16" t="s">
        <v>18</v>
      </c>
      <c r="F16" s="85">
        <f>ROUNDUP('Allocation Charges'!J9,0)</f>
        <v>0</v>
      </c>
      <c r="G16" s="6"/>
    </row>
    <row r="17" spans="2:7" x14ac:dyDescent="0.25">
      <c r="B17" t="s">
        <v>19</v>
      </c>
      <c r="F17" s="85">
        <f>ROUNDUP('Allocation Charges'!J10,0)</f>
        <v>8632</v>
      </c>
      <c r="G17" s="6"/>
    </row>
    <row r="18" spans="2:7" x14ac:dyDescent="0.25">
      <c r="B18" t="s">
        <v>20</v>
      </c>
      <c r="F18" s="6"/>
      <c r="G18" s="6"/>
    </row>
    <row r="19" spans="2:7" x14ac:dyDescent="0.25">
      <c r="C19" t="s">
        <v>37</v>
      </c>
      <c r="F19" s="6">
        <f>'Direct Charges'!J37</f>
        <v>186.03</v>
      </c>
      <c r="G19" s="6"/>
    </row>
    <row r="20" spans="2:7" x14ac:dyDescent="0.25">
      <c r="C20" t="s">
        <v>38</v>
      </c>
      <c r="F20" s="6">
        <f>'Allocation Charges'!J11</f>
        <v>896.51415229371776</v>
      </c>
      <c r="G20" s="6"/>
    </row>
    <row r="21" spans="2:7" x14ac:dyDescent="0.25">
      <c r="D21" s="7" t="s">
        <v>39</v>
      </c>
      <c r="E21" s="36"/>
      <c r="F21" s="224">
        <f>ROUNDUP(F20+F19,0)</f>
        <v>1083</v>
      </c>
      <c r="G21" s="6"/>
    </row>
    <row r="22" spans="2:7" x14ac:dyDescent="0.25">
      <c r="B22" t="s">
        <v>21</v>
      </c>
      <c r="F22" s="6"/>
      <c r="G22" s="6"/>
    </row>
    <row r="23" spans="2:7" x14ac:dyDescent="0.25">
      <c r="C23" t="s">
        <v>37</v>
      </c>
      <c r="F23" s="6">
        <f>'Direct Charges'!J43</f>
        <v>211.52</v>
      </c>
      <c r="G23" s="6"/>
    </row>
    <row r="24" spans="2:7" x14ac:dyDescent="0.25">
      <c r="C24" t="s">
        <v>38</v>
      </c>
      <c r="F24" s="6">
        <f>'Allocation Charges'!J12</f>
        <v>397.08547209080638</v>
      </c>
      <c r="G24" s="6"/>
    </row>
    <row r="25" spans="2:7" x14ac:dyDescent="0.25">
      <c r="D25" s="7" t="s">
        <v>39</v>
      </c>
      <c r="E25" s="36"/>
      <c r="F25" s="224">
        <f>ROUNDUP(F24+F23,0)</f>
        <v>609</v>
      </c>
      <c r="G25" s="6"/>
    </row>
    <row r="26" spans="2:7" x14ac:dyDescent="0.25">
      <c r="B26" t="s">
        <v>25</v>
      </c>
      <c r="F26" s="85">
        <f>ROUNDUP('Allocation Charges'!J13,0)</f>
        <v>1837</v>
      </c>
      <c r="G26" s="6"/>
    </row>
    <row r="27" spans="2:7" x14ac:dyDescent="0.25">
      <c r="B27" t="s">
        <v>26</v>
      </c>
      <c r="G27" s="6"/>
    </row>
    <row r="28" spans="2:7" x14ac:dyDescent="0.25">
      <c r="C28" t="s">
        <v>37</v>
      </c>
      <c r="F28" s="6">
        <f>+'Direct Charges'!J49</f>
        <v>0</v>
      </c>
      <c r="G28" s="6"/>
    </row>
    <row r="29" spans="2:7" x14ac:dyDescent="0.25">
      <c r="C29" t="s">
        <v>38</v>
      </c>
      <c r="F29" s="6">
        <f>'Allocation Charges'!J14</f>
        <v>0</v>
      </c>
      <c r="G29" s="6"/>
    </row>
    <row r="30" spans="2:7" x14ac:dyDescent="0.25">
      <c r="D30" s="7" t="s">
        <v>39</v>
      </c>
      <c r="E30" s="36"/>
      <c r="F30" s="224">
        <f>ROUNDUP(F29+F28,0)</f>
        <v>0</v>
      </c>
      <c r="G30" s="6"/>
    </row>
    <row r="31" spans="2:7" x14ac:dyDescent="0.25">
      <c r="B31" t="s">
        <v>27</v>
      </c>
      <c r="G31" s="6"/>
    </row>
    <row r="32" spans="2:7" x14ac:dyDescent="0.25">
      <c r="C32" t="s">
        <v>37</v>
      </c>
      <c r="F32" s="6">
        <f>+'Direct Charges'!J55</f>
        <v>643.55999999999995</v>
      </c>
      <c r="G32" s="6"/>
    </row>
    <row r="33" spans="1:7" x14ac:dyDescent="0.25">
      <c r="C33" t="s">
        <v>38</v>
      </c>
      <c r="F33" s="6">
        <f>'Allocation Charges'!J15</f>
        <v>1573.0812934144872</v>
      </c>
      <c r="G33" s="6"/>
    </row>
    <row r="34" spans="1:7" x14ac:dyDescent="0.25">
      <c r="D34" s="7" t="s">
        <v>39</v>
      </c>
      <c r="E34" s="36"/>
      <c r="F34" s="224">
        <f>ROUNDUP(F33+F32,0)</f>
        <v>2217</v>
      </c>
      <c r="G34" s="6"/>
    </row>
    <row r="35" spans="1:7" x14ac:dyDescent="0.25">
      <c r="B35" t="s">
        <v>195</v>
      </c>
      <c r="F35" s="85">
        <f>ROUNDUP('Allocation Charges'!J16,0)</f>
        <v>0</v>
      </c>
      <c r="G35" s="6"/>
    </row>
    <row r="36" spans="1:7" x14ac:dyDescent="0.25">
      <c r="B36" t="s">
        <v>28</v>
      </c>
      <c r="F36" s="85">
        <f>ROUNDUP('Allocation Charges'!J17,0)</f>
        <v>0</v>
      </c>
      <c r="G36" s="6"/>
    </row>
    <row r="37" spans="1:7" x14ac:dyDescent="0.25">
      <c r="B37" t="s">
        <v>29</v>
      </c>
      <c r="F37" s="85">
        <f>ROUNDUP('Allocation Charges'!J18,0)</f>
        <v>336</v>
      </c>
      <c r="G37" s="6"/>
    </row>
    <row r="38" spans="1:7" x14ac:dyDescent="0.25">
      <c r="B38" t="s">
        <v>30</v>
      </c>
      <c r="F38" s="85">
        <f>ROUNDUP('Allocation Charges'!J19,0)</f>
        <v>677</v>
      </c>
      <c r="G38" s="6"/>
    </row>
    <row r="39" spans="1:7" x14ac:dyDescent="0.25">
      <c r="F39" s="6"/>
      <c r="G39" s="6"/>
    </row>
    <row r="40" spans="1:7" x14ac:dyDescent="0.25">
      <c r="F40" s="219">
        <f>F6+F7+F8+F9+F13+F15+F16+F17+F21+F25+F26+F30+F34+F35+F36+F37+F38</f>
        <v>25099</v>
      </c>
      <c r="G40" s="6"/>
    </row>
    <row r="41" spans="1:7" x14ac:dyDescent="0.25">
      <c r="A41" s="16" t="s">
        <v>99</v>
      </c>
      <c r="F41" s="6"/>
      <c r="G41" s="6"/>
    </row>
    <row r="42" spans="1:7" x14ac:dyDescent="0.25">
      <c r="F42" s="6"/>
      <c r="G42" s="6"/>
    </row>
    <row r="43" spans="1:7" x14ac:dyDescent="0.25">
      <c r="F43" s="124" t="s">
        <v>271</v>
      </c>
      <c r="G43" s="6"/>
    </row>
    <row r="44" spans="1:7" x14ac:dyDescent="0.25">
      <c r="B44" t="s">
        <v>46</v>
      </c>
      <c r="F44" s="85">
        <f>ROUNDUP('Allocation Charges'!J27,0)</f>
        <v>1637</v>
      </c>
      <c r="G44" s="6"/>
    </row>
    <row r="45" spans="1:7" x14ac:dyDescent="0.25">
      <c r="B45" t="s">
        <v>32</v>
      </c>
      <c r="F45" s="85">
        <f>ROUNDUP('Allocation Charges'!J28,0)</f>
        <v>508</v>
      </c>
      <c r="G45" s="6"/>
    </row>
    <row r="46" spans="1:7" x14ac:dyDescent="0.25">
      <c r="B46" t="s">
        <v>47</v>
      </c>
      <c r="F46" s="85">
        <f>ROUNDUP('Allocation Charges'!J29,0)</f>
        <v>809</v>
      </c>
      <c r="G46" s="6"/>
    </row>
    <row r="47" spans="1:7" x14ac:dyDescent="0.25">
      <c r="B47" t="s">
        <v>48</v>
      </c>
      <c r="F47" s="85">
        <f>ROUNDUP('Allocation Charges'!J30,0)</f>
        <v>492</v>
      </c>
      <c r="G47" s="6"/>
    </row>
    <row r="48" spans="1:7" x14ac:dyDescent="0.25">
      <c r="B48" t="s">
        <v>41</v>
      </c>
      <c r="F48" s="85">
        <f>ROUNDUP('Allocation Charges'!J31,0)</f>
        <v>468</v>
      </c>
      <c r="G48" s="6"/>
    </row>
    <row r="49" spans="1:8" x14ac:dyDescent="0.25">
      <c r="B49" t="s">
        <v>31</v>
      </c>
      <c r="F49" s="85">
        <f>ROUNDUP('Allocation Charges'!J32,0)</f>
        <v>1486</v>
      </c>
      <c r="G49" s="6"/>
    </row>
    <row r="50" spans="1:8" x14ac:dyDescent="0.25">
      <c r="F50" s="6"/>
    </row>
    <row r="51" spans="1:8" x14ac:dyDescent="0.25">
      <c r="F51" s="219">
        <f>SUM(F44:F49)</f>
        <v>5400</v>
      </c>
    </row>
    <row r="52" spans="1:8" x14ac:dyDescent="0.25">
      <c r="A52" s="16" t="s">
        <v>83</v>
      </c>
      <c r="F52" s="6"/>
      <c r="H52" t="s">
        <v>74</v>
      </c>
    </row>
    <row r="53" spans="1:8" x14ac:dyDescent="0.25">
      <c r="A53" s="16"/>
      <c r="B53" t="s">
        <v>240</v>
      </c>
      <c r="F53" s="6">
        <f>ROUNDUP('Commodity TN KY'!I20,0)</f>
        <v>9375</v>
      </c>
      <c r="H53" s="106">
        <f>'Commodity TN KY'!E15*'Commodity TN KY'!G20</f>
        <v>2419.6817647210323</v>
      </c>
    </row>
    <row r="54" spans="1:8" x14ac:dyDescent="0.25">
      <c r="A54" s="16"/>
      <c r="B54" t="s">
        <v>241</v>
      </c>
      <c r="F54" s="6">
        <f>ROUNDUP('Commodity TN KY'!I27,0)</f>
        <v>13553</v>
      </c>
      <c r="H54" s="106">
        <f>+'Commodity TN KY'!E27</f>
        <v>4609.5</v>
      </c>
    </row>
    <row r="55" spans="1:8" x14ac:dyDescent="0.25">
      <c r="A55" s="16"/>
      <c r="B55" t="s">
        <v>242</v>
      </c>
      <c r="F55" s="6">
        <f>ROUNDUP('Commodity TN KY'!I28,0)</f>
        <v>1463</v>
      </c>
      <c r="H55" s="106">
        <f>+'Commodity TN KY'!E28</f>
        <v>1187</v>
      </c>
    </row>
    <row r="56" spans="1:8" x14ac:dyDescent="0.25">
      <c r="F56" s="218">
        <f>SUM(F53:F55)</f>
        <v>24391</v>
      </c>
    </row>
    <row r="57" spans="1:8" x14ac:dyDescent="0.25">
      <c r="F57" s="6"/>
    </row>
    <row r="58" spans="1:8" x14ac:dyDescent="0.25">
      <c r="A58" s="35"/>
      <c r="B58" s="35"/>
      <c r="C58" s="35"/>
      <c r="D58" s="35"/>
      <c r="E58" s="35"/>
      <c r="F58" s="231"/>
      <c r="G58" s="35"/>
    </row>
    <row r="59" spans="1:8" x14ac:dyDescent="0.25">
      <c r="F59" s="6"/>
    </row>
    <row r="60" spans="1:8" x14ac:dyDescent="0.25">
      <c r="D60" s="15" t="s">
        <v>56</v>
      </c>
      <c r="F60" s="219">
        <f>F40+F51+F56</f>
        <v>54890</v>
      </c>
    </row>
  </sheetData>
  <pageMargins left="0.7" right="0.7" top="0.75" bottom="0.75" header="0.3" footer="0.3"/>
  <pageSetup scale="78" orientation="portrait" horizontalDpi="4294967295" verticalDpi="4294967295" r:id="rId1"/>
  <headerFooter>
    <oddFooter>&amp;C&amp;Z&amp;F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57"/>
  <sheetViews>
    <sheetView topLeftCell="A34" zoomScaleNormal="100" workbookViewId="0">
      <selection activeCell="F42" sqref="F42"/>
    </sheetView>
  </sheetViews>
  <sheetFormatPr defaultRowHeight="15" x14ac:dyDescent="0.25"/>
  <cols>
    <col min="1" max="3" width="1.42578125" customWidth="1"/>
    <col min="4" max="4" width="29.140625" customWidth="1"/>
    <col min="5" max="5" width="1.42578125" customWidth="1"/>
    <col min="6" max="6" width="13.28515625" customWidth="1"/>
    <col min="7" max="7" width="1.42578125" customWidth="1"/>
  </cols>
  <sheetData>
    <row r="1" spans="1:11" x14ac:dyDescent="0.25">
      <c r="A1" s="16" t="s">
        <v>245</v>
      </c>
      <c r="F1" s="6" t="str">
        <f>+'Commodity OK'!H2</f>
        <v>Data Input Mar 24 billing =Mar invoices = Feb Flow  data= Feb Sales Volume</v>
      </c>
    </row>
    <row r="3" spans="1:11" x14ac:dyDescent="0.25">
      <c r="A3" s="16" t="s">
        <v>98</v>
      </c>
    </row>
    <row r="4" spans="1:11" x14ac:dyDescent="0.25">
      <c r="F4" s="17" t="s">
        <v>8</v>
      </c>
      <c r="I4" s="1"/>
      <c r="J4" s="1"/>
      <c r="K4" s="5"/>
    </row>
    <row r="5" spans="1:11" x14ac:dyDescent="0.25">
      <c r="I5" s="1"/>
      <c r="J5" s="1"/>
      <c r="K5" s="5"/>
    </row>
    <row r="6" spans="1:11" x14ac:dyDescent="0.25">
      <c r="B6" t="s">
        <v>0</v>
      </c>
      <c r="F6" s="83">
        <f>ROUNDUP('Direct Charges'!H7,0)</f>
        <v>16041</v>
      </c>
      <c r="I6" s="1"/>
      <c r="J6" s="1"/>
      <c r="K6" s="5"/>
    </row>
    <row r="7" spans="1:11" x14ac:dyDescent="0.25">
      <c r="B7" t="s">
        <v>4</v>
      </c>
      <c r="F7" s="83">
        <f>ROUNDUP('Direct Charges'!H13,0)</f>
        <v>16901</v>
      </c>
      <c r="I7" s="1"/>
      <c r="J7" s="1"/>
      <c r="K7" s="5"/>
    </row>
    <row r="8" spans="1:11" x14ac:dyDescent="0.25">
      <c r="B8" t="s">
        <v>13</v>
      </c>
      <c r="F8" s="83">
        <f>ROUNDUP('Allocation Charges'!H6,0)</f>
        <v>0</v>
      </c>
      <c r="I8" s="1"/>
      <c r="J8" s="1"/>
      <c r="K8" s="5"/>
    </row>
    <row r="9" spans="1:11" x14ac:dyDescent="0.25">
      <c r="B9" t="s">
        <v>14</v>
      </c>
      <c r="F9" s="83">
        <v>0</v>
      </c>
      <c r="I9" s="1"/>
      <c r="J9" s="1"/>
      <c r="K9" s="5"/>
    </row>
    <row r="10" spans="1:11" x14ac:dyDescent="0.25">
      <c r="B10" t="s">
        <v>17</v>
      </c>
      <c r="F10" s="60"/>
      <c r="G10" s="6"/>
      <c r="J10" s="1"/>
    </row>
    <row r="11" spans="1:11" x14ac:dyDescent="0.25">
      <c r="C11" t="s">
        <v>37</v>
      </c>
      <c r="F11" s="60">
        <f>'Direct Charges'!H25</f>
        <v>199.68</v>
      </c>
      <c r="G11" s="6"/>
      <c r="J11" s="1"/>
    </row>
    <row r="12" spans="1:11" x14ac:dyDescent="0.25">
      <c r="C12" t="s">
        <v>38</v>
      </c>
      <c r="F12" s="60">
        <f>'Allocation Charges'!H7</f>
        <v>1856.4896889620395</v>
      </c>
      <c r="G12" s="6"/>
      <c r="J12" s="1"/>
    </row>
    <row r="13" spans="1:11" x14ac:dyDescent="0.25">
      <c r="D13" s="7" t="s">
        <v>39</v>
      </c>
      <c r="F13" s="86">
        <f>ROUNDUP(F11+F12,0)</f>
        <v>2057</v>
      </c>
      <c r="G13" s="6"/>
      <c r="J13" s="1"/>
    </row>
    <row r="14" spans="1:11" x14ac:dyDescent="0.25">
      <c r="B14" t="s">
        <v>15</v>
      </c>
      <c r="F14" s="83">
        <f>ROUNDUP('Allocation Charges'!H8,0)</f>
        <v>2001</v>
      </c>
      <c r="G14" s="6"/>
    </row>
    <row r="15" spans="1:11" x14ac:dyDescent="0.25">
      <c r="B15" t="s">
        <v>18</v>
      </c>
      <c r="F15" s="83">
        <f>ROUNDUP('Allocation Charges'!H9,0)</f>
        <v>0</v>
      </c>
      <c r="G15" s="6"/>
    </row>
    <row r="16" spans="1:11" x14ac:dyDescent="0.25">
      <c r="B16" t="s">
        <v>19</v>
      </c>
      <c r="F16" s="83">
        <f>ROUNDUP('Allocation Charges'!H10,0)</f>
        <v>18485</v>
      </c>
      <c r="G16" s="6"/>
    </row>
    <row r="17" spans="2:7" x14ac:dyDescent="0.25">
      <c r="B17" t="s">
        <v>20</v>
      </c>
      <c r="F17" s="60"/>
      <c r="G17" s="6"/>
    </row>
    <row r="18" spans="2:7" x14ac:dyDescent="0.25">
      <c r="C18" t="s">
        <v>37</v>
      </c>
      <c r="F18" s="60">
        <f>'Direct Charges'!H36</f>
        <v>551.65</v>
      </c>
      <c r="G18" s="6"/>
    </row>
    <row r="19" spans="2:7" x14ac:dyDescent="0.25">
      <c r="C19" t="s">
        <v>38</v>
      </c>
      <c r="F19" s="60">
        <f>'Allocation Charges'!H11</f>
        <v>1919.9379589605617</v>
      </c>
      <c r="G19" s="6"/>
    </row>
    <row r="20" spans="2:7" x14ac:dyDescent="0.25">
      <c r="D20" s="7" t="s">
        <v>39</v>
      </c>
      <c r="F20" s="86">
        <f>ROUNDUP(F18+F19,0)</f>
        <v>2472</v>
      </c>
      <c r="G20" s="6"/>
    </row>
    <row r="21" spans="2:7" x14ac:dyDescent="0.25">
      <c r="B21" t="s">
        <v>21</v>
      </c>
      <c r="F21" s="60"/>
      <c r="G21" s="6"/>
    </row>
    <row r="22" spans="2:7" x14ac:dyDescent="0.25">
      <c r="C22" t="s">
        <v>37</v>
      </c>
      <c r="F22" s="60">
        <f>'Direct Charges'!H42</f>
        <v>10739</v>
      </c>
      <c r="G22" s="6"/>
    </row>
    <row r="23" spans="2:7" x14ac:dyDescent="0.25">
      <c r="C23" t="s">
        <v>38</v>
      </c>
      <c r="F23" s="60">
        <f>'Allocation Charges'!H12</f>
        <v>850.38196984216893</v>
      </c>
      <c r="G23" s="6"/>
    </row>
    <row r="24" spans="2:7" x14ac:dyDescent="0.25">
      <c r="D24" s="7" t="s">
        <v>39</v>
      </c>
      <c r="F24" s="86">
        <f>ROUNDUP(F22+F23,0)</f>
        <v>11590</v>
      </c>
      <c r="G24" s="6"/>
    </row>
    <row r="25" spans="2:7" x14ac:dyDescent="0.25">
      <c r="B25" t="s">
        <v>25</v>
      </c>
      <c r="F25" s="83">
        <f>ROUNDUP('Allocation Charges'!H13,0)</f>
        <v>3935</v>
      </c>
      <c r="G25" s="6"/>
    </row>
    <row r="26" spans="2:7" x14ac:dyDescent="0.25">
      <c r="B26" t="s">
        <v>26</v>
      </c>
      <c r="F26" s="60"/>
      <c r="G26" s="6"/>
    </row>
    <row r="27" spans="2:7" x14ac:dyDescent="0.25">
      <c r="C27" t="s">
        <v>37</v>
      </c>
      <c r="F27" s="60">
        <f>'Direct Charges'!H48</f>
        <v>52.5</v>
      </c>
      <c r="G27" s="6"/>
    </row>
    <row r="28" spans="2:7" x14ac:dyDescent="0.25">
      <c r="C28" t="s">
        <v>38</v>
      </c>
      <c r="F28" s="60">
        <f>'Allocation Charges'!H14</f>
        <v>0</v>
      </c>
      <c r="G28" s="6"/>
    </row>
    <row r="29" spans="2:7" x14ac:dyDescent="0.25">
      <c r="D29" s="7" t="s">
        <v>39</v>
      </c>
      <c r="F29" s="86">
        <f>ROUNDUP(F27+F28,0)</f>
        <v>53</v>
      </c>
      <c r="G29" s="6"/>
    </row>
    <row r="30" spans="2:7" x14ac:dyDescent="0.25">
      <c r="B30" t="s">
        <v>27</v>
      </c>
      <c r="G30" s="6"/>
    </row>
    <row r="31" spans="2:7" x14ac:dyDescent="0.25">
      <c r="C31" t="s">
        <v>37</v>
      </c>
      <c r="F31" s="60">
        <f>'Direct Charges'!H54</f>
        <v>2838.28</v>
      </c>
      <c r="G31" s="6"/>
    </row>
    <row r="32" spans="2:7" x14ac:dyDescent="0.25">
      <c r="C32" t="s">
        <v>38</v>
      </c>
      <c r="F32" s="60">
        <f>'Allocation Charges'!H15</f>
        <v>3368.8464147833788</v>
      </c>
      <c r="G32" s="6"/>
    </row>
    <row r="33" spans="1:10" x14ac:dyDescent="0.25">
      <c r="D33" s="7" t="s">
        <v>39</v>
      </c>
      <c r="F33" s="86">
        <f>ROUNDUP(F31+F32,0)</f>
        <v>6208</v>
      </c>
      <c r="G33" s="6"/>
    </row>
    <row r="34" spans="1:10" x14ac:dyDescent="0.25">
      <c r="B34" t="s">
        <v>195</v>
      </c>
      <c r="F34" s="83">
        <f>ROUNDUP('Allocation Charges'!H16,0)</f>
        <v>0</v>
      </c>
      <c r="G34" s="6"/>
    </row>
    <row r="35" spans="1:10" x14ac:dyDescent="0.25">
      <c r="B35" t="s">
        <v>28</v>
      </c>
      <c r="F35" s="83">
        <f>ROUNDUP('Allocation Charges'!H17,0)</f>
        <v>0</v>
      </c>
      <c r="G35" s="6"/>
    </row>
    <row r="36" spans="1:10" x14ac:dyDescent="0.25">
      <c r="B36" t="s">
        <v>29</v>
      </c>
      <c r="F36" s="83">
        <f>ROUNDUP('Allocation Charges'!H18,0)</f>
        <v>718</v>
      </c>
      <c r="G36" s="6"/>
    </row>
    <row r="37" spans="1:10" x14ac:dyDescent="0.25">
      <c r="B37" t="s">
        <v>30</v>
      </c>
      <c r="F37" s="83">
        <f>ROUNDUP('Allocation Charges'!H19,0)</f>
        <v>1450</v>
      </c>
      <c r="G37" s="6"/>
    </row>
    <row r="38" spans="1:10" x14ac:dyDescent="0.25">
      <c r="F38" s="60"/>
      <c r="G38" s="6"/>
    </row>
    <row r="39" spans="1:10" x14ac:dyDescent="0.25">
      <c r="F39" s="87">
        <f>F6+F7+F8+F9+F13+F14+F15+F16+F20+F24+F25+F29+F33+F34+F35+F36+F37</f>
        <v>81911</v>
      </c>
      <c r="G39" s="6"/>
    </row>
    <row r="40" spans="1:10" x14ac:dyDescent="0.25">
      <c r="F40" s="6"/>
      <c r="G40" s="6"/>
    </row>
    <row r="41" spans="1:10" x14ac:dyDescent="0.25">
      <c r="A41" s="16" t="s">
        <v>99</v>
      </c>
      <c r="F41" s="124" t="s">
        <v>270</v>
      </c>
      <c r="G41" s="6"/>
      <c r="H41" s="124"/>
      <c r="I41" s="124"/>
    </row>
    <row r="42" spans="1:10" x14ac:dyDescent="0.25">
      <c r="F42" s="6"/>
      <c r="G42" s="6"/>
    </row>
    <row r="43" spans="1:10" x14ac:dyDescent="0.25">
      <c r="B43" t="s">
        <v>115</v>
      </c>
      <c r="F43" s="79">
        <f>ROUNDUP('Direct Charges'!H65,0)</f>
        <v>0</v>
      </c>
      <c r="G43" s="6"/>
    </row>
    <row r="44" spans="1:10" x14ac:dyDescent="0.25">
      <c r="B44" t="s">
        <v>46</v>
      </c>
      <c r="F44" s="79">
        <f>ROUNDUP('Allocation Charges'!H27,0)</f>
        <v>3506</v>
      </c>
      <c r="G44" s="6"/>
    </row>
    <row r="45" spans="1:10" x14ac:dyDescent="0.25">
      <c r="B45" t="s">
        <v>32</v>
      </c>
      <c r="F45" s="79">
        <f>ROUNDUP('Allocation Charges'!H28,0)</f>
        <v>1088</v>
      </c>
      <c r="G45" s="6"/>
    </row>
    <row r="46" spans="1:10" x14ac:dyDescent="0.25">
      <c r="B46" t="s">
        <v>47</v>
      </c>
      <c r="F46" s="79">
        <f>ROUNDUP('Allocation Charges'!H29,0)</f>
        <v>1733</v>
      </c>
      <c r="G46" s="6"/>
    </row>
    <row r="47" spans="1:10" x14ac:dyDescent="0.25">
      <c r="B47" t="s">
        <v>48</v>
      </c>
      <c r="F47" s="79">
        <f>ROUNDUP('Allocation Charges'!H30,0)</f>
        <v>1053</v>
      </c>
      <c r="G47" s="6"/>
      <c r="J47" s="8"/>
    </row>
    <row r="48" spans="1:10" x14ac:dyDescent="0.25">
      <c r="B48" t="s">
        <v>41</v>
      </c>
      <c r="F48" s="79">
        <f>ROUNDUP('Allocation Charges'!H31,0)</f>
        <v>1001</v>
      </c>
      <c r="G48" s="6"/>
      <c r="J48" s="8"/>
    </row>
    <row r="49" spans="1:10" x14ac:dyDescent="0.25">
      <c r="B49" t="s">
        <v>31</v>
      </c>
      <c r="F49" s="79">
        <f>ROUNDUP('Allocation Charges'!H32,0)</f>
        <v>3182</v>
      </c>
      <c r="J49" s="8"/>
    </row>
    <row r="50" spans="1:10" x14ac:dyDescent="0.25">
      <c r="F50" s="8"/>
    </row>
    <row r="51" spans="1:10" x14ac:dyDescent="0.25">
      <c r="F51" s="84">
        <f>SUM(F43:F49)</f>
        <v>11563</v>
      </c>
      <c r="I51" s="23"/>
      <c r="J51" s="23"/>
    </row>
    <row r="52" spans="1:10" x14ac:dyDescent="0.25">
      <c r="H52" t="s">
        <v>162</v>
      </c>
    </row>
    <row r="53" spans="1:10" x14ac:dyDescent="0.25">
      <c r="A53" s="16" t="s">
        <v>83</v>
      </c>
      <c r="F53" s="218">
        <f>ROUNDUP('Commodity TN KY'!I19,0)</f>
        <v>69942</v>
      </c>
      <c r="H53" s="114">
        <f>'Commodity TN KY'!E15*'Commodity TN KY'!G19</f>
        <v>18053.318235278966</v>
      </c>
    </row>
    <row r="54" spans="1:10" ht="7.5" customHeight="1" x14ac:dyDescent="0.25">
      <c r="F54" s="60"/>
    </row>
    <row r="55" spans="1:10" x14ac:dyDescent="0.25">
      <c r="A55" s="35"/>
      <c r="B55" s="35"/>
      <c r="C55" s="35"/>
      <c r="D55" s="35"/>
      <c r="E55" s="35"/>
      <c r="F55" s="61"/>
      <c r="G55" s="35"/>
      <c r="H55" s="35"/>
      <c r="I55" s="35"/>
    </row>
    <row r="56" spans="1:10" x14ac:dyDescent="0.25">
      <c r="F56" s="60"/>
    </row>
    <row r="57" spans="1:10" x14ac:dyDescent="0.25">
      <c r="D57" s="15" t="s">
        <v>56</v>
      </c>
      <c r="F57" s="219">
        <f>F39+F51+F53</f>
        <v>163416</v>
      </c>
    </row>
  </sheetData>
  <pageMargins left="0.7" right="0.7" top="0.75" bottom="0.75" header="0.3" footer="0.3"/>
  <pageSetup scale="86" fitToWidth="0" orientation="portrait" horizontalDpi="4294967295" verticalDpi="4294967295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EF150-8989-438B-9D1A-C23D3ADF1ED8}">
  <sheetPr>
    <pageSetUpPr fitToPage="1"/>
  </sheetPr>
  <dimension ref="A1:Y47"/>
  <sheetViews>
    <sheetView topLeftCell="A28" zoomScaleNormal="100" workbookViewId="0">
      <selection activeCell="P46" sqref="P46"/>
    </sheetView>
  </sheetViews>
  <sheetFormatPr defaultRowHeight="15" x14ac:dyDescent="0.25"/>
  <cols>
    <col min="1" max="2" width="1.42578125" customWidth="1"/>
    <col min="3" max="3" width="24.85546875" customWidth="1"/>
    <col min="4" max="4" width="1.42578125" customWidth="1"/>
    <col min="5" max="5" width="12.85546875" style="6" customWidth="1"/>
    <col min="6" max="6" width="1.42578125" style="6" customWidth="1"/>
    <col min="7" max="7" width="12.85546875" style="6" customWidth="1"/>
    <col min="8" max="8" width="1.42578125" style="6" customWidth="1"/>
    <col min="9" max="9" width="15.140625" customWidth="1"/>
    <col min="10" max="10" width="1.42578125" style="6" customWidth="1"/>
    <col min="11" max="11" width="14.28515625" customWidth="1"/>
    <col min="12" max="13" width="1.42578125" customWidth="1"/>
    <col min="15" max="15" width="1.42578125" customWidth="1"/>
    <col min="16" max="16" width="15.28515625" customWidth="1"/>
    <col min="17" max="17" width="1.42578125" customWidth="1"/>
    <col min="18" max="18" width="12.7109375" customWidth="1"/>
    <col min="19" max="19" width="1.42578125" customWidth="1"/>
    <col min="22" max="22" width="12.5703125" customWidth="1"/>
  </cols>
  <sheetData>
    <row r="1" spans="1:18" x14ac:dyDescent="0.25">
      <c r="I1" s="98" t="str">
        <f>+'Commodity OK'!F2</f>
        <v>2403 file =</v>
      </c>
      <c r="J1" s="99"/>
      <c r="K1" s="100" t="str">
        <f>+'Commodity OK'!H2</f>
        <v>Data Input Mar 24 billing =Mar invoices = Feb Flow  data= Feb Sales Volume</v>
      </c>
    </row>
    <row r="2" spans="1:18" x14ac:dyDescent="0.25">
      <c r="B2" s="16" t="s">
        <v>84</v>
      </c>
      <c r="G2" s="75"/>
      <c r="I2" t="s">
        <v>137</v>
      </c>
    </row>
    <row r="4" spans="1:18" x14ac:dyDescent="0.25">
      <c r="B4" t="s">
        <v>87</v>
      </c>
    </row>
    <row r="5" spans="1:18" x14ac:dyDescent="0.25">
      <c r="A5" s="48"/>
      <c r="B5" s="48"/>
      <c r="C5" s="48"/>
      <c r="D5" s="48"/>
      <c r="E5" s="47" t="s">
        <v>85</v>
      </c>
      <c r="F5" s="48"/>
      <c r="G5" s="47" t="s">
        <v>86</v>
      </c>
      <c r="H5" s="48"/>
      <c r="I5" s="47" t="s">
        <v>50</v>
      </c>
      <c r="J5" s="48"/>
      <c r="K5" s="48"/>
      <c r="L5" s="48"/>
      <c r="M5" s="19"/>
      <c r="N5" s="19"/>
      <c r="O5" s="19"/>
      <c r="P5" s="19"/>
      <c r="Q5" s="19"/>
      <c r="R5" s="19"/>
    </row>
    <row r="6" spans="1:18" x14ac:dyDescent="0.25">
      <c r="A6" s="48"/>
      <c r="B6" s="48"/>
      <c r="C6" s="48" t="s">
        <v>191</v>
      </c>
      <c r="D6" s="48"/>
      <c r="E6" s="90" t="s">
        <v>212</v>
      </c>
      <c r="F6" s="48"/>
      <c r="G6" s="156"/>
      <c r="H6" s="49"/>
      <c r="I6" s="174">
        <v>3700</v>
      </c>
      <c r="J6" s="48"/>
      <c r="K6" s="48"/>
      <c r="L6" s="48"/>
      <c r="N6" s="25"/>
      <c r="R6" s="27"/>
    </row>
    <row r="7" spans="1:18" x14ac:dyDescent="0.25">
      <c r="A7" s="48"/>
      <c r="B7" s="48"/>
      <c r="C7" s="48" t="s">
        <v>154</v>
      </c>
      <c r="D7" s="48"/>
      <c r="E7" s="90">
        <v>4072</v>
      </c>
      <c r="F7" s="51"/>
      <c r="G7" s="49">
        <f t="shared" ref="G7:G14" si="0">I7/E7</f>
        <v>0.5692927308447937</v>
      </c>
      <c r="H7" s="49"/>
      <c r="I7" s="174">
        <v>2318.16</v>
      </c>
      <c r="J7" s="48"/>
      <c r="K7" s="48"/>
      <c r="L7" s="48"/>
      <c r="N7" s="25"/>
      <c r="R7" s="27"/>
    </row>
    <row r="8" spans="1:18" x14ac:dyDescent="0.25">
      <c r="A8" s="48"/>
      <c r="B8" s="48"/>
      <c r="C8" s="48" t="s">
        <v>142</v>
      </c>
      <c r="D8" s="153"/>
      <c r="E8" s="90">
        <f>5222+2062</f>
        <v>7284</v>
      </c>
      <c r="F8" s="48"/>
      <c r="G8" s="49">
        <f>I8/E8</f>
        <v>5.6594124107633172</v>
      </c>
      <c r="H8" s="49"/>
      <c r="I8" s="174">
        <f>30026.5+11196.66</f>
        <v>41223.160000000003</v>
      </c>
      <c r="J8" s="153"/>
      <c r="K8" s="48"/>
      <c r="L8" s="48"/>
      <c r="N8" s="25"/>
      <c r="R8" s="27"/>
    </row>
    <row r="9" spans="1:18" x14ac:dyDescent="0.25">
      <c r="A9" s="48"/>
      <c r="B9" s="48"/>
      <c r="C9" s="48" t="s">
        <v>189</v>
      </c>
      <c r="D9" s="48"/>
      <c r="E9" s="90">
        <v>4247</v>
      </c>
      <c r="F9" s="48"/>
      <c r="G9" s="49">
        <f t="shared" si="0"/>
        <v>2.7172003767365203</v>
      </c>
      <c r="H9" s="49"/>
      <c r="I9" s="174">
        <v>11539.95</v>
      </c>
      <c r="J9" s="48"/>
      <c r="K9" s="48"/>
      <c r="L9" s="48"/>
      <c r="N9" s="25"/>
      <c r="R9" s="27"/>
    </row>
    <row r="10" spans="1:18" x14ac:dyDescent="0.25">
      <c r="A10" s="48"/>
      <c r="B10" s="48"/>
      <c r="C10" s="48" t="s">
        <v>201</v>
      </c>
      <c r="D10" s="48"/>
      <c r="E10" s="90" t="s">
        <v>138</v>
      </c>
      <c r="F10" s="48"/>
      <c r="G10" s="49" t="e">
        <f t="shared" si="0"/>
        <v>#VALUE!</v>
      </c>
      <c r="H10" s="49"/>
      <c r="I10" s="174">
        <v>1561.6</v>
      </c>
      <c r="J10" s="48"/>
      <c r="K10" s="48"/>
      <c r="L10" s="48"/>
      <c r="N10" s="25"/>
      <c r="R10" s="27"/>
    </row>
    <row r="11" spans="1:18" x14ac:dyDescent="0.25">
      <c r="A11" s="48"/>
      <c r="B11" s="48"/>
      <c r="C11" s="48" t="s">
        <v>243</v>
      </c>
      <c r="D11" s="48"/>
      <c r="E11" s="90"/>
      <c r="F11" s="48"/>
      <c r="G11" s="49" t="e">
        <f t="shared" si="0"/>
        <v>#DIV/0!</v>
      </c>
      <c r="H11" s="49"/>
      <c r="I11" s="174"/>
      <c r="J11" s="48"/>
      <c r="K11" s="48"/>
      <c r="L11" s="48"/>
      <c r="N11" s="25"/>
      <c r="R11" s="27"/>
    </row>
    <row r="12" spans="1:18" x14ac:dyDescent="0.25">
      <c r="A12" s="48"/>
      <c r="B12" s="48"/>
      <c r="C12" s="48" t="s">
        <v>216</v>
      </c>
      <c r="D12" s="48"/>
      <c r="E12" s="90">
        <f>855+701</f>
        <v>1556</v>
      </c>
      <c r="F12" s="48"/>
      <c r="G12" s="49">
        <f>I12/E12</f>
        <v>5.2930398457583552</v>
      </c>
      <c r="H12" s="49"/>
      <c r="I12" s="174">
        <f>4068.46+4167.51</f>
        <v>8235.9700000000012</v>
      </c>
      <c r="J12" s="48"/>
      <c r="K12" s="48"/>
      <c r="L12" s="48"/>
      <c r="N12" s="25"/>
      <c r="R12" s="27"/>
    </row>
    <row r="13" spans="1:18" x14ac:dyDescent="0.25">
      <c r="A13" s="48"/>
      <c r="B13" s="48"/>
      <c r="C13" s="48" t="s">
        <v>184</v>
      </c>
      <c r="D13" s="48"/>
      <c r="E13" s="90">
        <v>3314</v>
      </c>
      <c r="F13" s="48"/>
      <c r="G13" s="49">
        <f>I13/E13</f>
        <v>3.24</v>
      </c>
      <c r="H13" s="49"/>
      <c r="I13" s="174">
        <v>10737.36</v>
      </c>
      <c r="J13" s="48"/>
      <c r="K13" s="48"/>
      <c r="L13" s="48"/>
      <c r="M13" s="16"/>
      <c r="N13" s="37"/>
      <c r="O13" s="16"/>
      <c r="Q13" s="16"/>
      <c r="R13" s="31"/>
    </row>
    <row r="14" spans="1:18" x14ac:dyDescent="0.25">
      <c r="A14" s="48"/>
      <c r="B14" s="48"/>
      <c r="C14" s="48" t="s">
        <v>218</v>
      </c>
      <c r="D14" s="48"/>
      <c r="E14" s="90"/>
      <c r="F14" s="48"/>
      <c r="G14" s="49" t="e">
        <f t="shared" si="0"/>
        <v>#DIV/0!</v>
      </c>
      <c r="H14" s="49"/>
      <c r="I14" s="174"/>
      <c r="J14" s="48"/>
      <c r="K14" s="48"/>
      <c r="L14" s="48"/>
      <c r="M14" s="16"/>
      <c r="N14" s="37"/>
      <c r="O14" s="16"/>
      <c r="Q14" s="16"/>
      <c r="R14" s="31"/>
    </row>
    <row r="15" spans="1:18" x14ac:dyDescent="0.25">
      <c r="A15" s="48"/>
      <c r="B15" s="48"/>
      <c r="C15" s="48"/>
      <c r="D15" s="48"/>
      <c r="E15" s="43">
        <f>SUM(E7:E14)</f>
        <v>20473</v>
      </c>
      <c r="F15" s="48"/>
      <c r="G15" s="42">
        <f>I15/(E8+E13)</f>
        <v>7.4840724665031138</v>
      </c>
      <c r="H15" s="49"/>
      <c r="I15" s="175">
        <f>SUM(I6:I14)</f>
        <v>79316.2</v>
      </c>
      <c r="J15" s="48"/>
      <c r="K15" s="48"/>
      <c r="L15" s="48"/>
      <c r="R15" s="56"/>
    </row>
    <row r="16" spans="1:18" x14ac:dyDescent="0.25">
      <c r="A16" s="48"/>
      <c r="B16" s="48"/>
      <c r="C16" s="48"/>
      <c r="D16" s="48"/>
      <c r="E16" s="64"/>
      <c r="F16" s="48"/>
      <c r="G16" s="49"/>
      <c r="H16" s="49"/>
      <c r="I16" s="49"/>
      <c r="J16" s="48"/>
      <c r="K16" s="48"/>
      <c r="L16" s="48"/>
      <c r="R16" s="56"/>
    </row>
    <row r="17" spans="1:25" x14ac:dyDescent="0.25">
      <c r="A17" s="48"/>
      <c r="B17" s="48"/>
      <c r="C17" s="40" t="s">
        <v>77</v>
      </c>
      <c r="D17" s="40"/>
      <c r="E17" s="40" t="s">
        <v>181</v>
      </c>
      <c r="F17" s="48"/>
      <c r="G17" s="40" t="s">
        <v>78</v>
      </c>
      <c r="H17" s="48"/>
      <c r="I17" s="40" t="s">
        <v>79</v>
      </c>
      <c r="J17" s="48"/>
      <c r="K17" s="40" t="s">
        <v>80</v>
      </c>
      <c r="L17" s="48"/>
      <c r="R17" s="59"/>
    </row>
    <row r="18" spans="1:25" x14ac:dyDescent="0.25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0"/>
      <c r="L18" s="48"/>
      <c r="R18" s="55"/>
    </row>
    <row r="19" spans="1:25" x14ac:dyDescent="0.25">
      <c r="A19" s="48"/>
      <c r="B19" s="48"/>
      <c r="C19" s="48" t="s">
        <v>88</v>
      </c>
      <c r="D19" s="48"/>
      <c r="E19" s="92">
        <v>102716</v>
      </c>
      <c r="F19" s="48"/>
      <c r="G19" s="45">
        <f>E19/E22</f>
        <v>0.88181107972837236</v>
      </c>
      <c r="H19" s="48"/>
      <c r="I19" s="167">
        <f>I15*G19</f>
        <v>69941.903961951524</v>
      </c>
      <c r="J19" s="48"/>
      <c r="K19" s="92">
        <v>119477</v>
      </c>
      <c r="L19" s="48"/>
      <c r="P19" t="s">
        <v>196</v>
      </c>
    </row>
    <row r="20" spans="1:25" x14ac:dyDescent="0.25">
      <c r="A20" s="48"/>
      <c r="B20" s="48"/>
      <c r="C20" s="41" t="s">
        <v>89</v>
      </c>
      <c r="D20" s="41"/>
      <c r="E20" s="92">
        <v>13767</v>
      </c>
      <c r="F20" s="41"/>
      <c r="G20" s="45">
        <f>E20/E22</f>
        <v>0.11818892027162763</v>
      </c>
      <c r="H20" s="41"/>
      <c r="I20" s="166">
        <f>I15*G20</f>
        <v>9374.296038048471</v>
      </c>
      <c r="J20" s="41"/>
      <c r="K20" s="92">
        <v>25153</v>
      </c>
      <c r="L20" s="48"/>
      <c r="P20" t="s">
        <v>209</v>
      </c>
      <c r="T20" s="6"/>
      <c r="V20" s="56"/>
      <c r="Y20" s="27"/>
    </row>
    <row r="21" spans="1:25" x14ac:dyDescent="0.25">
      <c r="A21" s="48"/>
      <c r="B21" s="48"/>
      <c r="C21" s="48"/>
      <c r="D21" s="48"/>
      <c r="E21" s="48"/>
      <c r="F21" s="48"/>
      <c r="G21" s="46"/>
      <c r="H21" s="48"/>
      <c r="I21" s="39"/>
      <c r="J21" s="48"/>
      <c r="K21" s="38"/>
      <c r="L21" s="48"/>
    </row>
    <row r="22" spans="1:25" x14ac:dyDescent="0.25">
      <c r="A22" s="48"/>
      <c r="B22" s="48"/>
      <c r="C22" s="48" t="s">
        <v>90</v>
      </c>
      <c r="D22" s="48"/>
      <c r="E22" s="38">
        <f>SUM(E19:E20)</f>
        <v>116483</v>
      </c>
      <c r="F22" s="48"/>
      <c r="G22" s="45">
        <f>SUM(G19:G20)</f>
        <v>1</v>
      </c>
      <c r="H22" s="48"/>
      <c r="I22" s="154">
        <f>SUM(I19:I20)</f>
        <v>79316.2</v>
      </c>
      <c r="J22" s="48"/>
      <c r="K22" s="38">
        <f>SUM(K19:K20)</f>
        <v>144630</v>
      </c>
      <c r="L22" s="48"/>
      <c r="V22" s="62"/>
      <c r="X22" s="27"/>
    </row>
    <row r="23" spans="1:25" x14ac:dyDescent="0.25">
      <c r="C23" s="217"/>
    </row>
    <row r="24" spans="1:25" x14ac:dyDescent="0.25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48"/>
      <c r="X24" s="27"/>
    </row>
    <row r="25" spans="1:25" x14ac:dyDescent="0.25">
      <c r="A25" s="48"/>
      <c r="B25" s="48" t="s">
        <v>91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V25" s="27"/>
      <c r="W25" s="27"/>
    </row>
    <row r="26" spans="1:25" x14ac:dyDescent="0.25">
      <c r="A26" s="48"/>
      <c r="B26" s="48"/>
      <c r="C26" s="48"/>
      <c r="D26" s="48"/>
      <c r="E26" s="47" t="s">
        <v>85</v>
      </c>
      <c r="F26" s="48"/>
      <c r="G26" s="47" t="s">
        <v>86</v>
      </c>
      <c r="H26" s="48"/>
      <c r="I26" s="47" t="s">
        <v>50</v>
      </c>
      <c r="J26" s="48"/>
      <c r="K26" s="48"/>
      <c r="L26" s="48"/>
      <c r="P26" s="234" t="s">
        <v>188</v>
      </c>
      <c r="V26" s="67"/>
    </row>
    <row r="27" spans="1:25" x14ac:dyDescent="0.25">
      <c r="A27" s="48"/>
      <c r="B27" s="48"/>
      <c r="C27" s="48" t="s">
        <v>182</v>
      </c>
      <c r="D27" s="48"/>
      <c r="E27" s="93">
        <v>4609.5</v>
      </c>
      <c r="F27" s="51"/>
      <c r="G27" s="49">
        <f>I27/E27</f>
        <v>2.940030372057707</v>
      </c>
      <c r="H27" s="48"/>
      <c r="I27" s="157">
        <v>13552.07</v>
      </c>
      <c r="J27" s="48"/>
      <c r="K27" s="48"/>
      <c r="L27" s="48"/>
      <c r="P27" s="8">
        <f>I35+I20</f>
        <v>24389.31603804847</v>
      </c>
      <c r="V27" s="27"/>
    </row>
    <row r="28" spans="1:25" x14ac:dyDescent="0.25">
      <c r="A28" s="48"/>
      <c r="B28" s="48"/>
      <c r="C28" s="48" t="s">
        <v>183</v>
      </c>
      <c r="D28" s="48"/>
      <c r="E28" s="90">
        <v>1187</v>
      </c>
      <c r="F28" s="48"/>
      <c r="G28" s="49">
        <f>I28/E28</f>
        <v>1.2324768323504633</v>
      </c>
      <c r="H28" s="49"/>
      <c r="I28" s="158">
        <v>1462.95</v>
      </c>
      <c r="J28" s="48"/>
      <c r="K28" s="48"/>
      <c r="L28" s="48"/>
      <c r="P28" s="134">
        <f>+E20+E33</f>
        <v>57490</v>
      </c>
      <c r="R28" s="56"/>
    </row>
    <row r="29" spans="1:25" ht="15.75" thickBot="1" x14ac:dyDescent="0.3">
      <c r="A29" s="48"/>
      <c r="B29" s="48"/>
      <c r="C29" s="48"/>
      <c r="D29" s="48"/>
      <c r="E29" s="44"/>
      <c r="F29" s="48"/>
      <c r="G29" s="48"/>
      <c r="H29" s="48"/>
      <c r="I29" s="170">
        <f>SUM(I27:I28)</f>
        <v>15015.02</v>
      </c>
      <c r="J29" s="48"/>
      <c r="K29" s="48"/>
      <c r="L29" s="48"/>
    </row>
    <row r="30" spans="1:25" ht="15.75" thickTop="1" x14ac:dyDescent="0.25">
      <c r="V30" s="27"/>
    </row>
    <row r="31" spans="1:25" x14ac:dyDescent="0.25">
      <c r="A31" s="48"/>
      <c r="B31" s="48"/>
      <c r="C31" s="40" t="s">
        <v>77</v>
      </c>
      <c r="D31" s="40"/>
      <c r="E31" s="40" t="s">
        <v>181</v>
      </c>
      <c r="F31" s="48"/>
      <c r="G31" s="40" t="s">
        <v>78</v>
      </c>
      <c r="H31" s="48"/>
      <c r="I31" s="40" t="s">
        <v>79</v>
      </c>
      <c r="J31" s="48"/>
      <c r="K31" s="40" t="s">
        <v>80</v>
      </c>
      <c r="L31" s="48"/>
      <c r="V31" s="27"/>
      <c r="W31" s="27"/>
      <c r="Y31" s="67"/>
    </row>
    <row r="33" spans="1:25" x14ac:dyDescent="0.25">
      <c r="A33" s="48"/>
      <c r="B33" s="48"/>
      <c r="C33" s="48" t="s">
        <v>92</v>
      </c>
      <c r="D33" s="48"/>
      <c r="E33" s="238">
        <v>43723</v>
      </c>
      <c r="F33" s="48"/>
      <c r="G33" s="45">
        <f>E33/E35</f>
        <v>1</v>
      </c>
      <c r="H33" s="48"/>
      <c r="I33" s="49">
        <f>+I27+I28</f>
        <v>15015.02</v>
      </c>
      <c r="J33" s="48"/>
      <c r="K33" s="238">
        <v>71544</v>
      </c>
      <c r="L33" s="48"/>
      <c r="P33" t="s">
        <v>209</v>
      </c>
      <c r="V33" s="27"/>
      <c r="W33" s="27"/>
      <c r="Y33" s="67"/>
    </row>
    <row r="34" spans="1:25" x14ac:dyDescent="0.25">
      <c r="A34" s="48"/>
      <c r="B34" s="48"/>
      <c r="C34" s="39"/>
      <c r="D34" s="39"/>
      <c r="E34" s="39"/>
      <c r="F34" s="39"/>
      <c r="G34" s="46"/>
      <c r="H34" s="39"/>
      <c r="I34" s="39"/>
      <c r="J34" s="39"/>
      <c r="K34" s="39"/>
      <c r="L34" s="48"/>
      <c r="R34" s="27"/>
      <c r="V34" s="27"/>
    </row>
    <row r="35" spans="1:25" x14ac:dyDescent="0.25">
      <c r="A35" s="48"/>
      <c r="B35" s="48"/>
      <c r="C35" s="48" t="s">
        <v>90</v>
      </c>
      <c r="D35" s="48"/>
      <c r="E35" s="38">
        <f>E33</f>
        <v>43723</v>
      </c>
      <c r="F35" s="48"/>
      <c r="G35" s="45">
        <f>G33</f>
        <v>1</v>
      </c>
      <c r="H35" s="48"/>
      <c r="I35" s="154">
        <f>I33</f>
        <v>15015.02</v>
      </c>
      <c r="J35" s="48"/>
      <c r="K35" s="38">
        <f>K33</f>
        <v>71544</v>
      </c>
      <c r="L35" s="48"/>
      <c r="V35" s="27"/>
    </row>
    <row r="36" spans="1:25" x14ac:dyDescent="0.25">
      <c r="R36" s="27"/>
    </row>
    <row r="37" spans="1:25" ht="15.75" thickBot="1" x14ac:dyDescent="0.3">
      <c r="I37" s="6"/>
      <c r="K37" s="27"/>
    </row>
    <row r="38" spans="1:25" x14ac:dyDescent="0.25">
      <c r="G38" s="181" t="s">
        <v>169</v>
      </c>
      <c r="H38" s="182"/>
      <c r="I38" s="183">
        <f>+I19</f>
        <v>69941.903961951524</v>
      </c>
      <c r="J38" s="184"/>
    </row>
    <row r="39" spans="1:25" x14ac:dyDescent="0.25">
      <c r="G39" s="185" t="s">
        <v>168</v>
      </c>
      <c r="I39" s="233">
        <f>+I20+I29</f>
        <v>24389.31603804847</v>
      </c>
      <c r="J39" s="186"/>
      <c r="P39" s="6"/>
    </row>
    <row r="40" spans="1:25" ht="15.75" thickBot="1" x14ac:dyDescent="0.3">
      <c r="G40" s="185"/>
      <c r="I40" s="105">
        <f>SUM(I38:I39)</f>
        <v>94331.22</v>
      </c>
      <c r="J40" s="186"/>
    </row>
    <row r="41" spans="1:25" ht="15.75" thickTop="1" x14ac:dyDescent="0.25">
      <c r="G41" s="185"/>
      <c r="I41" s="55"/>
      <c r="J41" s="186"/>
    </row>
    <row r="42" spans="1:25" x14ac:dyDescent="0.25">
      <c r="G42" s="212" t="s">
        <v>217</v>
      </c>
      <c r="I42" s="55"/>
      <c r="J42" s="186"/>
    </row>
    <row r="43" spans="1:25" x14ac:dyDescent="0.25">
      <c r="D43" s="16"/>
      <c r="E43" s="20"/>
      <c r="G43" s="185" t="s">
        <v>199</v>
      </c>
      <c r="I43" s="187">
        <v>56238.18</v>
      </c>
      <c r="J43" s="186"/>
    </row>
    <row r="44" spans="1:25" x14ac:dyDescent="0.25">
      <c r="G44" s="185" t="s">
        <v>200</v>
      </c>
      <c r="I44" s="187">
        <v>38093.040000000001</v>
      </c>
      <c r="J44" s="186"/>
    </row>
    <row r="45" spans="1:25" x14ac:dyDescent="0.25">
      <c r="G45" s="185" t="s">
        <v>198</v>
      </c>
      <c r="I45" s="187">
        <f>+I43+I44</f>
        <v>94331.22</v>
      </c>
      <c r="J45" s="186"/>
    </row>
    <row r="46" spans="1:25" x14ac:dyDescent="0.25">
      <c r="G46" s="185"/>
      <c r="J46" s="186"/>
    </row>
    <row r="47" spans="1:25" ht="15.75" thickBot="1" x14ac:dyDescent="0.3">
      <c r="G47" s="188" t="s">
        <v>211</v>
      </c>
      <c r="H47" s="189"/>
      <c r="I47" s="190">
        <f>I40-I45</f>
        <v>0</v>
      </c>
      <c r="J47" s="191"/>
    </row>
  </sheetData>
  <pageMargins left="0.7" right="0.7" top="0.75" bottom="0.75" header="0.3" footer="0.3"/>
  <pageSetup scale="44" orientation="landscape" horizontalDpi="4294967295" verticalDpi="4294967295" r:id="rId1"/>
  <headerFooter>
    <oddFooter>&amp;L&amp;Z&amp;F&amp;A&amp;R&amp;D&amp;T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61"/>
  <sheetViews>
    <sheetView topLeftCell="A17" zoomScaleNormal="100" workbookViewId="0">
      <selection activeCell="F55" sqref="F55"/>
    </sheetView>
  </sheetViews>
  <sheetFormatPr defaultRowHeight="15" x14ac:dyDescent="0.25"/>
  <cols>
    <col min="1" max="3" width="1.42578125" customWidth="1"/>
    <col min="4" max="4" width="29.140625" customWidth="1"/>
    <col min="5" max="5" width="1.42578125" customWidth="1"/>
    <col min="6" max="6" width="13.28515625" style="106" customWidth="1"/>
    <col min="7" max="7" width="9.140625" customWidth="1"/>
    <col min="9" max="9" width="21.42578125" customWidth="1"/>
    <col min="10" max="10" width="13.140625" customWidth="1"/>
    <col min="11" max="11" width="1.42578125" customWidth="1"/>
    <col min="12" max="12" width="13.28515625" customWidth="1"/>
    <col min="13" max="13" width="1.42578125" customWidth="1"/>
    <col min="14" max="14" width="17.140625" customWidth="1"/>
    <col min="15" max="15" width="1.42578125" customWidth="1"/>
    <col min="16" max="16" width="11.85546875" customWidth="1"/>
    <col min="18" max="19" width="9.5703125" bestFit="1" customWidth="1"/>
  </cols>
  <sheetData>
    <row r="1" spans="1:21" x14ac:dyDescent="0.25">
      <c r="A1" s="16" t="s">
        <v>128</v>
      </c>
    </row>
    <row r="2" spans="1:21" x14ac:dyDescent="0.25">
      <c r="H2" s="16" t="s">
        <v>129</v>
      </c>
      <c r="J2" s="6"/>
      <c r="L2" s="107" t="str">
        <f>+'Commodity OK'!F2</f>
        <v>2403 file =</v>
      </c>
      <c r="M2" s="54"/>
      <c r="N2" s="97" t="str">
        <f>+'Commodity OK'!H2</f>
        <v>Data Input Mar 24 billing =Mar invoices = Feb Flow  data= Feb Sales Volume</v>
      </c>
    </row>
    <row r="3" spans="1:21" x14ac:dyDescent="0.25">
      <c r="A3" s="16" t="s">
        <v>98</v>
      </c>
      <c r="J3" s="6"/>
      <c r="L3" s="6"/>
    </row>
    <row r="4" spans="1:21" x14ac:dyDescent="0.25">
      <c r="F4" s="216" t="s">
        <v>8</v>
      </c>
      <c r="J4" s="6"/>
      <c r="L4" s="6"/>
    </row>
    <row r="5" spans="1:21" x14ac:dyDescent="0.25">
      <c r="H5" s="48"/>
      <c r="I5" s="48"/>
      <c r="J5" s="47" t="s">
        <v>85</v>
      </c>
      <c r="L5" s="47" t="s">
        <v>86</v>
      </c>
      <c r="N5" s="47" t="s">
        <v>50</v>
      </c>
      <c r="P5" s="133"/>
    </row>
    <row r="6" spans="1:21" x14ac:dyDescent="0.25">
      <c r="B6" t="s">
        <v>0</v>
      </c>
      <c r="F6" s="226">
        <f>ROUNDUP('Direct Charges'!N9,0)</f>
        <v>314</v>
      </c>
      <c r="I6" s="68" t="s">
        <v>150</v>
      </c>
      <c r="J6" s="90"/>
      <c r="L6" s="49" t="e">
        <f t="shared" ref="L6:L11" si="0">N6/J6</f>
        <v>#DIV/0!</v>
      </c>
      <c r="N6" s="91"/>
      <c r="P6" s="48"/>
    </row>
    <row r="7" spans="1:21" x14ac:dyDescent="0.25">
      <c r="B7" t="s">
        <v>4</v>
      </c>
      <c r="F7" s="226">
        <f>ROUNDUP('Direct Charges'!N15,0)</f>
        <v>450</v>
      </c>
      <c r="I7" s="68" t="s">
        <v>151</v>
      </c>
      <c r="J7" s="90">
        <f>877-38</f>
        <v>839</v>
      </c>
      <c r="L7" s="49">
        <f t="shared" si="0"/>
        <v>1.2033492252681763</v>
      </c>
      <c r="N7" s="91">
        <f>938.12+71.49</f>
        <v>1009.61</v>
      </c>
    </row>
    <row r="8" spans="1:21" x14ac:dyDescent="0.25">
      <c r="B8" t="s">
        <v>13</v>
      </c>
      <c r="F8" s="226">
        <f>ROUNDUP('Allocation Charges'!N6,0)</f>
        <v>0</v>
      </c>
      <c r="I8" s="68" t="s">
        <v>146</v>
      </c>
      <c r="J8" s="90">
        <v>850</v>
      </c>
      <c r="L8" s="49">
        <f t="shared" si="0"/>
        <v>4.88</v>
      </c>
      <c r="N8" s="91">
        <v>4148</v>
      </c>
      <c r="P8" s="48"/>
    </row>
    <row r="9" spans="1:21" x14ac:dyDescent="0.25">
      <c r="B9" t="s">
        <v>14</v>
      </c>
      <c r="F9" s="226">
        <v>0</v>
      </c>
      <c r="I9" s="68" t="s">
        <v>257</v>
      </c>
      <c r="J9" s="90">
        <v>7890</v>
      </c>
      <c r="L9" s="49">
        <f>N9/J9</f>
        <v>2.5444866920152092</v>
      </c>
      <c r="N9" s="91">
        <v>20076</v>
      </c>
      <c r="P9" s="48"/>
    </row>
    <row r="10" spans="1:21" x14ac:dyDescent="0.25">
      <c r="B10" t="s">
        <v>17</v>
      </c>
      <c r="F10" s="134"/>
      <c r="I10" s="68" t="s">
        <v>149</v>
      </c>
      <c r="J10" s="90">
        <v>7890</v>
      </c>
      <c r="L10" s="49">
        <f>N10/J10</f>
        <v>0.24</v>
      </c>
      <c r="N10" s="91">
        <v>1893.6</v>
      </c>
      <c r="P10" s="171" t="s">
        <v>267</v>
      </c>
      <c r="Q10" s="172"/>
      <c r="R10" s="172"/>
      <c r="S10" s="172"/>
      <c r="T10" s="172"/>
      <c r="U10" s="172"/>
    </row>
    <row r="11" spans="1:21" x14ac:dyDescent="0.25">
      <c r="C11" t="s">
        <v>37</v>
      </c>
      <c r="F11" s="226">
        <f>'Direct Charges'!N27</f>
        <v>0</v>
      </c>
      <c r="G11" s="6"/>
      <c r="I11" s="68" t="s">
        <v>147</v>
      </c>
      <c r="J11" s="108">
        <f>SUM(J6:J9)</f>
        <v>9579</v>
      </c>
      <c r="L11" s="72">
        <f t="shared" si="0"/>
        <v>2.8319459233740472</v>
      </c>
      <c r="N11" s="213">
        <f>SUM(N6:N10)</f>
        <v>27127.21</v>
      </c>
      <c r="P11" s="48"/>
    </row>
    <row r="12" spans="1:21" x14ac:dyDescent="0.25">
      <c r="C12" t="s">
        <v>38</v>
      </c>
      <c r="F12" s="226">
        <f>'Allocation Charges'!N7</f>
        <v>206.25968556391516</v>
      </c>
      <c r="G12" s="6"/>
      <c r="I12" s="68"/>
      <c r="J12" s="44"/>
      <c r="K12" s="6"/>
      <c r="L12" s="48"/>
      <c r="M12" s="6"/>
      <c r="N12" s="48"/>
      <c r="O12" s="6"/>
      <c r="P12" s="48"/>
    </row>
    <row r="13" spans="1:21" x14ac:dyDescent="0.25">
      <c r="D13" s="7" t="s">
        <v>39</v>
      </c>
      <c r="F13" s="227">
        <f>ROUNDUP(F11+F12,0)</f>
        <v>207</v>
      </c>
      <c r="G13" s="6"/>
    </row>
    <row r="14" spans="1:21" x14ac:dyDescent="0.25">
      <c r="D14" s="7"/>
      <c r="F14" s="102"/>
      <c r="G14" s="6"/>
      <c r="I14" s="69" t="s">
        <v>77</v>
      </c>
      <c r="J14" s="40" t="s">
        <v>181</v>
      </c>
      <c r="K14" s="6"/>
      <c r="L14" s="40" t="s">
        <v>78</v>
      </c>
      <c r="M14" s="6"/>
      <c r="N14" s="40" t="s">
        <v>79</v>
      </c>
      <c r="O14" s="6"/>
      <c r="P14" s="40" t="s">
        <v>80</v>
      </c>
    </row>
    <row r="15" spans="1:21" x14ac:dyDescent="0.25">
      <c r="B15" t="s">
        <v>15</v>
      </c>
      <c r="F15" s="226">
        <f>ROUNDUP('Allocation Charges'!N8,0)</f>
        <v>223</v>
      </c>
      <c r="G15" s="6"/>
      <c r="I15" s="68"/>
      <c r="J15" s="48"/>
      <c r="K15" s="6"/>
      <c r="L15" s="48"/>
      <c r="M15" s="6"/>
      <c r="N15" s="48"/>
      <c r="O15" s="6"/>
      <c r="P15" s="40"/>
      <c r="R15" s="54"/>
    </row>
    <row r="16" spans="1:21" x14ac:dyDescent="0.25">
      <c r="B16" t="s">
        <v>18</v>
      </c>
      <c r="F16" s="226">
        <f>ROUNDUP('Allocation Charges'!N9,0)</f>
        <v>0</v>
      </c>
      <c r="G16" s="6"/>
      <c r="I16" s="68" t="s">
        <v>148</v>
      </c>
      <c r="J16" s="92">
        <v>230198</v>
      </c>
      <c r="K16" s="6"/>
      <c r="L16" s="45">
        <v>1</v>
      </c>
      <c r="M16" s="6"/>
      <c r="N16" s="49">
        <f>L16*N11</f>
        <v>27127.21</v>
      </c>
      <c r="O16" s="6"/>
      <c r="P16" s="92">
        <v>110812</v>
      </c>
    </row>
    <row r="17" spans="2:18" x14ac:dyDescent="0.25">
      <c r="B17" t="s">
        <v>19</v>
      </c>
      <c r="F17" s="226">
        <f>ROUNDUP('Allocation Charges'!N10,0)</f>
        <v>2054</v>
      </c>
      <c r="G17" s="6"/>
      <c r="H17" s="48"/>
    </row>
    <row r="18" spans="2:18" x14ac:dyDescent="0.25">
      <c r="B18" t="s">
        <v>20</v>
      </c>
      <c r="F18" s="102"/>
      <c r="G18" s="6"/>
      <c r="H18" s="48"/>
      <c r="I18" t="s">
        <v>90</v>
      </c>
      <c r="J18" s="70">
        <f>J16</f>
        <v>230198</v>
      </c>
      <c r="N18" s="71">
        <f>N16</f>
        <v>27127.21</v>
      </c>
      <c r="P18" s="70">
        <f>P16</f>
        <v>110812</v>
      </c>
    </row>
    <row r="19" spans="2:18" ht="15.75" thickBot="1" x14ac:dyDescent="0.3">
      <c r="C19" t="s">
        <v>37</v>
      </c>
      <c r="F19" s="134">
        <f>'Direct Charges'!N38</f>
        <v>0</v>
      </c>
      <c r="G19" s="6"/>
      <c r="H19" s="48"/>
      <c r="I19" s="48"/>
      <c r="J19" s="217"/>
      <c r="K19" s="6"/>
      <c r="L19" s="45"/>
      <c r="M19" s="6"/>
      <c r="N19" s="49"/>
      <c r="O19" s="6"/>
      <c r="P19" s="38"/>
    </row>
    <row r="20" spans="2:18" ht="15.75" thickBot="1" x14ac:dyDescent="0.3">
      <c r="C20" t="s">
        <v>38</v>
      </c>
      <c r="F20" s="134">
        <f>'Allocation Charges'!N11</f>
        <v>213.30891416845776</v>
      </c>
      <c r="G20" s="6"/>
      <c r="I20" t="s">
        <v>75</v>
      </c>
      <c r="L20" s="109">
        <f>+J10*0.18</f>
        <v>1420.2</v>
      </c>
      <c r="M20" s="6"/>
      <c r="O20" s="6"/>
      <c r="P20" s="76" t="s">
        <v>192</v>
      </c>
      <c r="Q20" s="74"/>
    </row>
    <row r="21" spans="2:18" ht="15.75" thickBot="1" x14ac:dyDescent="0.3">
      <c r="D21" s="7" t="s">
        <v>39</v>
      </c>
      <c r="F21" s="227">
        <f>ROUNDUP(F19+F20,0)</f>
        <v>214</v>
      </c>
      <c r="G21" s="6"/>
      <c r="I21" t="s">
        <v>135</v>
      </c>
      <c r="L21" s="6">
        <f>J10*0.2</f>
        <v>1578</v>
      </c>
      <c r="M21" s="6"/>
      <c r="O21" s="6"/>
      <c r="P21" s="76" t="s">
        <v>194</v>
      </c>
    </row>
    <row r="22" spans="2:18" x14ac:dyDescent="0.25">
      <c r="B22" t="s">
        <v>21</v>
      </c>
      <c r="F22" s="102"/>
      <c r="G22" s="6"/>
      <c r="L22" s="30">
        <f>SUM(L18:L21)</f>
        <v>2998.2</v>
      </c>
      <c r="M22" s="6"/>
      <c r="O22" s="6"/>
      <c r="P22" s="162" t="s">
        <v>162</v>
      </c>
      <c r="Q22" s="165" t="s">
        <v>193</v>
      </c>
      <c r="R22" s="164" t="s">
        <v>50</v>
      </c>
    </row>
    <row r="23" spans="2:18" ht="15.75" thickBot="1" x14ac:dyDescent="0.3">
      <c r="C23" t="s">
        <v>37</v>
      </c>
      <c r="F23" s="134">
        <f>'Direct Charges'!N44</f>
        <v>245.83</v>
      </c>
      <c r="G23" s="6"/>
      <c r="K23" s="6"/>
      <c r="M23" s="6"/>
      <c r="O23" s="6"/>
      <c r="P23" s="160">
        <f>+J10</f>
        <v>7890</v>
      </c>
      <c r="Q23" s="147">
        <v>0.18</v>
      </c>
      <c r="R23" s="161">
        <f>+P23*Q23</f>
        <v>1420.2</v>
      </c>
    </row>
    <row r="24" spans="2:18" x14ac:dyDescent="0.25">
      <c r="C24" t="s">
        <v>38</v>
      </c>
      <c r="F24" s="134">
        <f>'Allocation Charges'!N12</f>
        <v>94.479123020033654</v>
      </c>
      <c r="G24" s="6"/>
      <c r="K24" s="6"/>
      <c r="M24" s="6"/>
      <c r="O24" s="6"/>
    </row>
    <row r="25" spans="2:18" x14ac:dyDescent="0.25">
      <c r="D25" s="7" t="s">
        <v>39</v>
      </c>
      <c r="F25" s="227">
        <f>ROUNDUP(F23+F24,0)</f>
        <v>341</v>
      </c>
      <c r="G25" s="6"/>
      <c r="K25" s="6"/>
      <c r="M25" s="6"/>
      <c r="O25" s="6"/>
    </row>
    <row r="26" spans="2:18" x14ac:dyDescent="0.25">
      <c r="B26" t="s">
        <v>25</v>
      </c>
      <c r="F26" s="226">
        <f>ROUNDUP('Allocation Charges'!N13,0)</f>
        <v>438</v>
      </c>
      <c r="G26" s="6"/>
      <c r="K26" s="6"/>
      <c r="M26" s="6"/>
      <c r="O26" s="6"/>
    </row>
    <row r="27" spans="2:18" x14ac:dyDescent="0.25">
      <c r="B27" t="s">
        <v>26</v>
      </c>
      <c r="F27" s="134"/>
      <c r="G27" s="6"/>
      <c r="K27" s="6"/>
      <c r="M27" s="6"/>
      <c r="O27" s="6"/>
    </row>
    <row r="28" spans="2:18" x14ac:dyDescent="0.25">
      <c r="C28" t="s">
        <v>37</v>
      </c>
      <c r="F28" s="134">
        <f>+'Direct Charges'!N50</f>
        <v>0</v>
      </c>
      <c r="G28" s="6"/>
      <c r="K28" s="6"/>
      <c r="M28" s="6"/>
      <c r="O28" s="6"/>
    </row>
    <row r="29" spans="2:18" x14ac:dyDescent="0.25">
      <c r="C29" t="s">
        <v>38</v>
      </c>
      <c r="F29" s="134">
        <f>'Allocation Charges'!N14</f>
        <v>0</v>
      </c>
      <c r="G29" s="6"/>
      <c r="K29" s="6"/>
      <c r="M29" s="6"/>
      <c r="O29" s="6"/>
    </row>
    <row r="30" spans="2:18" x14ac:dyDescent="0.25">
      <c r="D30" s="7" t="s">
        <v>39</v>
      </c>
      <c r="F30" s="227">
        <f>ROUNDUP(F28+F29,0)</f>
        <v>0</v>
      </c>
      <c r="G30" s="6"/>
      <c r="K30" s="6"/>
      <c r="M30" s="6"/>
      <c r="O30" s="6"/>
    </row>
    <row r="31" spans="2:18" x14ac:dyDescent="0.25">
      <c r="B31" t="s">
        <v>27</v>
      </c>
      <c r="F31" s="134"/>
      <c r="G31" s="6"/>
      <c r="K31" s="6"/>
      <c r="M31" s="6"/>
      <c r="O31" s="6"/>
    </row>
    <row r="32" spans="2:18" x14ac:dyDescent="0.25">
      <c r="C32" t="s">
        <v>37</v>
      </c>
      <c r="F32" s="134">
        <f>+'Direct Charges'!N56</f>
        <v>0</v>
      </c>
      <c r="G32" s="6"/>
      <c r="K32" s="6"/>
      <c r="M32" s="6"/>
      <c r="O32" s="6"/>
    </row>
    <row r="33" spans="1:15" x14ac:dyDescent="0.25">
      <c r="C33" t="s">
        <v>38</v>
      </c>
      <c r="F33" s="134">
        <f>'Allocation Charges'!N15</f>
        <v>1000</v>
      </c>
      <c r="G33" s="6"/>
      <c r="K33" s="6"/>
      <c r="M33" s="6"/>
      <c r="O33" s="6"/>
    </row>
    <row r="34" spans="1:15" x14ac:dyDescent="0.25">
      <c r="D34" s="7" t="s">
        <v>39</v>
      </c>
      <c r="F34" s="227">
        <f>ROUNDUP(F32+F33,0)</f>
        <v>1000</v>
      </c>
      <c r="G34" s="6"/>
      <c r="K34" s="6"/>
      <c r="M34" s="6"/>
      <c r="O34" s="6"/>
    </row>
    <row r="35" spans="1:15" x14ac:dyDescent="0.25">
      <c r="B35" t="s">
        <v>195</v>
      </c>
      <c r="F35" s="226">
        <f>ROUNDUP('Allocation Charges'!N16,0)</f>
        <v>0</v>
      </c>
      <c r="G35" s="6"/>
      <c r="K35" s="6"/>
      <c r="M35" s="6"/>
      <c r="O35" s="6"/>
    </row>
    <row r="36" spans="1:15" x14ac:dyDescent="0.25">
      <c r="B36" t="s">
        <v>28</v>
      </c>
      <c r="F36" s="226">
        <f>ROUNDUP('Allocation Charges'!N17,0)</f>
        <v>0</v>
      </c>
      <c r="G36" s="6"/>
      <c r="K36" s="6"/>
      <c r="M36" s="6"/>
      <c r="O36" s="6"/>
    </row>
    <row r="37" spans="1:15" x14ac:dyDescent="0.25">
      <c r="B37" t="s">
        <v>29</v>
      </c>
      <c r="F37" s="226">
        <f>ROUNDUP('Allocation Charges'!N18,0)</f>
        <v>80</v>
      </c>
      <c r="G37" s="6"/>
      <c r="K37" s="6"/>
      <c r="M37" s="6"/>
      <c r="O37" s="6"/>
    </row>
    <row r="38" spans="1:15" x14ac:dyDescent="0.25">
      <c r="B38" t="s">
        <v>30</v>
      </c>
      <c r="F38" s="226">
        <f>ROUNDUP('Allocation Charges'!N19,0)</f>
        <v>162</v>
      </c>
      <c r="G38" s="6"/>
      <c r="K38" s="6"/>
      <c r="M38" s="6"/>
      <c r="O38" s="6"/>
    </row>
    <row r="39" spans="1:15" x14ac:dyDescent="0.25">
      <c r="F39" s="102"/>
      <c r="G39" s="6"/>
      <c r="K39" s="6"/>
      <c r="M39" s="6"/>
      <c r="O39" s="6"/>
    </row>
    <row r="40" spans="1:15" x14ac:dyDescent="0.25">
      <c r="F40" s="228">
        <f>F6+F7+F8+F9+F13+F15+F16+F17+F21+F25+F26+F30+F34+F35+F36+F37+F38</f>
        <v>5483</v>
      </c>
      <c r="G40" s="6"/>
      <c r="K40" s="6"/>
      <c r="M40" s="6"/>
      <c r="O40" s="6"/>
    </row>
    <row r="41" spans="1:15" x14ac:dyDescent="0.25">
      <c r="F41" s="102"/>
      <c r="G41" s="6"/>
      <c r="K41" s="6"/>
      <c r="M41" s="6"/>
      <c r="O41" s="6"/>
    </row>
    <row r="42" spans="1:15" x14ac:dyDescent="0.25">
      <c r="A42" s="16" t="s">
        <v>99</v>
      </c>
      <c r="F42" s="229" t="s">
        <v>270</v>
      </c>
      <c r="G42" s="6"/>
      <c r="H42" s="124"/>
      <c r="K42" s="6"/>
      <c r="M42" s="6"/>
      <c r="O42" s="6"/>
    </row>
    <row r="43" spans="1:15" x14ac:dyDescent="0.25">
      <c r="F43" s="102"/>
      <c r="G43" s="6"/>
      <c r="K43" s="6"/>
      <c r="M43" s="6"/>
      <c r="O43" s="6"/>
    </row>
    <row r="44" spans="1:15" x14ac:dyDescent="0.25">
      <c r="B44" t="s">
        <v>46</v>
      </c>
      <c r="F44" s="226">
        <f>ROUNDUP('Allocation Charges'!N27,0)</f>
        <v>390</v>
      </c>
      <c r="G44" s="6"/>
      <c r="K44" s="6"/>
      <c r="M44" s="6"/>
      <c r="O44" s="6"/>
    </row>
    <row r="45" spans="1:15" x14ac:dyDescent="0.25">
      <c r="B45" t="s">
        <v>32</v>
      </c>
      <c r="F45" s="226">
        <f>ROUNDUP('Allocation Charges'!N28,0)</f>
        <v>121</v>
      </c>
      <c r="G45" s="6"/>
      <c r="K45" s="6"/>
      <c r="M45" s="6"/>
      <c r="O45" s="6"/>
    </row>
    <row r="46" spans="1:15" x14ac:dyDescent="0.25">
      <c r="B46" t="s">
        <v>47</v>
      </c>
      <c r="F46" s="226">
        <f>ROUNDUP('Allocation Charges'!N29,0)</f>
        <v>193</v>
      </c>
      <c r="G46" s="6"/>
      <c r="K46" s="6"/>
      <c r="M46" s="6"/>
      <c r="O46" s="6"/>
    </row>
    <row r="47" spans="1:15" x14ac:dyDescent="0.25">
      <c r="B47" t="s">
        <v>48</v>
      </c>
      <c r="F47" s="226">
        <f>ROUNDUP('Allocation Charges'!N30,0)</f>
        <v>117</v>
      </c>
      <c r="G47" s="6"/>
      <c r="I47" s="60"/>
      <c r="K47" s="6"/>
      <c r="M47" s="6"/>
      <c r="O47" s="6"/>
    </row>
    <row r="48" spans="1:15" x14ac:dyDescent="0.25">
      <c r="B48" t="s">
        <v>41</v>
      </c>
      <c r="F48" s="226">
        <f>ROUNDUP('Allocation Charges'!N31,0)</f>
        <v>112</v>
      </c>
      <c r="G48" s="6"/>
      <c r="I48" s="60"/>
    </row>
    <row r="49" spans="1:9" x14ac:dyDescent="0.25">
      <c r="B49" t="s">
        <v>31</v>
      </c>
      <c r="F49" s="226">
        <f>ROUNDUP('Allocation Charges'!N32,0)</f>
        <v>354</v>
      </c>
      <c r="G49" s="6"/>
      <c r="I49" s="60"/>
    </row>
    <row r="50" spans="1:9" x14ac:dyDescent="0.25">
      <c r="F50" s="102"/>
    </row>
    <row r="51" spans="1:9" x14ac:dyDescent="0.25">
      <c r="F51" s="228">
        <f>SUM(F44:F49)</f>
        <v>1287</v>
      </c>
      <c r="H51" s="23"/>
      <c r="I51" s="23"/>
    </row>
    <row r="52" spans="1:9" x14ac:dyDescent="0.25">
      <c r="F52" s="102"/>
    </row>
    <row r="53" spans="1:9" x14ac:dyDescent="0.25">
      <c r="A53" s="16" t="s">
        <v>83</v>
      </c>
    </row>
    <row r="54" spans="1:9" x14ac:dyDescent="0.25">
      <c r="A54" s="16"/>
      <c r="B54" t="s">
        <v>107</v>
      </c>
      <c r="F54" s="240">
        <f>ROUNDUP(N16,0)</f>
        <v>27128</v>
      </c>
    </row>
    <row r="55" spans="1:9" x14ac:dyDescent="0.25">
      <c r="A55" s="16"/>
      <c r="B55" t="s">
        <v>108</v>
      </c>
      <c r="F55" s="240">
        <f>ROUNDUP(L22,0)</f>
        <v>2999</v>
      </c>
    </row>
    <row r="56" spans="1:9" x14ac:dyDescent="0.25">
      <c r="A56" s="16"/>
      <c r="F56" s="239"/>
    </row>
    <row r="57" spans="1:9" x14ac:dyDescent="0.25">
      <c r="A57" s="16"/>
      <c r="F57" s="228">
        <f>SUM(F54:F55)</f>
        <v>30127</v>
      </c>
    </row>
    <row r="58" spans="1:9" x14ac:dyDescent="0.25">
      <c r="A58" s="16"/>
      <c r="F58" s="239"/>
    </row>
    <row r="59" spans="1:9" ht="7.5" customHeight="1" x14ac:dyDescent="0.25">
      <c r="F59" s="102"/>
    </row>
    <row r="60" spans="1:9" x14ac:dyDescent="0.25">
      <c r="A60" s="35"/>
      <c r="B60" s="35"/>
      <c r="C60" s="35"/>
      <c r="D60" s="35"/>
      <c r="E60" s="35"/>
      <c r="F60" s="230"/>
      <c r="G60" s="35"/>
      <c r="H60" s="35"/>
    </row>
    <row r="61" spans="1:9" x14ac:dyDescent="0.25">
      <c r="D61" s="15" t="s">
        <v>56</v>
      </c>
      <c r="F61" s="228">
        <f>F40+F51+F57</f>
        <v>36897</v>
      </c>
    </row>
  </sheetData>
  <pageMargins left="0.25" right="0.25" top="0.5" bottom="0.75" header="0" footer="0.3"/>
  <pageSetup scale="53" fitToHeight="0" orientation="landscape" horizontalDpi="4294967295" verticalDpi="4294967295" r:id="rId1"/>
  <headerFooter>
    <oddFooter>&amp;L&amp;Z&amp;F&amp;A&amp;R&amp;D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9CD7A-E9B7-434A-B625-8DDCB5F2CDC5}">
  <sheetPr>
    <pageSetUpPr fitToPage="1"/>
  </sheetPr>
  <dimension ref="A1:L17"/>
  <sheetViews>
    <sheetView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G20" sqref="G20"/>
    </sheetView>
  </sheetViews>
  <sheetFormatPr defaultRowHeight="15" x14ac:dyDescent="0.25"/>
  <cols>
    <col min="1" max="3" width="1.42578125" customWidth="1"/>
    <col min="4" max="4" width="33" customWidth="1"/>
    <col min="5" max="5" width="9" customWidth="1"/>
    <col min="6" max="6" width="19.85546875" customWidth="1"/>
    <col min="7" max="7" width="9.42578125" customWidth="1"/>
    <col min="8" max="8" width="12.7109375" customWidth="1"/>
    <col min="9" max="9" width="9.28515625" customWidth="1"/>
    <col min="10" max="10" width="15.28515625" customWidth="1"/>
    <col min="11" max="11" width="10" customWidth="1"/>
    <col min="12" max="12" width="11.140625" customWidth="1"/>
    <col min="13" max="17" width="9.28515625" customWidth="1"/>
  </cols>
  <sheetData>
    <row r="1" spans="1:12" x14ac:dyDescent="0.25">
      <c r="A1" s="16" t="s">
        <v>256</v>
      </c>
      <c r="F1" s="6" t="str">
        <f>+'Commodity OK'!H2</f>
        <v>Data Input Mar 24 billing =Mar invoices = Feb Flow  data= Feb Sales Volume</v>
      </c>
    </row>
    <row r="2" spans="1:12" x14ac:dyDescent="0.25">
      <c r="H2" s="18"/>
      <c r="I2" s="17" t="s">
        <v>9</v>
      </c>
      <c r="J2" s="18"/>
      <c r="K2" s="18"/>
    </row>
    <row r="3" spans="1:12" x14ac:dyDescent="0.25">
      <c r="A3" s="16" t="s">
        <v>98</v>
      </c>
      <c r="H3" s="19" t="s">
        <v>253</v>
      </c>
      <c r="I3" s="19"/>
      <c r="J3" s="19" t="s">
        <v>254</v>
      </c>
      <c r="K3" s="19"/>
    </row>
    <row r="4" spans="1:12" x14ac:dyDescent="0.25">
      <c r="F4" s="17" t="s">
        <v>8</v>
      </c>
      <c r="H4" s="1"/>
      <c r="J4" s="1"/>
    </row>
    <row r="6" spans="1:12" x14ac:dyDescent="0.25">
      <c r="B6" t="s">
        <v>255</v>
      </c>
      <c r="F6" s="6"/>
      <c r="G6" s="60"/>
      <c r="H6" s="6"/>
      <c r="I6" s="60"/>
      <c r="J6" s="120"/>
      <c r="K6" s="60"/>
      <c r="L6" s="6"/>
    </row>
    <row r="7" spans="1:12" x14ac:dyDescent="0.25">
      <c r="C7" t="s">
        <v>249</v>
      </c>
      <c r="F7" s="85">
        <f>+'Direct Charges'!P21</f>
        <v>465.53</v>
      </c>
      <c r="G7" s="60"/>
      <c r="H7" s="85">
        <f>ROUNDUP(F7,0)</f>
        <v>466</v>
      </c>
      <c r="I7" s="60"/>
      <c r="J7" s="222"/>
      <c r="K7" s="60"/>
    </row>
    <row r="8" spans="1:12" x14ac:dyDescent="0.25">
      <c r="C8" t="s">
        <v>250</v>
      </c>
      <c r="F8" s="85">
        <f>+'Direct Charges'!P22</f>
        <v>4563.07</v>
      </c>
      <c r="G8" s="60"/>
      <c r="H8" s="85"/>
      <c r="I8" s="60"/>
      <c r="J8" s="85">
        <f>ROUNDUP(F8,0)</f>
        <v>4564</v>
      </c>
      <c r="K8" s="60"/>
    </row>
    <row r="9" spans="1:12" x14ac:dyDescent="0.25">
      <c r="F9" s="6"/>
      <c r="G9" s="60"/>
      <c r="H9" s="6"/>
      <c r="I9" s="60"/>
      <c r="J9" s="120"/>
      <c r="K9" s="60"/>
    </row>
    <row r="10" spans="1:12" x14ac:dyDescent="0.25">
      <c r="B10" t="s">
        <v>20</v>
      </c>
      <c r="F10" s="6"/>
      <c r="G10" s="60"/>
      <c r="H10" s="6"/>
      <c r="I10" s="60"/>
      <c r="J10" s="120"/>
      <c r="K10" s="60"/>
    </row>
    <row r="11" spans="1:12" x14ac:dyDescent="0.25">
      <c r="C11" t="s">
        <v>251</v>
      </c>
      <c r="F11" s="85">
        <f>+'Direct Charges'!F34</f>
        <v>100</v>
      </c>
      <c r="G11" s="60"/>
      <c r="H11" s="85">
        <f>ROUNDUP(F11,0)</f>
        <v>100</v>
      </c>
      <c r="I11" s="60"/>
      <c r="J11" s="222"/>
      <c r="K11" s="60"/>
    </row>
    <row r="12" spans="1:12" x14ac:dyDescent="0.25">
      <c r="C12" t="s">
        <v>252</v>
      </c>
      <c r="F12" s="85">
        <f>+'Direct Charges'!F35</f>
        <v>522.28</v>
      </c>
      <c r="G12" s="60"/>
      <c r="H12" s="85"/>
      <c r="I12" s="60"/>
      <c r="J12" s="85">
        <f>ROUNDUP(F12,0)</f>
        <v>523</v>
      </c>
      <c r="K12" s="60"/>
    </row>
    <row r="13" spans="1:12" x14ac:dyDescent="0.25">
      <c r="F13" s="6"/>
      <c r="G13" s="60"/>
      <c r="H13" s="6"/>
      <c r="I13" s="60"/>
      <c r="J13" s="6"/>
      <c r="K13" s="60"/>
    </row>
    <row r="14" spans="1:12" x14ac:dyDescent="0.25">
      <c r="D14" s="15" t="s">
        <v>56</v>
      </c>
      <c r="F14" s="219">
        <f>SUM(F7:F13)</f>
        <v>5650.8799999999992</v>
      </c>
      <c r="G14" s="120"/>
      <c r="H14" s="219">
        <f>SUM(H7:H13)</f>
        <v>566</v>
      </c>
      <c r="I14" s="120"/>
      <c r="J14" s="219">
        <f>SUM(J7:J13)</f>
        <v>5087</v>
      </c>
      <c r="K14" s="120"/>
    </row>
    <row r="16" spans="1:12" x14ac:dyDescent="0.25">
      <c r="F16" s="6">
        <f>SUM(H14:K14)</f>
        <v>5653</v>
      </c>
      <c r="H16" s="102"/>
      <c r="J16" s="102"/>
    </row>
    <row r="17" spans="8:10" x14ac:dyDescent="0.25">
      <c r="H17" s="6"/>
      <c r="J17" s="6"/>
    </row>
  </sheetData>
  <pageMargins left="0.25" right="0.25" top="0.75" bottom="0.75" header="0.3" footer="0.3"/>
  <pageSetup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Direct Charges</vt:lpstr>
      <vt:lpstr>Allocation Charges</vt:lpstr>
      <vt:lpstr>Oklahoma</vt:lpstr>
      <vt:lpstr>Commodity OK</vt:lpstr>
      <vt:lpstr>Tennessee</vt:lpstr>
      <vt:lpstr>Kentucky</vt:lpstr>
      <vt:lpstr>Commodity TN KY</vt:lpstr>
      <vt:lpstr>Commodity Texas</vt:lpstr>
      <vt:lpstr>NC Hydro</vt:lpstr>
      <vt:lpstr>2024 Allocation Source</vt:lpstr>
      <vt:lpstr>2023 Allocation Source</vt:lpstr>
      <vt:lpstr>2024 NUC Rent</vt:lpstr>
      <vt:lpstr>2024 NALLC Rent</vt:lpstr>
      <vt:lpstr>2024 FCFA Rent</vt:lpstr>
      <vt:lpstr>'Allocation Charges'!Print_Area</vt:lpstr>
      <vt:lpstr>'Commodity OK'!Print_Area</vt:lpstr>
      <vt:lpstr>'Commodity Texas'!Print_Area</vt:lpstr>
      <vt:lpstr>'Direct Charges'!Print_Area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Carlos Gonzalez</cp:lastModifiedBy>
  <cp:lastPrinted>2024-05-23T19:53:51Z</cp:lastPrinted>
  <dcterms:created xsi:type="dcterms:W3CDTF">2013-02-08T00:44:54Z</dcterms:created>
  <dcterms:modified xsi:type="dcterms:W3CDTF">2024-09-12T23:47:52Z</dcterms:modified>
</cp:coreProperties>
</file>