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8BDA79EE-F19C-44DF-8778-C8C09C94CD58}" xr6:coauthVersionLast="47" xr6:coauthVersionMax="47" xr10:uidLastSave="{00000000-0000-0000-0000-000000000000}"/>
  <bookViews>
    <workbookView xWindow="-120" yWindow="-120" windowWidth="29040" windowHeight="15720" tabRatio="837" activeTab="7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Texas'!$A$1:$Z$61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" i="11" l="1"/>
  <c r="C44" i="11"/>
  <c r="F8" i="11" l="1"/>
  <c r="D8" i="11"/>
  <c r="I8" i="28"/>
  <c r="E8" i="28"/>
  <c r="I12" i="28"/>
  <c r="E12" i="28"/>
  <c r="N7" i="15"/>
  <c r="N11" i="15" s="1"/>
  <c r="J7" i="15"/>
  <c r="H25" i="11"/>
  <c r="F12" i="4"/>
  <c r="F11" i="4"/>
  <c r="F7" i="4"/>
  <c r="P23" i="15" l="1"/>
  <c r="R23" i="15" s="1"/>
  <c r="L21" i="15"/>
  <c r="L20" i="15"/>
  <c r="J11" i="15"/>
  <c r="L22" i="15" l="1"/>
  <c r="F55" i="15" s="1"/>
  <c r="F10" i="36" l="1"/>
  <c r="R8" i="36"/>
  <c r="R10" i="36" s="1"/>
  <c r="V8" i="36" l="1"/>
  <c r="V10" i="36" l="1"/>
  <c r="X8" i="36"/>
  <c r="X10" i="36" s="1"/>
  <c r="C25" i="32" l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C27" i="35"/>
  <c r="C29" i="35" s="1"/>
  <c r="G29" i="35" s="1"/>
  <c r="G20" i="35"/>
  <c r="E29" i="35"/>
  <c r="G3" i="35" l="1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D14" i="35"/>
  <c r="R5" i="4" s="1"/>
  <c r="J13" i="4" s="1"/>
  <c r="V17" i="36"/>
  <c r="R7" i="4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26" i="32" s="1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I10" i="33" l="1"/>
  <c r="J8" i="33"/>
  <c r="J10" i="33" s="1"/>
  <c r="G15" i="32"/>
  <c r="I8" i="32"/>
  <c r="J8" i="32" s="1"/>
  <c r="D25" i="32"/>
  <c r="H8" i="36" s="1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8" i="11"/>
  <c r="H29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2" i="11" l="1"/>
  <c r="H34" i="11"/>
  <c r="F55" i="8" l="1"/>
  <c r="F54" i="8"/>
  <c r="H55" i="8" l="1"/>
  <c r="H54" i="8"/>
  <c r="I1" i="28"/>
  <c r="G7" i="28"/>
  <c r="G9" i="28"/>
  <c r="G10" i="28"/>
  <c r="G12" i="28"/>
  <c r="G14" i="28"/>
  <c r="K22" i="28"/>
  <c r="E22" i="28"/>
  <c r="G19" i="28" s="1"/>
  <c r="G27" i="28"/>
  <c r="G28" i="28"/>
  <c r="I29" i="28"/>
  <c r="I33" i="28"/>
  <c r="I35" i="28" s="1"/>
  <c r="E35" i="28"/>
  <c r="G33" i="28" s="1"/>
  <c r="G35" i="28" s="1"/>
  <c r="K35" i="28"/>
  <c r="I45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8" i="28"/>
  <c r="F53" i="8"/>
  <c r="I39" i="28"/>
  <c r="P27" i="28"/>
  <c r="I22" i="28"/>
  <c r="I40" i="28" l="1"/>
  <c r="I47" i="28" s="1"/>
  <c r="F59" i="1" l="1"/>
  <c r="F64" i="1" s="1"/>
  <c r="F35" i="15"/>
  <c r="F43" i="9"/>
  <c r="F34" i="9"/>
  <c r="F35" i="8"/>
  <c r="N60" i="6" l="1"/>
  <c r="J57" i="6"/>
  <c r="F21" i="4" l="1"/>
  <c r="F65" i="1" l="1"/>
  <c r="F66" i="1" s="1"/>
  <c r="F68" i="1" s="1"/>
  <c r="R20" i="4"/>
  <c r="L57" i="1" l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4" i="11"/>
  <c r="L29" i="4" l="1"/>
  <c r="L28" i="4"/>
  <c r="L27" i="4"/>
  <c r="H35" i="11" l="1"/>
  <c r="H10" i="11" l="1"/>
  <c r="Q18" i="11" l="1"/>
  <c r="M11" i="11" l="1"/>
  <c r="O8" i="11" l="1"/>
  <c r="O9" i="11"/>
  <c r="O7" i="11"/>
  <c r="O6" i="11"/>
  <c r="L10" i="15"/>
  <c r="F36" i="11" l="1"/>
  <c r="F1" i="6" l="1"/>
  <c r="L16" i="4"/>
  <c r="F37" i="6" s="1"/>
  <c r="H33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1" i="11"/>
  <c r="H30" i="11"/>
  <c r="H27" i="11"/>
  <c r="H26" i="11"/>
  <c r="D36" i="11"/>
  <c r="H17" i="11"/>
  <c r="H16" i="11"/>
  <c r="H15" i="11"/>
  <c r="H14" i="11"/>
  <c r="H13" i="11"/>
  <c r="H12" i="11"/>
  <c r="H11" i="11"/>
  <c r="H9" i="11"/>
  <c r="H8" i="11"/>
  <c r="H7" i="11"/>
  <c r="D18" i="11"/>
  <c r="F41" i="11" s="1"/>
  <c r="F56" i="8" l="1"/>
  <c r="F42" i="11"/>
  <c r="N16" i="15"/>
  <c r="F54" i="15" s="1"/>
  <c r="F57" i="15" s="1"/>
  <c r="J44" i="11"/>
  <c r="M44" i="11" s="1"/>
  <c r="L11" i="15"/>
  <c r="Q19" i="11" l="1"/>
  <c r="Q20" i="11" s="1"/>
  <c r="F43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6" i="11"/>
  <c r="F18" i="11"/>
  <c r="C45" i="11" s="1"/>
  <c r="P69" i="1" l="1"/>
  <c r="F51" i="15"/>
  <c r="F61" i="15" s="1"/>
  <c r="C46" i="11"/>
  <c r="F45" i="11"/>
  <c r="F46" i="11" s="1"/>
  <c r="H18" i="11"/>
  <c r="H23" i="11"/>
  <c r="H46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1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<sst xmlns="http://schemas.openxmlformats.org/spreadsheetml/2006/main" count="641" uniqueCount="279">
  <si>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</si>
  <si>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</si>
  <si>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</si>
  <si>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</si>
  <si>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</si>
  <si>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</si>
  <si>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</si>
  <si>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</si>
  <si>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</si>
  <si>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</si>
  <si>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</si>
  <si>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</si>
  <si>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</si>
  <si>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</si>
  <si>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</si>
  <si>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</si>
  <si>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</si>
  <si>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</si>
  <si>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</si>
  <si>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</si>
  <si>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</si>
  <si>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</si>
  <si>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</si>
  <si>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</si>
  <si>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</si>
  <si>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</si>
  <si>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</si>
  <si>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</si>
  <si>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</si>
  <si>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</si>
  <si>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</si>
  <si>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</si>
  <si>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</si>
  <si>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</si>
  <si>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</si>
  <si>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</si>
  <si>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</si>
  <si>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</si>
  <si>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</si>
  <si>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</si>
  <si>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</si>
  <si>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</si>
  <si>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</si>
  <si>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</si>
  <si>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</si>
  <si>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</si>
  <si>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</si>
  <si>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</si>
  <si>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</si>
  <si>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</si>
  <si>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</si>
  <si>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</si>
  <si>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</si>
  <si>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</si>
  <si>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</si>
  <si>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</si>
  <si>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</si>
  <si>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</si>
  <si>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</si>
  <si>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</si>
  <si>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</si>
  <si>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</si>
  <si>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</si>
  <si>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</si>
  <si>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</si>
  <si>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</si>
  <si>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</si>
  <si>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</si>
  <si>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</si>
  <si>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</si>
  <si>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</si>
  <si>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</si>
  <si>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</si>
  <si>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</si>
  <si>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</si>
  <si>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</si>
  <si>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</si>
  <si>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</si>
  <si>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</si>
  <si>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</si>
  <si>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</si>
  <si>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</si>
  <si>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</si>
  <si>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</si>
  <si>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</si>
  <si>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</si>
  <si>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</si>
  <si>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</si>
  <si>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</si>
  <si>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</si>
  <si>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</si>
  <si>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</si>
  <si>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</si>
  <si>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</si>
  <si>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</si>
  <si>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</si>
  <si>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</si>
  <si>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</si>
  <si>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</si>
  <si>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</si>
  <si>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</si>
  <si>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</si>
  <si>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</si>
  <si>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</si>
  <si>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</si>
  <si>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</si>
  <si>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</si>
  <si>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</si>
  <si>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</si>
  <si>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</si>
  <si>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</si>
  <si>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</si>
  <si>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</si>
  <si>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</si>
  <si>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</si>
  <si>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</si>
  <si>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</si>
  <si>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</si>
  <si>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</si>
  <si>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</si>
  <si>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</si>
  <si>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</si>
  <si>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</si>
  <si>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</si>
  <si>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</si>
  <si>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</si>
  <si>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</si>
  <si>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</si>
  <si>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</si>
  <si>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</si>
  <si>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</si>
  <si>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</si>
  <si>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</si>
  <si>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</si>
  <si>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</si>
  <si>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</si>
  <si>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</si>
  <si>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</si>
  <si>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</si>
  <si>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</si>
  <si>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</si>
  <si>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</si>
  <si>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</si>
  <si>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</si>
  <si>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</si>
  <si>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</si>
  <si>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</si>
  <si>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</si>
  <si>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</si>
  <si>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</si>
  <si>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</si>
  <si>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</si>
  <si>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</si>
  <si>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</si>
  <si>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</si>
  <si>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</si>
  <si>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</si>
  <si>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</si>
  <si>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</si>
  <si>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</si>
  <si>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</si>
  <si>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</si>
  <si>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</si>
  <si>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</si>
  <si>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</si>
  <si>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</si>
  <si>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</si>
  <si>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</si>
  <si>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</si>
  <si>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</si>
  <si>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</si>
  <si>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</si>
  <si>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</si>
  <si>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</si>
  <si>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</si>
  <si>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</si>
  <si>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</si>
  <si>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</si>
  <si>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</si>
  <si>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</si>
  <si>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</si>
  <si>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</si>
  <si>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DelGasco (Trans &amp; Supply) DTH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</si>
  <si>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</si>
  <si>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</si>
  <si>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</si>
  <si>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</si>
  <si>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</si>
  <si>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</si>
  <si>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</si>
  <si>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</si>
  <si>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</si>
  <si>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</si>
  <si>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</si>
  <si>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</si>
  <si>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</si>
  <si>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</si>
  <si>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</si>
  <si>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</si>
  <si>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</si>
  <si>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</si>
  <si>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</si>
  <si>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</si>
  <si>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</si>
  <si>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</si>
  <si>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</si>
  <si>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</si>
  <si>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</si>
  <si>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</si>
  <si>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</si>
  <si>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</si>
  <si>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</si>
  <si>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</si>
  <si>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</si>
  <si>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</si>
  <si>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</si>
  <si>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</si>
  <si>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</si>
  <si>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</si>
  <si>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</si>
  <si>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</si>
  <si>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</si>
  <si>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</si>
  <si>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</si>
  <si>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</si>
  <si>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</si>
  <si>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</si>
  <si>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</si>
  <si>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</si>
  <si>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</si>
  <si>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</si>
  <si>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</si>
  <si>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</si>
  <si>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</si>
  <si>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</si>
  <si>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</si>
  <si>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</si>
  <si>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</si>
  <si>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</si>
  <si>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</si>
  <si>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</si>
  <si>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Delgasco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</si>
  <si>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</si>
  <si>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</si>
  <si>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</si>
  <si>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</si>
  <si>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</si>
  <si>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</si>
  <si>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</si>
  <si>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</si>
  <si>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</si>
  <si>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</si>
  <si>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</si>
  <si>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</si>
  <si>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</si>
  <si>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</si>
  <si>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</si>
  <si>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</si>
  <si>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</si>
  <si>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</si>
  <si>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</si>
  <si>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</si>
  <si>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</si>
  <si>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</si>
  <si>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</si>
  <si>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Per 12/31/22</t>
  </si>
  <si>
    <t>Values set from Q2 2023 numbers for Q3 &amp; Q4 in 2023</t>
  </si>
  <si>
    <t>same Cima volume, cannot count twice, DO NOT LOAD VOLUME</t>
  </si>
  <si>
    <t>data input as of 06/30/23</t>
  </si>
  <si>
    <t>654K Updated as of 12/31/23</t>
  </si>
  <si>
    <t>2401 file =</t>
  </si>
  <si>
    <t>BB 2401</t>
  </si>
  <si>
    <t>2024</t>
  </si>
  <si>
    <t>204</t>
  </si>
  <si>
    <t>Monthly Avg Cust Count - 2023</t>
  </si>
  <si>
    <t>Skye OK, LLC</t>
  </si>
  <si>
    <t>Jan.24 Usage</t>
  </si>
  <si>
    <t>Prior Month = Dec Usage</t>
  </si>
  <si>
    <r>
      <t xml:space="preserve">Data Input Feb 24 billing =Feb invoices = Jan </t>
    </r>
    <r>
      <rPr>
        <b/>
        <u val="singleAccounting"/>
        <sz val="11"/>
        <color theme="1"/>
        <rFont val="Calibri"/>
        <family val="2"/>
        <scheme val="minor"/>
      </rPr>
      <t>Flow  data= Jan Sales Volume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</si>
</sst>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27</xdr:col>
      <xdr:colOff>153192</xdr:colOff>
      <xdr:row>42</xdr:row>
      <xdr:rowOff>115406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3D42DC-3913-5625-B5A3-04C1E11CC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0" y="190500"/>
          <a:ext cx="5677692" cy="7925906"/>
        </a:xfrm>
        <a:prstGeom prst="rect">
          <a:avLst/>
        </a:prstGeom>
      </xdr:spPr>
    </xdr:pic>
    <xdr:clientData/>
  </xdr:twoCellAnchor>
  <xdr:twoCellAnchor editAs="oneCell">
    <xdr:from>
      <xdr:col>17</xdr:col>
      <xdr:colOff>603249</xdr:colOff>
      <xdr:row>42</xdr:row>
      <xdr:rowOff>116417</xdr:rowOff>
    </xdr:from>
    <xdr:to>
      <xdr:col>27</xdr:col>
      <xdr:colOff>171187</xdr:colOff>
      <xdr:row>79</xdr:row>
      <xdr:rowOff>88822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323BF1A-8142-1F7F-5A0C-562541A56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8916" y="8117417"/>
          <a:ext cx="5706271" cy="7020905"/>
        </a:xfrm>
        <a:prstGeom prst="rect">
          <a:avLst/>
        </a:prstGeom>
      </xdr:spPr>
    </xdr:pic>
    <xdr:clientData/>
  </xdr:twoCellAnchor>
  <xdr:twoCellAnchor editAs="oneCell">
    <xdr:from>
      <xdr:col>17</xdr:col>
      <xdr:colOff>592667</xdr:colOff>
      <xdr:row>79</xdr:row>
      <xdr:rowOff>74084</xdr:rowOff>
    </xdr:from>
    <xdr:to>
      <xdr:col>27</xdr:col>
      <xdr:colOff>170132</xdr:colOff>
      <xdr:row>97</xdr:row>
      <xdr:rowOff>26931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8C376F7-4A5E-67EB-7173-8C7BCAFD3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8334" y="15123584"/>
          <a:ext cx="5715798" cy="3381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15301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18</xdr:col>
      <xdr:colOff>573208</xdr:colOff>
      <xdr:row>81</xdr:row>
      <xdr:rowOff>77035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EC5430-8A51-8DCB-A3FC-BF79D8821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420225"/>
          <a:ext cx="12241333" cy="5982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49</xdr:row>
      <xdr:rowOff>38100</xdr:rowOff>
    </xdr:from>
    <xdr:to>
      <xdr:col>24</xdr:col>
      <xdr:colOff>325558</xdr:colOff>
      <xdr:row>63</xdr:row>
      <xdr:rowOff>181367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09918F-DD80-BE56-4D9B-908D781C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429750"/>
          <a:ext cx="12241333" cy="2810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27</xdr:col>
      <xdr:colOff>77910</xdr:colOff>
      <xdr:row>34</xdr:row>
      <xdr:rowOff>85950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97E91B-1790-08C2-DC82-DB79551BC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991100"/>
          <a:ext cx="12250860" cy="1609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180070</xdr:colOff>
      <xdr:row>46</xdr:row>
      <xdr:rowOff>28978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7DFDAE-0BEF-E9C8-89B5-AD378AB30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941219"/>
          <a:ext cx="10574226" cy="28864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455475</xdr:colOff>
      <xdr:row>18</xdr:row>
      <xdr:rowOff>162373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6DF115D-7907-9ABC-7506-1EDFF096D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94156" y="381000"/>
          <a:ext cx="4706007" cy="32103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zoomScale="90" zoomScaleNormal="90" zoomScalePageLayoutView="64" workbookViewId="0">
      <pane xSplit="4" ySplit="4" topLeftCell="E17" activePane="bottomRight" state="frozen"/>
      <selection pane="topRight" activeCell="E1" sqref="E1"/>
      <selection pane="bottomLeft" activeCell="A5" sqref="A5"/>
      <selection pane="bottomRight" activeCell="P72" sqref="P72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Feb 24 billing =Feb invoices = Jan Flow  data= Jan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248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8927.98</v>
      </c>
      <c r="G7" s="56"/>
      <c r="H7" s="79">
        <f>F7</f>
        <v>8927.98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7929.12</v>
      </c>
      <c r="G8" s="56"/>
      <c r="H8" s="79"/>
      <c r="I8" s="8"/>
      <c r="J8" s="79">
        <f>F8</f>
        <v>7929.12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400.6</v>
      </c>
      <c r="G9" s="56"/>
      <c r="H9" s="79"/>
      <c r="I9" s="8"/>
      <c r="J9" s="79"/>
      <c r="K9" s="8"/>
      <c r="L9" s="79"/>
      <c r="M9" s="8"/>
      <c r="N9" s="79">
        <f>F9</f>
        <v>400.6</v>
      </c>
      <c r="P9" s="79"/>
    </row>
    <row r="10" spans="1:16" x14ac:dyDescent="0.25">
      <c r="C10" t="s">
        <v>3</v>
      </c>
      <c r="F10" s="112">
        <v>84367.42</v>
      </c>
      <c r="G10" s="56"/>
      <c r="H10" s="79"/>
      <c r="I10" s="8"/>
      <c r="J10" s="79"/>
      <c r="K10" s="8"/>
      <c r="L10" s="79">
        <f>F10</f>
        <v>84367.42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1500.22</v>
      </c>
      <c r="G13" s="56"/>
      <c r="H13" s="79">
        <f>F13</f>
        <v>1500.22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1943.33</v>
      </c>
      <c r="G14" s="56"/>
      <c r="H14" s="79"/>
      <c r="I14" s="8"/>
      <c r="J14" s="79">
        <f>F14</f>
        <v>1943.33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493.63</v>
      </c>
      <c r="G15" s="56"/>
      <c r="H15" s="79"/>
      <c r="I15" s="8"/>
      <c r="J15" s="79"/>
      <c r="K15" s="8"/>
      <c r="L15" s="79"/>
      <c r="M15" s="8"/>
      <c r="N15" s="79">
        <f>F15</f>
        <v>493.63</v>
      </c>
      <c r="P15" s="79"/>
    </row>
    <row r="16" spans="1:16" x14ac:dyDescent="0.25">
      <c r="C16" t="s">
        <v>7</v>
      </c>
      <c r="F16" s="112">
        <v>22814.83</v>
      </c>
      <c r="G16" s="56"/>
      <c r="H16" s="79"/>
      <c r="I16" s="8"/>
      <c r="J16" s="79"/>
      <c r="K16" s="8"/>
      <c r="L16" s="79">
        <f>F16</f>
        <v>22814.83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8761.7099999999991</v>
      </c>
      <c r="G18" s="56"/>
      <c r="H18" s="79"/>
      <c r="I18" s="8"/>
      <c r="J18" s="79"/>
      <c r="K18" s="8"/>
      <c r="L18" s="79">
        <f>F18</f>
        <v>8761.7099999999991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255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249</v>
      </c>
      <c r="F21" s="112">
        <v>466.53</v>
      </c>
      <c r="G21" s="56"/>
      <c r="H21" s="79"/>
      <c r="I21" s="8"/>
      <c r="J21" s="79"/>
      <c r="K21" s="8"/>
      <c r="L21" s="79"/>
      <c r="M21" s="8"/>
      <c r="N21" s="79"/>
      <c r="P21" s="79">
        <f>+F21</f>
        <v>466.53</v>
      </c>
    </row>
    <row r="22" spans="2:16" x14ac:dyDescent="0.25">
      <c r="C22" t="s">
        <v>250</v>
      </c>
      <c r="F22" s="112">
        <v>3965.2</v>
      </c>
      <c r="G22" s="56"/>
      <c r="H22" s="79"/>
      <c r="I22" s="8"/>
      <c r="J22" s="79"/>
      <c r="K22" s="8"/>
      <c r="L22" s="79"/>
      <c r="M22" s="8"/>
      <c r="N22" s="79"/>
      <c r="P22" s="79">
        <f>+F22</f>
        <v>3965.2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201.92</v>
      </c>
      <c r="G25" s="56"/>
      <c r="H25" s="79">
        <f>F25</f>
        <v>201.92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219.85</v>
      </c>
      <c r="G26" s="56"/>
      <c r="H26" s="79"/>
      <c r="I26" s="8"/>
      <c r="J26" s="79">
        <f>F26</f>
        <v>219.85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2311.79</v>
      </c>
      <c r="G28" s="56"/>
      <c r="H28" s="79"/>
      <c r="I28" s="8"/>
      <c r="J28" s="79"/>
      <c r="K28" s="8"/>
      <c r="L28" s="79">
        <f>F28</f>
        <v>2311.79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3074.89</v>
      </c>
      <c r="G31" s="56"/>
      <c r="H31" s="79"/>
      <c r="I31" s="8"/>
      <c r="J31" s="79"/>
      <c r="K31" s="8"/>
      <c r="L31" s="79">
        <f>F31</f>
        <v>3074.89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251</v>
      </c>
      <c r="F34" s="112">
        <v>140.77000000000001</v>
      </c>
      <c r="G34" s="56"/>
      <c r="H34" s="79"/>
      <c r="I34" s="8"/>
      <c r="J34" s="79"/>
      <c r="K34" s="8"/>
      <c r="L34" s="79"/>
      <c r="M34" s="8"/>
      <c r="N34" s="79"/>
      <c r="P34" s="79">
        <f>+F34</f>
        <v>140.77000000000001</v>
      </c>
    </row>
    <row r="35" spans="2:16" x14ac:dyDescent="0.25">
      <c r="C35" t="s">
        <v>252</v>
      </c>
      <c r="F35" s="112">
        <v>635.78</v>
      </c>
      <c r="G35" s="56"/>
      <c r="H35" s="79"/>
      <c r="I35" s="8"/>
      <c r="J35" s="79"/>
      <c r="K35" s="8"/>
      <c r="L35" s="79"/>
      <c r="M35" s="8"/>
      <c r="N35" s="79"/>
      <c r="P35" s="79">
        <f>+F35</f>
        <v>635.78</v>
      </c>
    </row>
    <row r="36" spans="2:16" x14ac:dyDescent="0.25">
      <c r="C36" t="s">
        <v>119</v>
      </c>
      <c r="F36" s="112">
        <v>502.89</v>
      </c>
      <c r="G36" s="56"/>
      <c r="H36" s="79">
        <f>F36</f>
        <v>502.89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300.5</v>
      </c>
      <c r="G37" s="56"/>
      <c r="H37" s="79"/>
      <c r="I37" s="8"/>
      <c r="J37" s="79">
        <f>F37</f>
        <v>300.5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2830.92</v>
      </c>
      <c r="G39" s="56"/>
      <c r="H39" s="79"/>
      <c r="I39" s="8"/>
      <c r="J39" s="79"/>
      <c r="K39" s="8"/>
      <c r="L39" s="79">
        <f>F39</f>
        <v>2830.92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4373.5</v>
      </c>
      <c r="G42" s="56"/>
      <c r="H42" s="79">
        <f>F42</f>
        <v>4373.5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211.52</v>
      </c>
      <c r="G43" s="56"/>
      <c r="H43" s="79"/>
      <c r="I43" s="8"/>
      <c r="J43" s="79">
        <f>F43</f>
        <v>211.52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491.66</v>
      </c>
      <c r="G44" s="56"/>
      <c r="H44" s="79"/>
      <c r="I44" s="8"/>
      <c r="J44" s="79"/>
      <c r="K44" s="8"/>
      <c r="L44" s="79"/>
      <c r="M44" s="8"/>
      <c r="N44" s="79">
        <f>F44</f>
        <v>491.66</v>
      </c>
      <c r="P44" s="79"/>
    </row>
    <row r="45" spans="2:16" x14ac:dyDescent="0.25">
      <c r="C45" t="s">
        <v>24</v>
      </c>
      <c r="F45" s="112">
        <v>14369.28</v>
      </c>
      <c r="G45" s="56"/>
      <c r="H45" s="79"/>
      <c r="I45" s="8"/>
      <c r="J45" s="79"/>
      <c r="K45" s="8"/>
      <c r="L45" s="79">
        <f>F45</f>
        <v>14369.28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223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224</v>
      </c>
      <c r="F48" s="112">
        <v>65.5</v>
      </c>
      <c r="G48" s="56"/>
      <c r="H48" s="79">
        <f>F48</f>
        <v>65.5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225</v>
      </c>
      <c r="F49" s="112">
        <v>0</v>
      </c>
      <c r="G49" s="56"/>
      <c r="H49" s="79"/>
      <c r="I49" s="8"/>
      <c r="J49" s="79">
        <f>F49</f>
        <v>0</v>
      </c>
      <c r="K49" s="8"/>
      <c r="L49" s="79"/>
      <c r="M49" s="8"/>
      <c r="N49" s="79"/>
      <c r="P49" s="79"/>
    </row>
    <row r="50" spans="1:16" x14ac:dyDescent="0.25">
      <c r="C50" t="s">
        <v>226</v>
      </c>
      <c r="F50" s="112">
        <v>0</v>
      </c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227</v>
      </c>
      <c r="F51" s="112">
        <v>214</v>
      </c>
      <c r="G51" s="56"/>
      <c r="H51" s="79"/>
      <c r="I51" s="8"/>
      <c r="J51" s="79"/>
      <c r="K51" s="8"/>
      <c r="L51" s="79">
        <f>F51</f>
        <v>214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228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229</v>
      </c>
      <c r="F54" s="112">
        <v>2838.28</v>
      </c>
      <c r="G54" s="56"/>
      <c r="H54" s="79">
        <f>F54</f>
        <v>2838.28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230</v>
      </c>
      <c r="F55" s="112">
        <v>643.55999999999995</v>
      </c>
      <c r="G55" s="56"/>
      <c r="H55" s="79"/>
      <c r="I55" s="8"/>
      <c r="J55" s="79">
        <f>F55</f>
        <v>643.55999999999995</v>
      </c>
      <c r="K55" s="8"/>
      <c r="L55" s="79"/>
      <c r="M55" s="8"/>
      <c r="N55" s="79"/>
      <c r="P55" s="79"/>
    </row>
    <row r="56" spans="1:16" x14ac:dyDescent="0.25">
      <c r="C56" t="s">
        <v>231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232</v>
      </c>
      <c r="F57" s="112">
        <v>29290.74</v>
      </c>
      <c r="G57" s="56"/>
      <c r="H57" s="79"/>
      <c r="I57" s="8"/>
      <c r="J57" s="79"/>
      <c r="K57" s="8"/>
      <c r="L57" s="79">
        <f>F57</f>
        <v>29290.74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204287.92000000004</v>
      </c>
      <c r="G59" s="57"/>
      <c r="H59" s="113">
        <f>SUM(H7:H57)</f>
        <v>18410.289999999997</v>
      </c>
      <c r="I59" s="23"/>
      <c r="J59" s="113">
        <f>SUM(J7:J57)</f>
        <v>11247.880000000001</v>
      </c>
      <c r="K59" s="23"/>
      <c r="L59" s="113">
        <f>SUM(L7:L57)</f>
        <v>168035.58</v>
      </c>
      <c r="M59" s="23"/>
      <c r="N59" s="113">
        <f>SUM(N7:N57)</f>
        <v>1385.89</v>
      </c>
      <c r="P59" s="113">
        <f>SUM(P7:P57)</f>
        <v>5208.28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237</v>
      </c>
      <c r="P62" t="s">
        <v>236</v>
      </c>
    </row>
    <row r="63" spans="1:16" x14ac:dyDescent="0.25">
      <c r="D63" s="16" t="s">
        <v>159</v>
      </c>
      <c r="F63" s="115">
        <v>32048.04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289147.55014706613</v>
      </c>
      <c r="P63" s="60">
        <f>+L59+'Allocation Charges'!L21</f>
        <v>289147.55014706613</v>
      </c>
    </row>
    <row r="64" spans="1:16" x14ac:dyDescent="0.25">
      <c r="B64" s="16"/>
      <c r="D64" t="s">
        <v>155</v>
      </c>
      <c r="F64" s="102">
        <f>+F59</f>
        <v>204287.92000000004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52338</v>
      </c>
      <c r="P64" s="60">
        <f>+H59+'Allocation Charges'!H21</f>
        <v>52331.105953789316</v>
      </c>
    </row>
    <row r="65" spans="4:16" x14ac:dyDescent="0.25">
      <c r="D65" t="s">
        <v>156</v>
      </c>
      <c r="F65" s="102">
        <f>+'Allocation Charges'!F21</f>
        <v>175266.48000000004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27094</v>
      </c>
      <c r="P65" s="60">
        <f>+J59+'Allocation Charges'!J21</f>
        <v>27087.189503723042</v>
      </c>
    </row>
    <row r="66" spans="4:16" x14ac:dyDescent="0.25">
      <c r="D66" t="s">
        <v>50</v>
      </c>
      <c r="F66" s="102">
        <f>SUM(F63:F65)</f>
        <v>411602.44000000006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5785</v>
      </c>
      <c r="P66" s="60">
        <f>+N59+'Allocation Charges'!N21</f>
        <v>5780.2743954215093</v>
      </c>
    </row>
    <row r="67" spans="4:16" x14ac:dyDescent="0.25">
      <c r="D67" s="16" t="s">
        <v>157</v>
      </c>
      <c r="F67" s="115">
        <v>411602.44</v>
      </c>
      <c r="G67" s="8"/>
      <c r="H67" s="6" t="s">
        <v>163</v>
      </c>
      <c r="I67" s="8"/>
      <c r="J67" s="8"/>
      <c r="K67" s="8"/>
      <c r="L67" s="8" t="s">
        <v>248</v>
      </c>
      <c r="M67" s="8"/>
      <c r="N67" s="60">
        <f>+'NC Hydro'!F14</f>
        <v>5208.28</v>
      </c>
      <c r="P67" s="60">
        <f>+P59</f>
        <v>5208.28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235</v>
      </c>
      <c r="M68" s="8"/>
      <c r="N68" s="60">
        <f>SUM(N63:N67)</f>
        <v>379572.83014706615</v>
      </c>
      <c r="P68" s="60">
        <f>SUM(P63:P67)</f>
        <v>379554.4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-18.430147066072095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K26" sqref="K26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220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274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274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220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261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261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F22" sqref="F22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266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265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988211.98</v>
      </c>
      <c r="C8" s="94">
        <f t="shared" ref="C8:C13" si="0">$D$25</f>
        <v>0.75875764361517273</v>
      </c>
      <c r="D8" s="95">
        <v>6.54E-2</v>
      </c>
      <c r="E8" s="79">
        <f t="shared" ref="E8:E13" si="1">B8*C8*D8</f>
        <v>49037.795924245307</v>
      </c>
      <c r="F8" s="79">
        <f t="shared" ref="F8:F13" si="2">E8/12</f>
        <v>4086.4829936871088</v>
      </c>
      <c r="G8" s="79">
        <f t="shared" ref="G8:G13" si="3">B8</f>
        <v>988211.98</v>
      </c>
      <c r="H8" s="13">
        <v>6</v>
      </c>
      <c r="I8" s="79">
        <f t="shared" ref="I8:I13" si="4">G8/H8</f>
        <v>164701.99666666667</v>
      </c>
      <c r="J8" s="79">
        <f t="shared" ref="J8:J13" si="5">I8/12</f>
        <v>13725.166388888889</v>
      </c>
      <c r="K8" s="79">
        <f>ROUNDUP(F8+J8,0)</f>
        <v>17812</v>
      </c>
    </row>
    <row r="9" spans="1:11" x14ac:dyDescent="0.25">
      <c r="A9" t="s">
        <v>32</v>
      </c>
      <c r="B9" s="192">
        <v>306568.88</v>
      </c>
      <c r="C9" s="94">
        <f t="shared" si="0"/>
        <v>0.75875764361517273</v>
      </c>
      <c r="D9" s="95">
        <v>6.54E-2</v>
      </c>
      <c r="E9" s="79">
        <f t="shared" si="1"/>
        <v>15212.79085704309</v>
      </c>
      <c r="F9" s="79">
        <f t="shared" si="2"/>
        <v>1267.7325714202575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5526</v>
      </c>
    </row>
    <row r="10" spans="1:11" x14ac:dyDescent="0.25">
      <c r="A10" t="s">
        <v>47</v>
      </c>
      <c r="B10" s="192">
        <v>705882.72</v>
      </c>
      <c r="C10" s="94">
        <f t="shared" si="0"/>
        <v>0.75875764361517273</v>
      </c>
      <c r="D10" s="95">
        <v>6.54E-2</v>
      </c>
      <c r="E10" s="79">
        <f t="shared" si="1"/>
        <v>35027.841667949811</v>
      </c>
      <c r="F10" s="79">
        <f t="shared" si="2"/>
        <v>2918.9868056624841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8802</v>
      </c>
    </row>
    <row r="11" spans="1:11" x14ac:dyDescent="0.25">
      <c r="A11" t="s">
        <v>48</v>
      </c>
      <c r="B11" s="192">
        <v>257154.88</v>
      </c>
      <c r="C11" s="94">
        <f t="shared" si="0"/>
        <v>0.75875764361517273</v>
      </c>
      <c r="D11" s="95">
        <v>6.54E-2</v>
      </c>
      <c r="E11" s="79">
        <f t="shared" si="1"/>
        <v>12760.73229385844</v>
      </c>
      <c r="F11" s="79">
        <f t="shared" si="2"/>
        <v>1063.3943578215367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5350</v>
      </c>
    </row>
    <row r="12" spans="1:11" x14ac:dyDescent="0.25">
      <c r="A12" t="s">
        <v>41</v>
      </c>
      <c r="B12" s="192">
        <v>203535.26</v>
      </c>
      <c r="C12" s="94">
        <f t="shared" si="0"/>
        <v>0.75875764361517273</v>
      </c>
      <c r="D12" s="95">
        <v>6.54E-2</v>
      </c>
      <c r="E12" s="79">
        <f t="shared" si="1"/>
        <v>10099.979301271182</v>
      </c>
      <c r="F12" s="79">
        <f t="shared" si="2"/>
        <v>841.66494177259847</v>
      </c>
      <c r="G12" s="79">
        <f t="shared" si="3"/>
        <v>203535.26</v>
      </c>
      <c r="H12" s="13">
        <v>4</v>
      </c>
      <c r="I12" s="79">
        <f t="shared" si="4"/>
        <v>50883.815000000002</v>
      </c>
      <c r="J12" s="79">
        <f t="shared" si="5"/>
        <v>4240.3179166666669</v>
      </c>
      <c r="K12" s="79">
        <f t="shared" si="6"/>
        <v>5082</v>
      </c>
    </row>
    <row r="13" spans="1:11" x14ac:dyDescent="0.25">
      <c r="A13" t="s">
        <v>31</v>
      </c>
      <c r="B13" s="192">
        <v>1296437.95</v>
      </c>
      <c r="C13" s="94">
        <f t="shared" si="0"/>
        <v>0.75875764361517273</v>
      </c>
      <c r="D13" s="95">
        <v>6.54E-2</v>
      </c>
      <c r="E13" s="79">
        <f t="shared" si="1"/>
        <v>64332.816143907643</v>
      </c>
      <c r="F13" s="79">
        <f t="shared" si="2"/>
        <v>5361.0680119923036</v>
      </c>
      <c r="G13" s="79">
        <f t="shared" si="3"/>
        <v>1296437.95</v>
      </c>
      <c r="H13" s="13">
        <v>10</v>
      </c>
      <c r="I13" s="79">
        <f t="shared" si="4"/>
        <v>129643.795</v>
      </c>
      <c r="J13" s="79">
        <f t="shared" si="5"/>
        <v>10803.649583333334</v>
      </c>
      <c r="K13" s="79">
        <f t="shared" si="6"/>
        <v>16165</v>
      </c>
    </row>
    <row r="14" spans="1:11" x14ac:dyDescent="0.25">
      <c r="B14" s="120"/>
    </row>
    <row r="15" spans="1:11" x14ac:dyDescent="0.25">
      <c r="B15" s="121">
        <f>SUM(B8:B13)</f>
        <v>3757791.67</v>
      </c>
      <c r="D15" s="180">
        <f>AVERAGE(D8:D13)</f>
        <v>6.54E-2</v>
      </c>
      <c r="E15" s="14">
        <f>SUM(E8:E13)</f>
        <v>186471.95618827548</v>
      </c>
      <c r="F15" s="22">
        <f>SUM(F8:F13)</f>
        <v>15539.329682356289</v>
      </c>
      <c r="G15" s="14">
        <f>SUM(G8:G13)</f>
        <v>3757791.67</v>
      </c>
      <c r="I15" s="14">
        <f>SUM(I8:I13)</f>
        <v>518343.66800000001</v>
      </c>
      <c r="J15" s="22">
        <f>SUM(J8:J13)</f>
        <v>43195.305666666667</v>
      </c>
      <c r="K15" s="22">
        <f>SUM(K8:K13)</f>
        <v>58737</v>
      </c>
    </row>
    <row r="19" spans="1:7" x14ac:dyDescent="0.25">
      <c r="A19" s="16" t="s">
        <v>239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629742+8716520+(1754587*0.5)</f>
        <v>10223555.5</v>
      </c>
      <c r="D25" s="196">
        <f>C25/C27</f>
        <v>0.75875764361517273</v>
      </c>
      <c r="E25" s="195" t="s">
        <v>268</v>
      </c>
      <c r="F25" s="195"/>
      <c r="G25" s="197"/>
    </row>
    <row r="26" spans="1:7" x14ac:dyDescent="0.25">
      <c r="A26" s="198"/>
      <c r="B26" s="199" t="s">
        <v>176</v>
      </c>
      <c r="C26" s="200">
        <v>3250517</v>
      </c>
      <c r="D26" s="201">
        <f>C26/C27</f>
        <v>0.24124235638482722</v>
      </c>
      <c r="E26" s="195" t="s">
        <v>268</v>
      </c>
      <c r="F26" s="200"/>
      <c r="G26" s="202"/>
    </row>
    <row r="27" spans="1:7" ht="15.75" thickBot="1" x14ac:dyDescent="0.3">
      <c r="A27" s="203"/>
      <c r="B27" s="204"/>
      <c r="C27" s="205">
        <f>C25+C26</f>
        <v>13474072.5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M8" sqref="M8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0.75875764361517273</v>
      </c>
      <c r="D8" s="95">
        <v>6.54E-2</v>
      </c>
      <c r="E8" s="79">
        <f>B8*C8*D8</f>
        <v>63914.787647856312</v>
      </c>
      <c r="F8" s="79">
        <f>E8/12</f>
        <v>5326.2323039880257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8299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63914.787647856312</v>
      </c>
      <c r="F10" s="22">
        <f>SUM(F8:F8)</f>
        <v>5326.2323039880257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8299</v>
      </c>
    </row>
    <row r="12" spans="1:13" x14ac:dyDescent="0.25">
      <c r="H12" s="209" t="s">
        <v>210</v>
      </c>
    </row>
    <row r="13" spans="1:13" x14ac:dyDescent="0.25">
      <c r="I13"/>
      <c r="J13" t="s">
        <v>186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1643</v>
      </c>
      <c r="L14" s="211">
        <f>+K14*12</f>
        <v>19716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772</v>
      </c>
      <c r="L15" s="211">
        <f t="shared" ref="L15:L18" si="1">+K15*12</f>
        <v>9264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5700</v>
      </c>
      <c r="L16" s="211">
        <f t="shared" si="1"/>
        <v>68400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185</v>
      </c>
      <c r="L17" s="211">
        <f t="shared" si="1"/>
        <v>2220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8300</v>
      </c>
      <c r="L18" s="106">
        <f t="shared" si="1"/>
        <v>99600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O19" sqref="O19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0.75875764361517273</v>
      </c>
      <c r="J8" s="95">
        <v>6.54E-2</v>
      </c>
      <c r="L8" s="79">
        <f>F8*H8*J8</f>
        <v>32458.308191579818</v>
      </c>
      <c r="N8" s="79">
        <f>L8/12</f>
        <v>2704.8590159649848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5264</v>
      </c>
    </row>
    <row r="10" spans="3:27" x14ac:dyDescent="0.25">
      <c r="F10" s="14">
        <f>SUM(F8:F8)</f>
        <v>654101.36</v>
      </c>
      <c r="L10" s="14">
        <f>SUM(L8:L8)</f>
        <v>32458.308191579818</v>
      </c>
      <c r="N10" s="22">
        <f>SUM(N8:N8)</f>
        <v>2704.8590159649848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5264</v>
      </c>
    </row>
    <row r="13" spans="3:27" x14ac:dyDescent="0.25">
      <c r="C13" t="s">
        <v>60</v>
      </c>
      <c r="F13" s="8" t="s">
        <v>269</v>
      </c>
      <c r="T13" s="24" t="s">
        <v>233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1036</v>
      </c>
      <c r="AA14" s="236">
        <f>+Z14*12</f>
        <v>12432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484</v>
      </c>
      <c r="AA15" s="236">
        <f t="shared" ref="AA15:AA17" si="1">+Z15*12</f>
        <v>5808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3630</v>
      </c>
      <c r="AA16" s="237">
        <f t="shared" si="1"/>
        <v>43560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116</v>
      </c>
      <c r="AA17" s="236">
        <f t="shared" si="1"/>
        <v>1392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5266</v>
      </c>
      <c r="AA18" s="71">
        <f>SUM(AA14:AA17)</f>
        <v>63192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Normal="100" workbookViewId="0">
      <selection activeCell="V20" sqref="V20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Feb 24 billing =Feb invoices = Jan Flow  data= Jan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262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9364.22-SUM('Direct Charges'!F25:F28)</f>
        <v>6630.66</v>
      </c>
      <c r="G7" s="8"/>
      <c r="H7" s="79">
        <f>F7*R$4</f>
        <v>1304.9128596414475</v>
      </c>
      <c r="I7" s="8"/>
      <c r="J7" s="79">
        <f>F7*R$5</f>
        <v>609.32846330721156</v>
      </c>
      <c r="K7" s="8"/>
      <c r="L7" s="79">
        <f>F7*R$6</f>
        <v>4571.4402709130145</v>
      </c>
      <c r="M7" s="8"/>
      <c r="N7" s="79">
        <f>F7*R$7</f>
        <v>144.97840613832668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9981.8799999999992</v>
      </c>
      <c r="G8" s="8"/>
      <c r="H8" s="79">
        <f t="shared" ref="H8:H19" si="0">F8*R$4</f>
        <v>1964.4324358959395</v>
      </c>
      <c r="I8" s="8"/>
      <c r="J8" s="79">
        <f>F8*R$5</f>
        <v>917.29082795935676</v>
      </c>
      <c r="K8" s="8"/>
      <c r="L8" s="79">
        <f>F8*R$6</f>
        <v>6881.9043973633388</v>
      </c>
      <c r="M8" s="8"/>
      <c r="N8" s="79">
        <f>F8*R$7</f>
        <v>218.25233878136416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454.43</v>
      </c>
      <c r="G9" s="8"/>
      <c r="H9" s="79">
        <f t="shared" si="0"/>
        <v>89.431753521800701</v>
      </c>
      <c r="I9" s="8"/>
      <c r="J9" s="79">
        <f>F9*R$5</f>
        <v>41.76011642592082</v>
      </c>
      <c r="K9" s="8"/>
      <c r="L9" s="79">
        <f>F9*R$6</f>
        <v>313.30208490723413</v>
      </c>
      <c r="M9" s="8"/>
      <c r="N9" s="79">
        <f>F9*R$7</f>
        <v>9.9360451450443534</v>
      </c>
      <c r="O9" s="8"/>
      <c r="U9" s="73"/>
    </row>
    <row r="10" spans="1:21" x14ac:dyDescent="0.25">
      <c r="B10" s="54" t="s">
        <v>19</v>
      </c>
      <c r="C10" s="54"/>
      <c r="D10" s="54"/>
      <c r="F10" s="112">
        <v>95646.89</v>
      </c>
      <c r="G10" s="8"/>
      <c r="H10" s="79">
        <f>IF(N10=2000,(F10-N10)*(R4/(R8-R7)),(F10*R4))</f>
        <v>18823.293117986894</v>
      </c>
      <c r="I10" s="8"/>
      <c r="J10" s="83">
        <f>IF(N10=2000,(F10-N10)*(R5/(R8-R7)),(F10*R5))</f>
        <v>8789.5281169316331</v>
      </c>
      <c r="K10" s="8"/>
      <c r="L10" s="83">
        <f>IF(N10=2000,(F10-N10)*(R6/(R8-R7)),(F10*R6))</f>
        <v>65942.763576112673</v>
      </c>
      <c r="M10" s="8"/>
      <c r="N10" s="83">
        <f>IF((F10*R$7&lt;2000),(2000),F10*R$7)</f>
        <v>2091.3051889687986</v>
      </c>
      <c r="O10" s="8"/>
      <c r="P10" s="8"/>
      <c r="Q10" s="8"/>
      <c r="U10" s="73"/>
    </row>
    <row r="11" spans="1:21" x14ac:dyDescent="0.25">
      <c r="B11" t="s">
        <v>20</v>
      </c>
      <c r="F11" s="112">
        <f>14572.04-SUM('Direct Charges'!F34:F39)</f>
        <v>10161.18</v>
      </c>
      <c r="G11" s="8"/>
      <c r="H11" s="79">
        <f t="shared" si="0"/>
        <v>1999.7186480880462</v>
      </c>
      <c r="I11" s="8"/>
      <c r="J11" s="79">
        <f>F11*R$5</f>
        <v>933.76770861241152</v>
      </c>
      <c r="K11" s="8"/>
      <c r="L11" s="79">
        <f>F11*R$6</f>
        <v>7005.5209363767563</v>
      </c>
      <c r="M11" s="8"/>
      <c r="N11" s="79">
        <f>F11*R$7</f>
        <v>222.17270692278629</v>
      </c>
      <c r="O11" s="8"/>
      <c r="U11" s="73"/>
    </row>
    <row r="12" spans="1:21" x14ac:dyDescent="0.25">
      <c r="B12" t="s">
        <v>21</v>
      </c>
      <c r="F12" s="155">
        <f>22660.03-SUM('Direct Charges'!F42:F45)</f>
        <v>3214.0699999999997</v>
      </c>
      <c r="G12" s="8"/>
      <c r="H12" s="79">
        <f t="shared" si="0"/>
        <v>632.52847752528203</v>
      </c>
      <c r="I12" s="8"/>
      <c r="J12" s="79">
        <f>F12*R$5</f>
        <v>295.35888343872398</v>
      </c>
      <c r="K12" s="8"/>
      <c r="L12" s="79">
        <f>F12*R$6</f>
        <v>2215.9074709807755</v>
      </c>
      <c r="M12" s="8"/>
      <c r="N12" s="79">
        <f>F12*R$7</f>
        <v>70.275168055217961</v>
      </c>
      <c r="O12" s="8"/>
    </row>
    <row r="13" spans="1:21" x14ac:dyDescent="0.25">
      <c r="B13" t="s">
        <v>25</v>
      </c>
      <c r="F13" s="112">
        <v>19839.349999999999</v>
      </c>
      <c r="G13" s="8"/>
      <c r="H13" s="79">
        <f t="shared" si="0"/>
        <v>3904.3810030868044</v>
      </c>
      <c r="I13" s="8"/>
      <c r="J13" s="79">
        <f>F13*R$5</f>
        <v>1823.148924618956</v>
      </c>
      <c r="K13" s="8"/>
      <c r="L13" s="79">
        <f>F13*R$6</f>
        <v>13678.035601092215</v>
      </c>
      <c r="M13" s="8"/>
      <c r="N13" s="79">
        <f>F13*R$7</f>
        <v>433.78447120202378</v>
      </c>
      <c r="O13" s="8"/>
    </row>
    <row r="14" spans="1:21" x14ac:dyDescent="0.25">
      <c r="B14" t="s">
        <v>26</v>
      </c>
      <c r="F14" s="112">
        <v>0</v>
      </c>
      <c r="G14" s="8"/>
      <c r="H14" s="79">
        <f>F14*R$4</f>
        <v>0</v>
      </c>
      <c r="I14" s="8"/>
      <c r="J14" s="79">
        <f>F14*R$5</f>
        <v>0</v>
      </c>
      <c r="K14" s="8"/>
      <c r="L14" s="79">
        <f>F14*R$6</f>
        <v>0</v>
      </c>
      <c r="M14" s="8"/>
      <c r="N14" s="79">
        <f>F14*R$7</f>
        <v>0</v>
      </c>
      <c r="O14" s="8"/>
    </row>
    <row r="15" spans="1:21" x14ac:dyDescent="0.25">
      <c r="B15" t="s">
        <v>27</v>
      </c>
      <c r="F15" s="112">
        <v>17743.849999999999</v>
      </c>
      <c r="G15" s="8"/>
      <c r="H15" s="79">
        <f>IF(N15=1000,(F15-N15)*(R4/(R8-R7)),(F15*R4))</f>
        <v>3368.8464147833788</v>
      </c>
      <c r="I15" s="8"/>
      <c r="J15" s="83">
        <f>IF(N15=1000,(F15-N15)*(R5/(R8-R7)),(F15*R5))</f>
        <v>1573.0812934144872</v>
      </c>
      <c r="K15" s="8"/>
      <c r="L15" s="83">
        <f>IF(N15=1000,(F15-N15)*(R6/(R8-R7)),(F15*R6))</f>
        <v>11801.922291802133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195</v>
      </c>
      <c r="F16" s="112">
        <v>2278.7600000000002</v>
      </c>
      <c r="G16" s="8"/>
      <c r="H16" s="79">
        <v>0</v>
      </c>
      <c r="I16" s="8"/>
      <c r="J16" s="79">
        <v>0</v>
      </c>
      <c r="K16" s="8"/>
      <c r="L16" s="79">
        <f>+F16</f>
        <v>2278.7600000000002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3643.12</v>
      </c>
      <c r="G18" s="8"/>
      <c r="H18" s="79">
        <f t="shared" si="0"/>
        <v>716.9654509833033</v>
      </c>
      <c r="I18" s="8"/>
      <c r="J18" s="79">
        <f>F18*R$5</f>
        <v>334.78668959707909</v>
      </c>
      <c r="K18" s="8"/>
      <c r="L18" s="79">
        <f>F18*R$6</f>
        <v>2511.711576188286</v>
      </c>
      <c r="M18" s="8"/>
      <c r="N18" s="79">
        <f>F18*R$7</f>
        <v>79.656283231331514</v>
      </c>
      <c r="O18" s="8"/>
    </row>
    <row r="19" spans="1:19" x14ac:dyDescent="0.25">
      <c r="B19" t="s">
        <v>30</v>
      </c>
      <c r="F19" s="112">
        <v>5672.29</v>
      </c>
      <c r="G19" s="8"/>
      <c r="H19" s="79">
        <f t="shared" si="0"/>
        <v>1116.3057922764228</v>
      </c>
      <c r="I19" s="8"/>
      <c r="J19" s="79">
        <f>F19*R$5</f>
        <v>521.25847941726215</v>
      </c>
      <c r="K19" s="8"/>
      <c r="L19" s="79">
        <f>F19*R$6</f>
        <v>3910.7019413296989</v>
      </c>
      <c r="M19" s="8"/>
      <c r="N19" s="79">
        <f>F19*R$7</f>
        <v>124.02378697661605</v>
      </c>
      <c r="O19" s="8"/>
      <c r="R19" t="s">
        <v>187</v>
      </c>
      <c r="S19" t="s">
        <v>185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34492.416081670694</v>
      </c>
      <c r="S20" s="55">
        <f>+H21-R20</f>
        <v>-571.60012788137828</v>
      </c>
    </row>
    <row r="21" spans="1:19" x14ac:dyDescent="0.25">
      <c r="F21" s="84">
        <f>SUM(F6:F19)</f>
        <v>175266.48000000004</v>
      </c>
      <c r="G21" s="23"/>
      <c r="H21" s="84">
        <f>SUM(H6:H19)</f>
        <v>33920.815953789315</v>
      </c>
      <c r="I21" s="23"/>
      <c r="J21" s="84">
        <f>SUM(J6:J19)</f>
        <v>15839.309503723041</v>
      </c>
      <c r="K21" s="23"/>
      <c r="L21" s="84">
        <f>SUM(L6:L19)</f>
        <v>121111.97014706611</v>
      </c>
      <c r="M21" s="23"/>
      <c r="N21" s="84">
        <f>SUM(N6:N19)</f>
        <v>4394.384395421509</v>
      </c>
      <c r="O21" s="23"/>
      <c r="P21" s="241" t="s">
        <v>11</v>
      </c>
      <c r="Q21" s="241"/>
      <c r="R21" s="149">
        <f>+F21*R5</f>
        <v>16106.21792214714</v>
      </c>
      <c r="S21" s="55">
        <f>+J21-R21</f>
        <v>-266.90841842409827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120835.67017659941</v>
      </c>
      <c r="S22" s="55">
        <f>+L21-R22</f>
        <v>276.29997046670178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3832.1758195828038</v>
      </c>
      <c r="S23" s="55">
        <f>+N21-R23</f>
        <v>562.2085758387052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175266.48000000004</v>
      </c>
      <c r="S24" s="152">
        <f>SUM(S20:S23)</f>
        <v>-6.957634468562901E-11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17812</v>
      </c>
      <c r="G27" s="6"/>
      <c r="H27" s="79">
        <f t="shared" ref="H27:H29" si="1">F27*R$4</f>
        <v>3505.3988375114186</v>
      </c>
      <c r="I27" s="8"/>
      <c r="J27" s="85">
        <f t="shared" ref="J27:J29" si="2">F27*R$5</f>
        <v>1636.8443847864394</v>
      </c>
      <c r="K27" s="8"/>
      <c r="L27" s="79">
        <f t="shared" ref="L27:L29" si="3">F27*R$6</f>
        <v>12280.300016212957</v>
      </c>
      <c r="M27" s="8"/>
      <c r="N27" s="79">
        <f t="shared" ref="N27:N29" si="4">F27*R$7</f>
        <v>389.45676148918426</v>
      </c>
      <c r="O27" s="8"/>
    </row>
    <row r="28" spans="1:19" x14ac:dyDescent="0.25">
      <c r="B28" t="s">
        <v>32</v>
      </c>
      <c r="F28" s="79">
        <f>'2024 NUC Rent'!K9</f>
        <v>5526</v>
      </c>
      <c r="G28" s="6"/>
      <c r="H28" s="79">
        <f t="shared" si="1"/>
        <v>1087.5159429647485</v>
      </c>
      <c r="I28" s="8"/>
      <c r="J28" s="85">
        <f t="shared" si="2"/>
        <v>507.8150724416048</v>
      </c>
      <c r="K28" s="8"/>
      <c r="L28" s="79">
        <f t="shared" si="3"/>
        <v>3809.8438069611948</v>
      </c>
      <c r="M28" s="8"/>
      <c r="N28" s="79">
        <f t="shared" si="4"/>
        <v>120.82517763245184</v>
      </c>
      <c r="O28" s="8"/>
    </row>
    <row r="29" spans="1:19" x14ac:dyDescent="0.25">
      <c r="B29" t="s">
        <v>47</v>
      </c>
      <c r="F29" s="79">
        <f>'2024 NUC Rent'!K10</f>
        <v>8802</v>
      </c>
      <c r="G29" s="6"/>
      <c r="H29" s="79">
        <f t="shared" si="1"/>
        <v>1732.2322348852183</v>
      </c>
      <c r="I29" s="8"/>
      <c r="J29" s="85">
        <f t="shared" si="2"/>
        <v>808.86505024086239</v>
      </c>
      <c r="K29" s="8"/>
      <c r="L29" s="79">
        <f t="shared" si="3"/>
        <v>6068.4482788404703</v>
      </c>
      <c r="M29" s="8"/>
      <c r="N29" s="79">
        <f t="shared" si="4"/>
        <v>192.45443603344935</v>
      </c>
      <c r="O29" s="8"/>
    </row>
    <row r="30" spans="1:19" x14ac:dyDescent="0.25">
      <c r="B30" t="s">
        <v>48</v>
      </c>
      <c r="F30" s="79">
        <f>'2024 NUC Rent'!K11</f>
        <v>5350</v>
      </c>
      <c r="G30" s="6"/>
      <c r="H30" s="79">
        <f>F30*R$4</f>
        <v>1052.8791702608405</v>
      </c>
      <c r="I30" s="8"/>
      <c r="J30" s="85">
        <f>F30*R$5</f>
        <v>491.6414472606923</v>
      </c>
      <c r="K30" s="8"/>
      <c r="L30" s="79">
        <f>F30*R$6</f>
        <v>3688.502418972565</v>
      </c>
      <c r="M30" s="8"/>
      <c r="N30" s="79">
        <f>F30*R$7</f>
        <v>116.97696350590253</v>
      </c>
      <c r="O30" s="8"/>
    </row>
    <row r="31" spans="1:19" x14ac:dyDescent="0.25">
      <c r="B31" t="s">
        <v>41</v>
      </c>
      <c r="F31" s="79">
        <f>'2024 NUC Rent'!K12</f>
        <v>5082</v>
      </c>
      <c r="G31" s="6"/>
      <c r="H31" s="79">
        <f>F31*R$4</f>
        <v>1000.1368118253441</v>
      </c>
      <c r="I31" s="8"/>
      <c r="J31" s="79">
        <f>F31*R$5</f>
        <v>467.0134270988483</v>
      </c>
      <c r="K31" s="8"/>
      <c r="L31" s="79">
        <f>F31*R$6</f>
        <v>3503.7325781716963</v>
      </c>
      <c r="M31" s="8"/>
      <c r="N31" s="79">
        <f>F31*R$7</f>
        <v>111.11718290411153</v>
      </c>
      <c r="O31" s="8"/>
    </row>
    <row r="32" spans="1:19" x14ac:dyDescent="0.25">
      <c r="B32" t="s">
        <v>31</v>
      </c>
      <c r="F32" s="79">
        <f>'2024 NUC Rent'!K13</f>
        <v>16165</v>
      </c>
      <c r="G32" s="6"/>
      <c r="H32" s="79">
        <f>F32*R$4</f>
        <v>3181.2694929470067</v>
      </c>
      <c r="I32" s="8"/>
      <c r="J32" s="79">
        <f>F32*R$5</f>
        <v>1485.4923355082412</v>
      </c>
      <c r="K32" s="8"/>
      <c r="L32" s="79">
        <f>F32*R$6</f>
        <v>11144.792822932992</v>
      </c>
      <c r="M32" s="8"/>
      <c r="N32" s="79">
        <f>F32*R$7</f>
        <v>353.4453486117597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58737</v>
      </c>
      <c r="G34" s="20"/>
      <c r="H34" s="84">
        <f>SUM(H27:H32)</f>
        <v>11559.432490394578</v>
      </c>
      <c r="I34" s="23"/>
      <c r="J34" s="84">
        <f>SUM(J27:J32)</f>
        <v>5397.6717173366878</v>
      </c>
      <c r="K34" s="23"/>
      <c r="L34" s="84">
        <f>SUM(L27:L32)</f>
        <v>40495.619922091879</v>
      </c>
      <c r="M34" s="23"/>
      <c r="N34" s="84">
        <f>SUM(N27:N32)</f>
        <v>1284.2758701768594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41" activePane="bottomRight" state="frozen"/>
      <selection pane="topRight" activeCell="E1" sqref="E1"/>
      <selection pane="bottomLeft" activeCell="A5" sqref="A5"/>
      <selection pane="bottomRight" activeCell="H59" sqref="H59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Feb 24 billing =Feb invoices = Jan Flow  data= Jan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262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84367.42</v>
      </c>
      <c r="G6" s="60"/>
      <c r="H6" s="85">
        <f>ROUNDUP(IF(N6=2500,(F6-L6-N6)*(Q4/(Q8-Q6-Q7)),(F6*R4)),0)</f>
        <v>44385</v>
      </c>
      <c r="I6" s="60"/>
      <c r="J6" s="222">
        <f>ROUNDUP(IF(SUM(H6,L6,N6,F6*R5)&gt;F6,((F6-L6-N6)*(Q5/(Q8-Q6-Q7))),(F6*R5)),0)</f>
        <v>26930</v>
      </c>
      <c r="K6" s="60"/>
      <c r="L6" s="85">
        <f>ROUNDUP(IF((F6*R$6&lt;2500),(2500),F6*R$6),0)</f>
        <v>5343</v>
      </c>
      <c r="M6" s="60"/>
      <c r="N6" s="85">
        <f>ROUNDUP(IF((F6*R$7&lt;2500),(2500),F6*R$7),0)</f>
        <v>7711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22814.83</v>
      </c>
      <c r="G7" s="60"/>
      <c r="H7" s="85">
        <f>ROUNDUP(F7*R$4,0)</f>
        <v>12003</v>
      </c>
      <c r="I7" s="60"/>
      <c r="J7" s="222">
        <f>ROUNDUP(F7*R$5,0)</f>
        <v>7283</v>
      </c>
      <c r="K7" s="60"/>
      <c r="L7" s="85">
        <f>ROUNDUP(F7*R$6,0)</f>
        <v>1445</v>
      </c>
      <c r="M7" s="60"/>
      <c r="N7" s="85">
        <f>ROUNDUP(F7*R$7,0)</f>
        <v>2086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8761.7099999999991</v>
      </c>
      <c r="G9" s="60"/>
      <c r="H9" s="85">
        <v>0</v>
      </c>
      <c r="I9" s="60"/>
      <c r="J9" s="222">
        <v>0</v>
      </c>
      <c r="K9" s="60"/>
      <c r="L9" s="85">
        <f>ROUNDUP(F9,0)</f>
        <v>8762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2311.79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4571.4402709130145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6883.2302709130145</v>
      </c>
      <c r="G13" s="60"/>
      <c r="H13" s="85">
        <f>ROUNDUP(F13*R$4,0)</f>
        <v>3622</v>
      </c>
      <c r="I13" s="60"/>
      <c r="J13" s="222">
        <f>ROUNDUP(F13*R$5,0)</f>
        <v>2198</v>
      </c>
      <c r="K13" s="60"/>
      <c r="L13" s="85">
        <f>ROUNDUP(F13*R$6,0)</f>
        <v>436</v>
      </c>
      <c r="M13" s="60"/>
      <c r="N13" s="85">
        <f>ROUNDUP(F13*R$7,0)</f>
        <v>630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3074.89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6881.9043973633388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9956.7943973633392</v>
      </c>
      <c r="G17" s="60"/>
      <c r="H17" s="85">
        <f>ROUNDUP(F17*R$4,0)</f>
        <v>5239</v>
      </c>
      <c r="I17" s="60"/>
      <c r="J17" s="222">
        <f>ROUNDUP(F17*R$5,0)</f>
        <v>3179</v>
      </c>
      <c r="K17" s="60"/>
      <c r="L17" s="85">
        <f>ROUNDUP(F17*R$6,0)</f>
        <v>631</v>
      </c>
      <c r="M17" s="60"/>
      <c r="N17" s="85">
        <f>ROUNDUP(F17*R$7,0)</f>
        <v>910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313.30208490723413</v>
      </c>
      <c r="G18" s="60"/>
      <c r="H18" s="85">
        <f>ROUNDUP(F18*R$4,0)</f>
        <v>165</v>
      </c>
      <c r="I18" s="60"/>
      <c r="J18" s="222">
        <f>ROUNDUP(F18*R$5,0)</f>
        <v>101</v>
      </c>
      <c r="K18" s="60"/>
      <c r="L18" s="85">
        <f>ROUNDUP(F18*R$6,0)</f>
        <v>20</v>
      </c>
      <c r="M18" s="60"/>
      <c r="N18" s="85">
        <f>ROUNDUP(F18*R$7,0)</f>
        <v>29</v>
      </c>
      <c r="S18" s="66"/>
    </row>
    <row r="19" spans="2:22" x14ac:dyDescent="0.25">
      <c r="B19" t="s">
        <v>19</v>
      </c>
      <c r="F19" s="85">
        <f>'Allocation Charges'!L10</f>
        <v>65942.763576112673</v>
      </c>
      <c r="G19" s="60"/>
      <c r="H19" s="85">
        <f>ROUNDUP(F19*R$4,0)</f>
        <v>34692</v>
      </c>
      <c r="I19" s="60"/>
      <c r="J19" s="222">
        <f>ROUNDUP(F19*R$5,0)</f>
        <v>21050</v>
      </c>
      <c r="K19" s="60"/>
      <c r="L19" s="85">
        <f>ROUNDUP(F19*R$6,0)</f>
        <v>4176</v>
      </c>
      <c r="M19" s="60"/>
      <c r="N19" s="85">
        <f>ROUNDUP(F19*R$7,0)</f>
        <v>6027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2830.92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7005.5209363767563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9836.4409363767554</v>
      </c>
      <c r="G23" s="60"/>
      <c r="H23" s="85">
        <f>ROUNDUP(F23*R$4,0)</f>
        <v>5175</v>
      </c>
      <c r="I23" s="60"/>
      <c r="J23" s="222">
        <f>ROUNDUP(F23*R$5,0)</f>
        <v>3140</v>
      </c>
      <c r="K23" s="60"/>
      <c r="L23" s="85">
        <f>ROUNDUP(F23*R$6,0)</f>
        <v>623</v>
      </c>
      <c r="M23" s="60"/>
      <c r="N23" s="85">
        <f>ROUNDUP(F23*R$7,0)</f>
        <v>899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14369.28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2215.9074709807755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16585.187470980774</v>
      </c>
      <c r="G27" s="60"/>
      <c r="H27" s="85">
        <f>ROUNDUP(F27*R$4,0)</f>
        <v>8726</v>
      </c>
      <c r="I27" s="60"/>
      <c r="J27" s="222">
        <f>ROUNDUP(F27*R$5,0)</f>
        <v>5295</v>
      </c>
      <c r="K27" s="60"/>
      <c r="L27" s="85">
        <f>ROUNDUP(F27*R$6,0)</f>
        <v>1051</v>
      </c>
      <c r="M27" s="60"/>
      <c r="N27" s="85">
        <f>ROUNDUP(F27*R$7,0)</f>
        <v>1516</v>
      </c>
    </row>
    <row r="28" spans="2:22" x14ac:dyDescent="0.25">
      <c r="B28" t="s">
        <v>25</v>
      </c>
      <c r="F28" s="85">
        <f>'Allocation Charges'!L13</f>
        <v>13678.035601092215</v>
      </c>
      <c r="G28" s="60"/>
      <c r="H28" s="85">
        <f>ROUNDUP(F28*R$4,0)</f>
        <v>7196</v>
      </c>
      <c r="I28" s="60"/>
      <c r="J28" s="222">
        <f>ROUNDUP(F28*R$5,0)</f>
        <v>4367</v>
      </c>
      <c r="K28" s="60"/>
      <c r="L28" s="85">
        <f>ROUNDUP(F28*R$6,0)</f>
        <v>867</v>
      </c>
      <c r="M28" s="60"/>
      <c r="N28" s="85">
        <f>ROUNDUP(F28*R$7,0)</f>
        <v>1251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214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0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214</v>
      </c>
      <c r="G32" s="60"/>
      <c r="H32" s="85">
        <f>ROUNDUP(F32*R$4,0)</f>
        <v>113</v>
      </c>
      <c r="I32" s="60"/>
      <c r="J32" s="222">
        <f>ROUNDUP(F32*R$5,0)</f>
        <v>69</v>
      </c>
      <c r="K32" s="60"/>
      <c r="L32" s="85">
        <f>ROUNDUP(F32*R$6,0)</f>
        <v>14</v>
      </c>
      <c r="M32" s="60"/>
      <c r="N32" s="85">
        <f>ROUNDUP(F32*R$7,0)</f>
        <v>20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29290.74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11801.922291802133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41092.662291802131</v>
      </c>
      <c r="G36" s="60"/>
      <c r="H36" s="85">
        <f>ROUNDUP(F36*R$4,0)</f>
        <v>21619</v>
      </c>
      <c r="I36" s="60"/>
      <c r="J36" s="222">
        <f>ROUNDUP(F36*R$5,0)</f>
        <v>13117</v>
      </c>
      <c r="K36" s="60"/>
      <c r="L36" s="85">
        <f>ROUNDUP(F36*R$6,0)</f>
        <v>2602</v>
      </c>
      <c r="M36" s="60"/>
      <c r="N36" s="85">
        <f>ROUNDUP(F36*R$7,0)</f>
        <v>3756</v>
      </c>
    </row>
    <row r="37" spans="1:17" x14ac:dyDescent="0.25">
      <c r="B37" t="s">
        <v>195</v>
      </c>
      <c r="F37" s="85">
        <f>'Allocation Charges'!L16</f>
        <v>2278.7600000000002</v>
      </c>
      <c r="G37" s="60"/>
      <c r="H37" s="85">
        <f>ROUNDUP(F37*R$4,0)</f>
        <v>1199</v>
      </c>
      <c r="I37" s="60"/>
      <c r="J37" s="222">
        <f>ROUNDUP(F37*R$5,0)</f>
        <v>728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2511.711576188286</v>
      </c>
      <c r="G39" s="60"/>
      <c r="H39" s="85">
        <f>ROUNDUP(F39*R$4,0)</f>
        <v>1322</v>
      </c>
      <c r="I39" s="60"/>
      <c r="J39" s="222">
        <f>ROUNDUP(F39*R$5,0)</f>
        <v>802</v>
      </c>
      <c r="K39" s="60"/>
      <c r="L39" s="85">
        <f>ROUNDUP(F39*R$6,0)</f>
        <v>160</v>
      </c>
      <c r="M39" s="60"/>
      <c r="N39" s="85">
        <f>ROUNDUP(F39*R$7,0)</f>
        <v>230</v>
      </c>
    </row>
    <row r="40" spans="1:17" x14ac:dyDescent="0.25">
      <c r="B40" t="s">
        <v>30</v>
      </c>
      <c r="F40" s="85">
        <f>'Allocation Charges'!L19</f>
        <v>3910.7019413296989</v>
      </c>
      <c r="G40" s="60"/>
      <c r="H40" s="85">
        <f>ROUNDUP(F40*R$4,0)</f>
        <v>2058</v>
      </c>
      <c r="I40" s="60"/>
      <c r="J40" s="222">
        <f>ROUNDUP(F40*R$5,0)</f>
        <v>1249</v>
      </c>
      <c r="K40" s="60"/>
      <c r="L40" s="85">
        <f>ROUNDUP(F40*R$6,0)</f>
        <v>248</v>
      </c>
      <c r="M40" s="60"/>
      <c r="N40" s="85">
        <f>ROUNDUP(F40*R$7,0)</f>
        <v>358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289147.55014706613</v>
      </c>
      <c r="G42" s="60"/>
      <c r="H42" s="219">
        <f>SUM(H6:H41)</f>
        <v>147514</v>
      </c>
      <c r="I42" s="60"/>
      <c r="J42" s="219">
        <f>SUM(J6:J41)</f>
        <v>89508</v>
      </c>
      <c r="K42" s="60"/>
      <c r="L42" s="219">
        <f>SUM(L6:L41)</f>
        <v>26523</v>
      </c>
      <c r="M42" s="60"/>
      <c r="N42" s="219">
        <f>SUM(N6:N41)</f>
        <v>25632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12280.300016212957</v>
      </c>
      <c r="G46" s="8"/>
      <c r="H46" s="85">
        <f t="shared" ref="H46:H51" si="0">ROUNDUP(F46*R$4,0)</f>
        <v>6461</v>
      </c>
      <c r="I46" s="8"/>
      <c r="J46" s="222">
        <f t="shared" ref="J46:J51" si="1">ROUNDUP(F46*R$5,0)</f>
        <v>3920</v>
      </c>
      <c r="K46" s="8"/>
      <c r="L46" s="85">
        <f t="shared" ref="L46:L51" si="2">ROUNDUP(F46*R$6,0)</f>
        <v>778</v>
      </c>
      <c r="M46" s="8"/>
      <c r="N46" s="85">
        <f t="shared" ref="N46:N51" si="3">ROUNDUP(F46*R$7,0)</f>
        <v>1123</v>
      </c>
    </row>
    <row r="47" spans="1:17" x14ac:dyDescent="0.25">
      <c r="B47" t="s">
        <v>101</v>
      </c>
      <c r="F47" s="85">
        <f>'Allocation Charges'!L28</f>
        <v>3809.8438069611948</v>
      </c>
      <c r="G47" s="8"/>
      <c r="H47" s="85">
        <f t="shared" si="0"/>
        <v>2005</v>
      </c>
      <c r="I47" s="8"/>
      <c r="J47" s="222">
        <f t="shared" si="1"/>
        <v>1217</v>
      </c>
      <c r="K47" s="8"/>
      <c r="L47" s="85">
        <f t="shared" si="2"/>
        <v>242</v>
      </c>
      <c r="M47" s="8"/>
      <c r="N47" s="85">
        <f t="shared" si="3"/>
        <v>349</v>
      </c>
    </row>
    <row r="48" spans="1:17" x14ac:dyDescent="0.25">
      <c r="B48" t="s">
        <v>102</v>
      </c>
      <c r="F48" s="85">
        <f>'Allocation Charges'!L29</f>
        <v>6068.4482788404703</v>
      </c>
      <c r="G48" s="8"/>
      <c r="H48" s="85">
        <f t="shared" si="0"/>
        <v>3193</v>
      </c>
      <c r="I48" s="8"/>
      <c r="J48" s="222">
        <f t="shared" si="1"/>
        <v>1938</v>
      </c>
      <c r="K48" s="8"/>
      <c r="L48" s="85">
        <f t="shared" si="2"/>
        <v>385</v>
      </c>
      <c r="M48" s="8"/>
      <c r="N48" s="85">
        <f t="shared" si="3"/>
        <v>555</v>
      </c>
    </row>
    <row r="49" spans="1:14" x14ac:dyDescent="0.25">
      <c r="B49" t="s">
        <v>103</v>
      </c>
      <c r="F49" s="85">
        <f>'Allocation Charges'!L30</f>
        <v>3688.502418972565</v>
      </c>
      <c r="G49" s="8"/>
      <c r="H49" s="85">
        <f t="shared" si="0"/>
        <v>1941</v>
      </c>
      <c r="I49" s="8"/>
      <c r="J49" s="222">
        <f t="shared" si="1"/>
        <v>1178</v>
      </c>
      <c r="K49" s="8"/>
      <c r="L49" s="85">
        <f t="shared" si="2"/>
        <v>234</v>
      </c>
      <c r="M49" s="8"/>
      <c r="N49" s="85">
        <f t="shared" si="3"/>
        <v>338</v>
      </c>
    </row>
    <row r="50" spans="1:14" x14ac:dyDescent="0.25">
      <c r="B50" t="s">
        <v>104</v>
      </c>
      <c r="F50" s="85">
        <f>'Allocation Charges'!L31</f>
        <v>3503.7325781716963</v>
      </c>
      <c r="G50" s="8"/>
      <c r="H50" s="85">
        <f t="shared" si="0"/>
        <v>1844</v>
      </c>
      <c r="I50" s="8"/>
      <c r="J50" s="222">
        <f t="shared" si="1"/>
        <v>1119</v>
      </c>
      <c r="K50" s="8"/>
      <c r="L50" s="85">
        <f t="shared" si="2"/>
        <v>222</v>
      </c>
      <c r="M50" s="8"/>
      <c r="N50" s="85">
        <f t="shared" si="3"/>
        <v>321</v>
      </c>
    </row>
    <row r="51" spans="1:14" x14ac:dyDescent="0.25">
      <c r="B51" t="s">
        <v>105</v>
      </c>
      <c r="F51" s="85">
        <f>'Allocation Charges'!L32</f>
        <v>11144.792822932992</v>
      </c>
      <c r="G51" s="8"/>
      <c r="H51" s="85">
        <f t="shared" si="0"/>
        <v>5864</v>
      </c>
      <c r="I51" s="8"/>
      <c r="J51" s="222">
        <f t="shared" si="1"/>
        <v>3558</v>
      </c>
      <c r="K51" s="8"/>
      <c r="L51" s="85">
        <f t="shared" si="2"/>
        <v>706</v>
      </c>
      <c r="M51" s="8"/>
      <c r="N51" s="85">
        <f t="shared" si="3"/>
        <v>1019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40495.619922091879</v>
      </c>
      <c r="G53" s="8"/>
      <c r="H53" s="219">
        <f>SUM(H46:H51)</f>
        <v>21308</v>
      </c>
      <c r="I53" s="8"/>
      <c r="J53" s="220">
        <f>SUM(J46:J51)</f>
        <v>12930</v>
      </c>
      <c r="K53" s="8"/>
      <c r="L53" s="219">
        <f>SUM(L46:L51)</f>
        <v>2567</v>
      </c>
      <c r="M53" s="8"/>
      <c r="N53" s="219">
        <f>SUM(N46:N51)</f>
        <v>3705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7184</v>
      </c>
      <c r="G57" s="8"/>
      <c r="H57" s="85">
        <v>0</v>
      </c>
      <c r="I57" s="8"/>
      <c r="J57" s="222">
        <f>ROUNDUP('Commodity OK'!F24+'Commodity OK'!F26,0)</f>
        <v>7184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544303</v>
      </c>
      <c r="G58" s="120"/>
      <c r="H58" s="85">
        <f>ROUNDUP('Commodity OK'!Q6-H59,0)</f>
        <v>253470</v>
      </c>
      <c r="I58" s="120"/>
      <c r="J58" s="222">
        <f>ROUNDUP('Commodity OK'!Q8-J59-J57,0)</f>
        <v>236138</v>
      </c>
      <c r="K58" s="120"/>
      <c r="L58" s="222">
        <f>ROUNDUP('Commodity OK'!Q7-L59,0)</f>
        <v>9426</v>
      </c>
      <c r="M58" s="120"/>
      <c r="N58" s="222">
        <f>ROUNDUP('Commodity OK'!Q9-N59-N60,0)</f>
        <v>45269</v>
      </c>
    </row>
    <row r="59" spans="1:14" x14ac:dyDescent="0.25">
      <c r="A59" s="16"/>
      <c r="B59" t="s">
        <v>108</v>
      </c>
      <c r="F59" s="85">
        <f>SUM(H59:N59)</f>
        <v>31146</v>
      </c>
      <c r="G59" s="120"/>
      <c r="H59" s="85">
        <f>ROUNDUP(('Commodity OK'!F43-'Commodity OK'!F40)*'Commodity OK'!O6,0)</f>
        <v>14313</v>
      </c>
      <c r="I59" s="120"/>
      <c r="J59" s="222">
        <f>ROUNDUP(('Commodity OK'!F43-'Commodity OK'!F40)*'Commodity OK'!O8,0)</f>
        <v>13740</v>
      </c>
      <c r="K59" s="120"/>
      <c r="L59" s="222">
        <f>ROUNDUP(('Commodity OK'!F43-'Commodity OK'!F40)*'Commodity OK'!O7,0)</f>
        <v>533</v>
      </c>
      <c r="M59" s="120"/>
      <c r="N59" s="222">
        <f>ROUNDUP(('Commodity OK'!F43-'Commodity OK'!F40)*'Commodity OK'!O9,0)</f>
        <v>2560</v>
      </c>
    </row>
    <row r="60" spans="1:14" x14ac:dyDescent="0.25">
      <c r="A60" s="16"/>
      <c r="B60" t="s">
        <v>113</v>
      </c>
      <c r="F60" s="85">
        <f>SUM(H60:N60)</f>
        <v>62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OK'!F40,0)</f>
        <v>62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582695</v>
      </c>
      <c r="G62" s="221"/>
      <c r="H62" s="219">
        <f>SUM(H57:H60)</f>
        <v>267783</v>
      </c>
      <c r="I62" s="221"/>
      <c r="J62" s="219">
        <f>SUM(J57:J60)</f>
        <v>257062</v>
      </c>
      <c r="K62" s="221"/>
      <c r="L62" s="219">
        <f>SUM(L57:L60)</f>
        <v>9959</v>
      </c>
      <c r="M62" s="221"/>
      <c r="N62" s="220">
        <f>SUM(N57:N60)</f>
        <v>47891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912338.17006915808</v>
      </c>
      <c r="G66" s="120"/>
      <c r="H66" s="219">
        <f>H53+H42+H62</f>
        <v>436605</v>
      </c>
      <c r="I66" s="120"/>
      <c r="J66" s="220">
        <f>J53+J42+J62</f>
        <v>359500</v>
      </c>
      <c r="K66" s="120"/>
      <c r="L66" s="220">
        <f>L53+L42+L62</f>
        <v>39049</v>
      </c>
      <c r="M66" s="120"/>
      <c r="N66" s="220">
        <f>N53+N42+N62</f>
        <v>77228</v>
      </c>
    </row>
    <row r="68" spans="4:14" x14ac:dyDescent="0.25">
      <c r="F68" s="6">
        <f>SUM(H66:N66)</f>
        <v>912382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topLeftCell="A12" zoomScaleNormal="100" workbookViewId="0">
      <selection activeCell="J31" sqref="J31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270</v>
      </c>
      <c r="G2" s="97"/>
      <c r="H2" s="97" t="s">
        <v>278</v>
      </c>
      <c r="I2" s="99"/>
      <c r="J2" s="54"/>
    </row>
    <row r="3" spans="2:21" x14ac:dyDescent="0.25">
      <c r="M3" s="101" t="s">
        <v>271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276</v>
      </c>
      <c r="N4" s="19"/>
      <c r="O4" s="19" t="s">
        <v>78</v>
      </c>
      <c r="P4" s="19"/>
      <c r="Q4" s="19" t="s">
        <v>79</v>
      </c>
      <c r="R4" s="19"/>
      <c r="S4" s="176" t="s">
        <v>277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264</v>
      </c>
      <c r="D6" s="88">
        <v>618</v>
      </c>
      <c r="E6" s="27"/>
      <c r="F6" s="214">
        <v>117.42</v>
      </c>
      <c r="H6" s="6">
        <f t="shared" ref="H6:H16" si="0">F6/D6</f>
        <v>0.19</v>
      </c>
      <c r="K6" t="s">
        <v>33</v>
      </c>
      <c r="M6" s="132">
        <v>685915</v>
      </c>
      <c r="O6" s="25">
        <f>+M6/$M$11</f>
        <v>0.4595600674551622</v>
      </c>
      <c r="Q6" s="6">
        <f>O6*F45</f>
        <v>267782.11728920427</v>
      </c>
      <c r="S6" s="132">
        <v>599501</v>
      </c>
      <c r="U6" s="110" t="s">
        <v>152</v>
      </c>
    </row>
    <row r="7" spans="2:21" x14ac:dyDescent="0.25">
      <c r="C7" s="127" t="s">
        <v>141</v>
      </c>
      <c r="D7" s="88">
        <v>14215</v>
      </c>
      <c r="E7" s="27"/>
      <c r="F7" s="214">
        <v>6550</v>
      </c>
      <c r="H7" s="6">
        <f t="shared" si="0"/>
        <v>0.4607808652831516</v>
      </c>
      <c r="K7" t="s">
        <v>81</v>
      </c>
      <c r="M7" s="132">
        <v>25508</v>
      </c>
      <c r="O7" s="25">
        <f t="shared" ref="O7:O9" si="1">+M7/$M$11</f>
        <v>1.7090249084283443E-2</v>
      </c>
      <c r="Q7" s="6">
        <f>O7*F45</f>
        <v>9958.3567173965039</v>
      </c>
      <c r="S7" s="132">
        <v>19727</v>
      </c>
    </row>
    <row r="8" spans="2:21" x14ac:dyDescent="0.25">
      <c r="C8" s="127" t="s">
        <v>164</v>
      </c>
      <c r="D8" s="88">
        <f>2298-271</f>
        <v>2027</v>
      </c>
      <c r="E8" s="27"/>
      <c r="F8" s="214">
        <f>537.26+1347.72</f>
        <v>1884.98</v>
      </c>
      <c r="H8" s="6">
        <f t="shared" si="0"/>
        <v>0.92993586581154419</v>
      </c>
      <c r="K8" t="s">
        <v>82</v>
      </c>
      <c r="M8" s="132">
        <v>658454</v>
      </c>
      <c r="O8" s="25">
        <f t="shared" si="1"/>
        <v>0.44116131686305354</v>
      </c>
      <c r="Q8" s="6">
        <f>O8*F45</f>
        <v>257061.3068055746</v>
      </c>
      <c r="S8" s="132">
        <v>674886</v>
      </c>
    </row>
    <row r="9" spans="2:21" x14ac:dyDescent="0.25">
      <c r="C9" s="127" t="s">
        <v>63</v>
      </c>
      <c r="D9" s="88">
        <v>49926</v>
      </c>
      <c r="E9" s="27"/>
      <c r="F9" s="214">
        <v>22683.119999999999</v>
      </c>
      <c r="H9" s="6">
        <f t="shared" si="0"/>
        <v>0.45433481552697991</v>
      </c>
      <c r="K9" t="s">
        <v>109</v>
      </c>
      <c r="M9" s="132">
        <v>122670</v>
      </c>
      <c r="O9" s="25">
        <f t="shared" si="1"/>
        <v>8.2188366597500784E-2</v>
      </c>
      <c r="Q9" s="6">
        <f>O9*F45</f>
        <v>47890.52918782457</v>
      </c>
      <c r="S9" s="132">
        <v>179095</v>
      </c>
    </row>
    <row r="10" spans="2:21" x14ac:dyDescent="0.25">
      <c r="C10" s="127" t="s">
        <v>64</v>
      </c>
      <c r="D10" s="88">
        <v>4087</v>
      </c>
      <c r="E10" s="27"/>
      <c r="F10" s="214">
        <v>2717.36</v>
      </c>
      <c r="H10" s="6">
        <f t="shared" si="0"/>
        <v>0.66487888426718866</v>
      </c>
    </row>
    <row r="11" spans="2:21" x14ac:dyDescent="0.25">
      <c r="C11" s="127" t="s">
        <v>65</v>
      </c>
      <c r="D11" s="88">
        <v>1275</v>
      </c>
      <c r="E11" s="27"/>
      <c r="F11" s="214">
        <v>1174.93</v>
      </c>
      <c r="H11" s="6">
        <f t="shared" si="0"/>
        <v>0.92151372549019617</v>
      </c>
      <c r="M11" s="28">
        <f>SUM(M6:M10)</f>
        <v>1492547</v>
      </c>
      <c r="N11" s="32"/>
      <c r="O11" s="33">
        <f>SUM(O6:O9)</f>
        <v>1</v>
      </c>
      <c r="P11" s="32"/>
      <c r="Q11" s="30">
        <f>SUM(Q6:Q9)</f>
        <v>582692.30999999994</v>
      </c>
      <c r="R11" s="32"/>
      <c r="S11" s="28">
        <f>SUM(S6:S10)</f>
        <v>1473209</v>
      </c>
    </row>
    <row r="12" spans="2:21" x14ac:dyDescent="0.25">
      <c r="C12" s="127" t="s">
        <v>66</v>
      </c>
      <c r="D12" s="88">
        <v>284</v>
      </c>
      <c r="E12" s="27"/>
      <c r="F12" s="214">
        <v>318.39</v>
      </c>
      <c r="H12" s="6">
        <f t="shared" si="0"/>
        <v>1.1210915492957747</v>
      </c>
      <c r="K12" s="217"/>
    </row>
    <row r="13" spans="2:21" x14ac:dyDescent="0.25">
      <c r="C13" s="127" t="s">
        <v>67</v>
      </c>
      <c r="D13" s="88">
        <v>62</v>
      </c>
      <c r="E13" s="27"/>
      <c r="F13" s="214">
        <v>179.43</v>
      </c>
      <c r="H13" s="6">
        <f t="shared" si="0"/>
        <v>2.8940322580645161</v>
      </c>
      <c r="M13" t="s">
        <v>197</v>
      </c>
      <c r="Q13" s="6"/>
    </row>
    <row r="14" spans="2:21" x14ac:dyDescent="0.25">
      <c r="C14" s="127" t="s">
        <v>68</v>
      </c>
      <c r="D14" s="88">
        <v>1759</v>
      </c>
      <c r="E14" s="27"/>
      <c r="F14" s="214">
        <v>1358.42</v>
      </c>
      <c r="H14" s="6">
        <f t="shared" si="0"/>
        <v>0.77226833428084141</v>
      </c>
      <c r="O14" t="s">
        <v>206</v>
      </c>
    </row>
    <row r="15" spans="2:21" x14ac:dyDescent="0.25">
      <c r="C15" s="127" t="s">
        <v>69</v>
      </c>
      <c r="D15" s="88">
        <v>5060</v>
      </c>
      <c r="E15" s="27"/>
      <c r="F15" s="214">
        <v>2602.08</v>
      </c>
      <c r="H15" s="6">
        <f t="shared" si="0"/>
        <v>0.51424505928853759</v>
      </c>
      <c r="O15" s="7" t="s">
        <v>202</v>
      </c>
      <c r="Q15" s="134">
        <f>546991.53-1000</f>
        <v>545991.53</v>
      </c>
      <c r="S15" t="s">
        <v>213</v>
      </c>
    </row>
    <row r="16" spans="2:21" x14ac:dyDescent="0.25">
      <c r="C16" s="127" t="s">
        <v>70</v>
      </c>
      <c r="D16" s="88">
        <v>831</v>
      </c>
      <c r="E16" s="27"/>
      <c r="F16" s="214">
        <v>875.93</v>
      </c>
      <c r="H16" s="6">
        <f t="shared" si="0"/>
        <v>1.0540673886883272</v>
      </c>
      <c r="O16" s="7" t="s">
        <v>204</v>
      </c>
      <c r="Q16" s="102">
        <v>6213.76</v>
      </c>
      <c r="S16" t="s">
        <v>213</v>
      </c>
    </row>
    <row r="17" spans="3:24" x14ac:dyDescent="0.25">
      <c r="C17" s="127" t="s">
        <v>175</v>
      </c>
      <c r="D17" s="88">
        <v>85</v>
      </c>
      <c r="E17" s="27"/>
      <c r="F17" s="214">
        <v>494.7</v>
      </c>
      <c r="H17" s="6">
        <f>F17/D17</f>
        <v>5.82</v>
      </c>
      <c r="J17" s="6"/>
      <c r="O17" s="7" t="s">
        <v>205</v>
      </c>
      <c r="Q17" s="102">
        <v>14441.22</v>
      </c>
      <c r="S17" t="s">
        <v>213</v>
      </c>
    </row>
    <row r="18" spans="3:24" ht="15.75" thickBot="1" x14ac:dyDescent="0.3">
      <c r="C18" s="16" t="s">
        <v>162</v>
      </c>
      <c r="D18" s="28">
        <f>SUM(D6:D17)</f>
        <v>80229</v>
      </c>
      <c r="E18" s="31"/>
      <c r="F18" s="30">
        <f>SUM(F6:F17)</f>
        <v>40956.759999999995</v>
      </c>
      <c r="G18" s="20"/>
      <c r="H18" s="6">
        <f>F18/D18</f>
        <v>0.51049819890563253</v>
      </c>
      <c r="I18" s="20"/>
      <c r="J18" s="6"/>
      <c r="M18" s="6"/>
      <c r="O18" s="6" t="s">
        <v>145</v>
      </c>
      <c r="Q18" s="104">
        <f>SUM(Q15:Q17)</f>
        <v>566646.51</v>
      </c>
      <c r="S18" t="s">
        <v>214</v>
      </c>
    </row>
    <row r="19" spans="3:24" ht="15.75" thickTop="1" x14ac:dyDescent="0.25">
      <c r="K19" s="6"/>
      <c r="M19" s="6"/>
      <c r="O19" s="6" t="s">
        <v>203</v>
      </c>
      <c r="Q19" s="6">
        <f>+F42</f>
        <v>16045.800000000001</v>
      </c>
      <c r="S19" t="s">
        <v>214</v>
      </c>
      <c r="W19" s="6"/>
    </row>
    <row r="20" spans="3:24" x14ac:dyDescent="0.25">
      <c r="O20" s="6" t="s">
        <v>50</v>
      </c>
      <c r="Q20" s="173">
        <f>+Q18+Q19</f>
        <v>582692.31000000006</v>
      </c>
      <c r="S20" t="s">
        <v>214</v>
      </c>
    </row>
    <row r="21" spans="3:24" x14ac:dyDescent="0.25">
      <c r="C21" s="16" t="s">
        <v>76</v>
      </c>
      <c r="D21" s="26" t="s">
        <v>74</v>
      </c>
      <c r="E21" s="26"/>
      <c r="F21" s="29" t="s">
        <v>72</v>
      </c>
      <c r="G21" s="29"/>
      <c r="H21" s="29" t="s">
        <v>73</v>
      </c>
      <c r="I21" s="29"/>
      <c r="Q21" s="6">
        <f>+Q20-Q11</f>
        <v>0</v>
      </c>
      <c r="S21" t="s">
        <v>214</v>
      </c>
    </row>
    <row r="22" spans="3:24" x14ac:dyDescent="0.25">
      <c r="Q22" s="6"/>
      <c r="X22" s="6"/>
    </row>
    <row r="23" spans="3:24" x14ac:dyDescent="0.25">
      <c r="C23" s="127" t="s">
        <v>207</v>
      </c>
      <c r="D23" s="88">
        <v>618</v>
      </c>
      <c r="F23" s="214">
        <v>2809.35</v>
      </c>
      <c r="H23" s="6">
        <f t="shared" ref="H23:H36" si="2">F23/D23</f>
        <v>4.5458737864077667</v>
      </c>
      <c r="Q23" s="6"/>
    </row>
    <row r="24" spans="3:24" x14ac:dyDescent="0.25">
      <c r="C24" t="s">
        <v>160</v>
      </c>
      <c r="D24" s="88"/>
      <c r="F24" s="63"/>
      <c r="H24" t="e">
        <f>F24/D24</f>
        <v>#DIV/0!</v>
      </c>
      <c r="J24" t="s">
        <v>139</v>
      </c>
      <c r="Q24" s="6"/>
    </row>
    <row r="25" spans="3:24" x14ac:dyDescent="0.25">
      <c r="C25" t="s">
        <v>275</v>
      </c>
      <c r="D25" s="88">
        <v>1175</v>
      </c>
      <c r="F25" s="63">
        <v>3077.33</v>
      </c>
      <c r="H25" s="6">
        <f t="shared" si="2"/>
        <v>2.6190042553191488</v>
      </c>
      <c r="Q25" s="6"/>
    </row>
    <row r="26" spans="3:24" x14ac:dyDescent="0.25">
      <c r="C26" t="s">
        <v>238</v>
      </c>
      <c r="D26" s="88">
        <v>5495</v>
      </c>
      <c r="F26" s="63">
        <v>7183.92</v>
      </c>
      <c r="H26" s="6">
        <f t="shared" si="2"/>
        <v>1.3073557779799818</v>
      </c>
      <c r="J26" t="s">
        <v>138</v>
      </c>
      <c r="S26" s="6"/>
    </row>
    <row r="27" spans="3:24" x14ac:dyDescent="0.25">
      <c r="C27" s="127" t="s">
        <v>174</v>
      </c>
      <c r="D27" s="88">
        <v>7960</v>
      </c>
      <c r="F27" s="214">
        <v>47000.61</v>
      </c>
      <c r="H27" s="6">
        <f t="shared" si="2"/>
        <v>5.9045992462311556</v>
      </c>
      <c r="S27" s="6"/>
    </row>
    <row r="28" spans="3:24" x14ac:dyDescent="0.25">
      <c r="C28" s="127" t="s">
        <v>258</v>
      </c>
      <c r="D28" s="88">
        <v>14215</v>
      </c>
      <c r="F28" s="214">
        <v>68072.899999999994</v>
      </c>
      <c r="H28" s="6">
        <f t="shared" si="2"/>
        <v>4.7888075976081597</v>
      </c>
      <c r="S28" s="6"/>
    </row>
    <row r="29" spans="3:24" x14ac:dyDescent="0.25">
      <c r="C29" s="127" t="s">
        <v>259</v>
      </c>
      <c r="D29" s="88">
        <v>2330</v>
      </c>
      <c r="F29" s="214">
        <v>11126.93</v>
      </c>
      <c r="H29" s="6">
        <f t="shared" si="2"/>
        <v>4.7755064377682404</v>
      </c>
      <c r="S29" s="6"/>
    </row>
    <row r="30" spans="3:24" x14ac:dyDescent="0.25">
      <c r="C30" s="127" t="s">
        <v>260</v>
      </c>
      <c r="D30" s="88">
        <v>42821</v>
      </c>
      <c r="F30" s="214">
        <v>321590.02</v>
      </c>
      <c r="H30" s="6">
        <f t="shared" si="2"/>
        <v>7.5101006515494735</v>
      </c>
      <c r="O30" s="6"/>
      <c r="Q30" s="6"/>
    </row>
    <row r="31" spans="3:24" x14ac:dyDescent="0.25">
      <c r="C31" s="127" t="s">
        <v>263</v>
      </c>
      <c r="D31" s="88">
        <v>2238</v>
      </c>
      <c r="F31" s="214">
        <v>1417.93</v>
      </c>
      <c r="H31" s="6">
        <f t="shared" si="2"/>
        <v>0.63357015192135835</v>
      </c>
    </row>
    <row r="32" spans="3:24" x14ac:dyDescent="0.25">
      <c r="C32" s="127" t="s">
        <v>247</v>
      </c>
      <c r="D32" s="88">
        <v>73</v>
      </c>
      <c r="F32" s="214">
        <v>672.48</v>
      </c>
      <c r="H32" s="6">
        <f t="shared" si="2"/>
        <v>9.2120547945205473</v>
      </c>
    </row>
    <row r="33" spans="3:22" x14ac:dyDescent="0.25">
      <c r="C33" s="127" t="s">
        <v>110</v>
      </c>
      <c r="D33" s="88">
        <v>7020</v>
      </c>
      <c r="F33" s="214">
        <v>41277.599999999999</v>
      </c>
      <c r="H33" s="6">
        <f t="shared" ref="H33:H35" si="3">F33/D33</f>
        <v>5.88</v>
      </c>
    </row>
    <row r="34" spans="3:22" x14ac:dyDescent="0.25">
      <c r="C34" s="127" t="s">
        <v>246</v>
      </c>
      <c r="D34" s="88">
        <v>26</v>
      </c>
      <c r="F34" s="214">
        <v>87.55</v>
      </c>
      <c r="H34" s="6">
        <f t="shared" si="3"/>
        <v>3.3673076923076923</v>
      </c>
    </row>
    <row r="35" spans="3:22" x14ac:dyDescent="0.25">
      <c r="C35" t="s">
        <v>190</v>
      </c>
      <c r="D35" s="88"/>
      <c r="F35" s="214">
        <v>6213.76</v>
      </c>
      <c r="H35" s="6" t="e">
        <f t="shared" si="3"/>
        <v>#DIV/0!</v>
      </c>
      <c r="J35" s="6"/>
    </row>
    <row r="36" spans="3:22" x14ac:dyDescent="0.25">
      <c r="D36" s="28">
        <f>SUM(D23:D35)</f>
        <v>83971</v>
      </c>
      <c r="E36" s="16"/>
      <c r="F36" s="89">
        <f>SUM(F23:F35)</f>
        <v>510530.37999999995</v>
      </c>
      <c r="H36" s="6">
        <f t="shared" si="2"/>
        <v>6.0798416119850893</v>
      </c>
      <c r="J36" s="6"/>
      <c r="K36" s="74" t="s">
        <v>131</v>
      </c>
      <c r="O36" s="55"/>
      <c r="Q36" s="55"/>
    </row>
    <row r="37" spans="3:22" x14ac:dyDescent="0.25">
      <c r="K37" s="74" t="s">
        <v>132</v>
      </c>
    </row>
    <row r="38" spans="3:22" x14ac:dyDescent="0.25">
      <c r="K38" s="74" t="s">
        <v>133</v>
      </c>
    </row>
    <row r="39" spans="3:22" x14ac:dyDescent="0.25">
      <c r="C39" t="s">
        <v>134</v>
      </c>
      <c r="F39" s="214">
        <v>657</v>
      </c>
      <c r="J39" t="s">
        <v>234</v>
      </c>
      <c r="K39" s="74" t="s">
        <v>136</v>
      </c>
    </row>
    <row r="40" spans="3:22" ht="15.75" thickBot="1" x14ac:dyDescent="0.3">
      <c r="C40" t="s">
        <v>111</v>
      </c>
      <c r="F40" s="214">
        <v>61.15</v>
      </c>
      <c r="Q40" s="6"/>
      <c r="S40" s="6"/>
    </row>
    <row r="41" spans="3:22" ht="15.75" thickBot="1" x14ac:dyDescent="0.3">
      <c r="C41" t="s">
        <v>75</v>
      </c>
      <c r="F41" s="109">
        <f>+D18*0.18</f>
        <v>14441.22</v>
      </c>
      <c r="J41" s="76" t="s">
        <v>192</v>
      </c>
      <c r="K41" s="74"/>
      <c r="S41" s="54"/>
    </row>
    <row r="42" spans="3:22" ht="15.75" thickBot="1" x14ac:dyDescent="0.3">
      <c r="C42" t="s">
        <v>135</v>
      </c>
      <c r="F42" s="6">
        <f>D18*0.2</f>
        <v>16045.800000000001</v>
      </c>
      <c r="J42" s="76" t="s">
        <v>194</v>
      </c>
    </row>
    <row r="43" spans="3:22" x14ac:dyDescent="0.25">
      <c r="F43" s="30">
        <f>SUM(F39:F42)</f>
        <v>31205.17</v>
      </c>
      <c r="J43" s="162" t="s">
        <v>162</v>
      </c>
      <c r="K43" s="165" t="s">
        <v>193</v>
      </c>
      <c r="L43" s="163"/>
      <c r="M43" s="164" t="s">
        <v>50</v>
      </c>
    </row>
    <row r="44" spans="3:22" ht="15.75" thickBot="1" x14ac:dyDescent="0.3">
      <c r="C44" s="102">
        <f>546991.53+6213.76-1000</f>
        <v>552205.29</v>
      </c>
      <c r="D44" s="117" t="s">
        <v>215</v>
      </c>
      <c r="J44" s="160">
        <f>+D18</f>
        <v>80229</v>
      </c>
      <c r="K44" s="147">
        <v>0.18</v>
      </c>
      <c r="L44" s="147"/>
      <c r="M44" s="161">
        <f>+J44*K44</f>
        <v>14441.22</v>
      </c>
      <c r="S44" s="54"/>
      <c r="T44" s="54"/>
      <c r="U44" s="54"/>
      <c r="V44" s="169"/>
    </row>
    <row r="45" spans="3:22" x14ac:dyDescent="0.25">
      <c r="C45" s="6">
        <f>+F18+F36+F39+F40</f>
        <v>552205.28999999992</v>
      </c>
      <c r="D45" s="15" t="s">
        <v>39</v>
      </c>
      <c r="E45" s="16"/>
      <c r="F45" s="173">
        <f>F18+F36+F43</f>
        <v>582692.30999999994</v>
      </c>
    </row>
    <row r="46" spans="3:22" x14ac:dyDescent="0.25">
      <c r="C46" s="6">
        <f>+C45-C44</f>
        <v>0</v>
      </c>
      <c r="F46" s="99">
        <f>F45-F42-F41</f>
        <v>552205.28999999992</v>
      </c>
      <c r="H46" s="177">
        <f>F46-F35</f>
        <v>545991.52999999991</v>
      </c>
      <c r="I46" s="177"/>
      <c r="J46" s="178" t="s">
        <v>208</v>
      </c>
    </row>
    <row r="47" spans="3:22" x14ac:dyDescent="0.25">
      <c r="F47"/>
      <c r="G47"/>
    </row>
    <row r="48" spans="3:22" x14ac:dyDescent="0.25">
      <c r="D48" s="168"/>
      <c r="E48" s="54"/>
      <c r="F48" s="54"/>
      <c r="G48" s="169">
        <v>44280</v>
      </c>
    </row>
    <row r="49" spans="6:7" x14ac:dyDescent="0.25">
      <c r="F49"/>
      <c r="G49"/>
    </row>
    <row r="50" spans="6:7" x14ac:dyDescent="0.25">
      <c r="F50"/>
      <c r="G50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27" zoomScaleNormal="100" workbookViewId="0">
      <selection activeCell="I45" sqref="I4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244</v>
      </c>
      <c r="F1" s="6" t="str">
        <f>+'Commodity OK'!H2</f>
        <v>Data Input Feb 24 billing =Feb invoices = Jan Flow  data= Jan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7930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1944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219.85</v>
      </c>
      <c r="G11" s="6"/>
      <c r="J11" s="1"/>
    </row>
    <row r="12" spans="1:16" x14ac:dyDescent="0.25">
      <c r="C12" t="s">
        <v>38</v>
      </c>
      <c r="F12" s="6">
        <f>'Allocation Charges'!J7</f>
        <v>609.32846330721156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830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918</v>
      </c>
      <c r="G15" s="6"/>
    </row>
    <row r="16" spans="1:16" x14ac:dyDescent="0.25">
      <c r="B16" t="s">
        <v>18</v>
      </c>
      <c r="F16" s="85">
        <f>ROUNDUP('Allocation Charges'!J9,0)</f>
        <v>42</v>
      </c>
      <c r="G16" s="6"/>
    </row>
    <row r="17" spans="2:7" x14ac:dyDescent="0.25">
      <c r="B17" t="s">
        <v>19</v>
      </c>
      <c r="F17" s="85">
        <f>ROUNDUP('Allocation Charges'!J10,0)</f>
        <v>8790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300.5</v>
      </c>
      <c r="G19" s="6"/>
    </row>
    <row r="20" spans="2:7" x14ac:dyDescent="0.25">
      <c r="C20" t="s">
        <v>38</v>
      </c>
      <c r="F20" s="6">
        <f>'Allocation Charges'!J11</f>
        <v>933.76770861241152</v>
      </c>
      <c r="G20" s="6"/>
    </row>
    <row r="21" spans="2:7" x14ac:dyDescent="0.25">
      <c r="D21" s="7" t="s">
        <v>39</v>
      </c>
      <c r="E21" s="36"/>
      <c r="F21" s="224">
        <f>ROUNDUP(F20+F19,0)</f>
        <v>1235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211.52</v>
      </c>
      <c r="G23" s="6"/>
    </row>
    <row r="24" spans="2:7" x14ac:dyDescent="0.25">
      <c r="C24" t="s">
        <v>38</v>
      </c>
      <c r="F24" s="6">
        <f>'Allocation Charges'!J12</f>
        <v>295.35888343872398</v>
      </c>
      <c r="G24" s="6"/>
    </row>
    <row r="25" spans="2:7" x14ac:dyDescent="0.25">
      <c r="D25" s="7" t="s">
        <v>39</v>
      </c>
      <c r="E25" s="36"/>
      <c r="F25" s="224">
        <f>ROUNDUP(F24+F23,0)</f>
        <v>507</v>
      </c>
      <c r="G25" s="6"/>
    </row>
    <row r="26" spans="2:7" x14ac:dyDescent="0.25">
      <c r="B26" t="s">
        <v>25</v>
      </c>
      <c r="F26" s="85">
        <f>ROUNDUP('Allocation Charges'!J13,0)</f>
        <v>1824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0</v>
      </c>
      <c r="G28" s="6"/>
    </row>
    <row r="29" spans="2:7" x14ac:dyDescent="0.25">
      <c r="C29" t="s">
        <v>38</v>
      </c>
      <c r="F29" s="6">
        <f>'Allocation Charges'!J14</f>
        <v>0</v>
      </c>
      <c r="G29" s="6"/>
    </row>
    <row r="30" spans="2:7" x14ac:dyDescent="0.25">
      <c r="D30" s="7" t="s">
        <v>39</v>
      </c>
      <c r="E30" s="36"/>
      <c r="F30" s="224">
        <f>ROUNDUP(F29+F28,0)</f>
        <v>0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643.55999999999995</v>
      </c>
      <c r="G32" s="6"/>
    </row>
    <row r="33" spans="1:7" x14ac:dyDescent="0.25">
      <c r="C33" t="s">
        <v>38</v>
      </c>
      <c r="F33" s="6">
        <f>'Allocation Charges'!J15</f>
        <v>1573.0812934144872</v>
      </c>
      <c r="G33" s="6"/>
    </row>
    <row r="34" spans="1:7" x14ac:dyDescent="0.25">
      <c r="D34" s="7" t="s">
        <v>39</v>
      </c>
      <c r="E34" s="36"/>
      <c r="F34" s="224">
        <f>ROUNDUP(F33+F32,0)</f>
        <v>2217</v>
      </c>
      <c r="G34" s="6"/>
    </row>
    <row r="35" spans="1:7" x14ac:dyDescent="0.25">
      <c r="B35" t="s">
        <v>195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335</v>
      </c>
      <c r="G37" s="6"/>
    </row>
    <row r="38" spans="1:7" x14ac:dyDescent="0.25">
      <c r="B38" t="s">
        <v>30</v>
      </c>
      <c r="F38" s="85">
        <f>ROUNDUP('Allocation Charges'!J19,0)</f>
        <v>522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27094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273</v>
      </c>
      <c r="G43" s="6"/>
    </row>
    <row r="44" spans="1:7" x14ac:dyDescent="0.25">
      <c r="B44" t="s">
        <v>46</v>
      </c>
      <c r="F44" s="85">
        <f>ROUNDUP('Allocation Charges'!J27,0)</f>
        <v>1637</v>
      </c>
      <c r="G44" s="6"/>
    </row>
    <row r="45" spans="1:7" x14ac:dyDescent="0.25">
      <c r="B45" t="s">
        <v>32</v>
      </c>
      <c r="F45" s="85">
        <f>ROUNDUP('Allocation Charges'!J28,0)</f>
        <v>508</v>
      </c>
      <c r="G45" s="6"/>
    </row>
    <row r="46" spans="1:7" x14ac:dyDescent="0.25">
      <c r="B46" t="s">
        <v>47</v>
      </c>
      <c r="F46" s="85">
        <f>ROUNDUP('Allocation Charges'!J29,0)</f>
        <v>809</v>
      </c>
      <c r="G46" s="6"/>
    </row>
    <row r="47" spans="1:7" x14ac:dyDescent="0.25">
      <c r="B47" t="s">
        <v>48</v>
      </c>
      <c r="F47" s="85">
        <f>ROUNDUP('Allocation Charges'!J30,0)</f>
        <v>492</v>
      </c>
      <c r="G47" s="6"/>
    </row>
    <row r="48" spans="1:7" x14ac:dyDescent="0.25">
      <c r="B48" t="s">
        <v>41</v>
      </c>
      <c r="F48" s="85">
        <f>ROUNDUP('Allocation Charges'!J31,0)</f>
        <v>468</v>
      </c>
      <c r="G48" s="6"/>
    </row>
    <row r="49" spans="1:8" x14ac:dyDescent="0.25">
      <c r="B49" t="s">
        <v>31</v>
      </c>
      <c r="F49" s="85">
        <f>ROUNDUP('Allocation Charges'!J32,0)</f>
        <v>1486</v>
      </c>
      <c r="G49" s="6"/>
    </row>
    <row r="50" spans="1:8" x14ac:dyDescent="0.25">
      <c r="F50" s="6"/>
    </row>
    <row r="51" spans="1:8" x14ac:dyDescent="0.25">
      <c r="F51" s="219">
        <f>SUM(F44:F49)</f>
        <v>5400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240</v>
      </c>
      <c r="F53" s="6">
        <f>ROUNDUP('Commodity TN KY'!I20,0)</f>
        <v>19520</v>
      </c>
      <c r="H53" s="106">
        <f>'Commodity TN KY'!E15*'Commodity TN KY'!G20</f>
        <v>5064.5129848579127</v>
      </c>
    </row>
    <row r="54" spans="1:8" x14ac:dyDescent="0.25">
      <c r="A54" s="16"/>
      <c r="B54" t="s">
        <v>241</v>
      </c>
      <c r="F54" s="6">
        <f>ROUNDUP('Commodity TN KY'!I27,0)</f>
        <v>20622</v>
      </c>
      <c r="H54" s="106">
        <f>+'Commodity TN KY'!E27</f>
        <v>8086.9</v>
      </c>
    </row>
    <row r="55" spans="1:8" x14ac:dyDescent="0.25">
      <c r="A55" s="16"/>
      <c r="B55" t="s">
        <v>242</v>
      </c>
      <c r="F55" s="6">
        <f>ROUNDUP('Commodity TN KY'!I28,0)</f>
        <v>2096</v>
      </c>
      <c r="H55" s="106">
        <f>+'Commodity TN KY'!E28</f>
        <v>1700</v>
      </c>
    </row>
    <row r="56" spans="1:8" x14ac:dyDescent="0.25">
      <c r="F56" s="218">
        <f>SUM(F53:F55)</f>
        <v>42238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74732</v>
      </c>
    </row>
  </sheetData>
  <pageMargins left="0.7" right="0.7" top="0.75" bottom="0.75" header="0.3" footer="0.3"/>
  <pageSetup scale="76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zoomScaleNormal="100" workbookViewId="0">
      <selection activeCell="F42" sqref="F42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245</v>
      </c>
      <c r="F1" s="6" t="str">
        <f>+'Commodity OK'!H2</f>
        <v>Data Input Feb 24 billing =Feb invoices = Jan Flow  data= Jan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8928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1501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201.92</v>
      </c>
      <c r="G11" s="6"/>
      <c r="J11" s="1"/>
    </row>
    <row r="12" spans="1:11" x14ac:dyDescent="0.25">
      <c r="C12" t="s">
        <v>38</v>
      </c>
      <c r="F12" s="60">
        <f>'Allocation Charges'!H7</f>
        <v>1304.9128596414475</v>
      </c>
      <c r="G12" s="6"/>
      <c r="J12" s="1"/>
    </row>
    <row r="13" spans="1:11" x14ac:dyDescent="0.25">
      <c r="D13" s="7" t="s">
        <v>39</v>
      </c>
      <c r="F13" s="86">
        <f>ROUNDUP(F11+F12,0)</f>
        <v>1507</v>
      </c>
      <c r="G13" s="6"/>
      <c r="J13" s="1"/>
    </row>
    <row r="14" spans="1:11" x14ac:dyDescent="0.25">
      <c r="B14" t="s">
        <v>15</v>
      </c>
      <c r="F14" s="83">
        <f>ROUNDUP('Allocation Charges'!H8,0)</f>
        <v>1965</v>
      </c>
      <c r="G14" s="6"/>
    </row>
    <row r="15" spans="1:11" x14ac:dyDescent="0.25">
      <c r="B15" t="s">
        <v>18</v>
      </c>
      <c r="F15" s="83">
        <f>ROUNDUP('Allocation Charges'!H9,0)</f>
        <v>90</v>
      </c>
      <c r="G15" s="6"/>
    </row>
    <row r="16" spans="1:11" x14ac:dyDescent="0.25">
      <c r="B16" t="s">
        <v>19</v>
      </c>
      <c r="F16" s="83">
        <f>ROUNDUP('Allocation Charges'!H10,0)</f>
        <v>18824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502.89</v>
      </c>
      <c r="G18" s="6"/>
    </row>
    <row r="19" spans="2:7" x14ac:dyDescent="0.25">
      <c r="C19" t="s">
        <v>38</v>
      </c>
      <c r="F19" s="60">
        <f>'Allocation Charges'!H11</f>
        <v>1999.7186480880462</v>
      </c>
      <c r="G19" s="6"/>
    </row>
    <row r="20" spans="2:7" x14ac:dyDescent="0.25">
      <c r="D20" s="7" t="s">
        <v>39</v>
      </c>
      <c r="F20" s="86">
        <f>ROUNDUP(F18+F19,0)</f>
        <v>2503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4373.5</v>
      </c>
      <c r="G22" s="6"/>
    </row>
    <row r="23" spans="2:7" x14ac:dyDescent="0.25">
      <c r="C23" t="s">
        <v>38</v>
      </c>
      <c r="F23" s="60">
        <f>'Allocation Charges'!H12</f>
        <v>632.52847752528203</v>
      </c>
      <c r="G23" s="6"/>
    </row>
    <row r="24" spans="2:7" x14ac:dyDescent="0.25">
      <c r="D24" s="7" t="s">
        <v>39</v>
      </c>
      <c r="F24" s="86">
        <f>ROUNDUP(F22+F23,0)</f>
        <v>5007</v>
      </c>
      <c r="G24" s="6"/>
    </row>
    <row r="25" spans="2:7" x14ac:dyDescent="0.25">
      <c r="B25" t="s">
        <v>25</v>
      </c>
      <c r="F25" s="83">
        <f>ROUNDUP('Allocation Charges'!H13,0)</f>
        <v>3905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65.5</v>
      </c>
      <c r="G27" s="6"/>
    </row>
    <row r="28" spans="2:7" x14ac:dyDescent="0.25">
      <c r="C28" t="s">
        <v>38</v>
      </c>
      <c r="F28" s="60">
        <f>'Allocation Charges'!H14</f>
        <v>0</v>
      </c>
      <c r="G28" s="6"/>
    </row>
    <row r="29" spans="2:7" x14ac:dyDescent="0.25">
      <c r="D29" s="7" t="s">
        <v>39</v>
      </c>
      <c r="F29" s="86">
        <f>ROUNDUP(F27+F28,0)</f>
        <v>66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2838.28</v>
      </c>
      <c r="G31" s="6"/>
    </row>
    <row r="32" spans="2:7" x14ac:dyDescent="0.25">
      <c r="C32" t="s">
        <v>38</v>
      </c>
      <c r="F32" s="60">
        <f>'Allocation Charges'!H15</f>
        <v>3368.8464147833788</v>
      </c>
      <c r="G32" s="6"/>
    </row>
    <row r="33" spans="1:10" x14ac:dyDescent="0.25">
      <c r="D33" s="7" t="s">
        <v>39</v>
      </c>
      <c r="F33" s="86">
        <f>ROUNDUP(F31+F32,0)</f>
        <v>6208</v>
      </c>
      <c r="G33" s="6"/>
    </row>
    <row r="34" spans="1:10" x14ac:dyDescent="0.25">
      <c r="B34" t="s">
        <v>195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717</v>
      </c>
      <c r="G36" s="6"/>
    </row>
    <row r="37" spans="1:10" x14ac:dyDescent="0.25">
      <c r="B37" t="s">
        <v>30</v>
      </c>
      <c r="F37" s="83">
        <f>ROUNDUP('Allocation Charges'!H19,0)</f>
        <v>1117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52338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272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3506</v>
      </c>
      <c r="G44" s="6"/>
    </row>
    <row r="45" spans="1:10" x14ac:dyDescent="0.25">
      <c r="B45" t="s">
        <v>32</v>
      </c>
      <c r="F45" s="79">
        <f>ROUNDUP('Allocation Charges'!H28,0)</f>
        <v>1088</v>
      </c>
      <c r="G45" s="6"/>
    </row>
    <row r="46" spans="1:10" x14ac:dyDescent="0.25">
      <c r="B46" t="s">
        <v>47</v>
      </c>
      <c r="F46" s="79">
        <f>ROUNDUP('Allocation Charges'!H29,0)</f>
        <v>1733</v>
      </c>
      <c r="G46" s="6"/>
    </row>
    <row r="47" spans="1:10" x14ac:dyDescent="0.25">
      <c r="B47" t="s">
        <v>48</v>
      </c>
      <c r="F47" s="79">
        <f>ROUNDUP('Allocation Charges'!H30,0)</f>
        <v>1053</v>
      </c>
      <c r="G47" s="6"/>
      <c r="J47" s="8"/>
    </row>
    <row r="48" spans="1:10" x14ac:dyDescent="0.25">
      <c r="B48" t="s">
        <v>41</v>
      </c>
      <c r="F48" s="79">
        <f>ROUNDUP('Allocation Charges'!H31,0)</f>
        <v>1001</v>
      </c>
      <c r="G48" s="6"/>
      <c r="J48" s="8"/>
    </row>
    <row r="49" spans="1:10" x14ac:dyDescent="0.25">
      <c r="B49" t="s">
        <v>31</v>
      </c>
      <c r="F49" s="79">
        <f>ROUNDUP('Allocation Charges'!H32,0)</f>
        <v>3182</v>
      </c>
      <c r="J49" s="8"/>
    </row>
    <row r="50" spans="1:10" x14ac:dyDescent="0.25">
      <c r="F50" s="8"/>
    </row>
    <row r="51" spans="1:10" x14ac:dyDescent="0.25">
      <c r="F51" s="84">
        <f>SUM(F43:F49)</f>
        <v>11563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92717</v>
      </c>
      <c r="H53" s="114">
        <f>'Commodity TN KY'!E15*'Commodity TN KY'!G19</f>
        <v>24056.487015142087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156618</v>
      </c>
    </row>
  </sheetData>
  <pageMargins left="0.7" right="0.7" top="0.75" bottom="0.75" header="0.3" footer="0.3"/>
  <pageSetup scale="83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7"/>
  <sheetViews>
    <sheetView topLeftCell="A33" zoomScaleNormal="100" workbookViewId="0">
      <selection activeCell="P38" sqref="P38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2401 file =</v>
      </c>
      <c r="J1" s="99"/>
      <c r="K1" s="100" t="str">
        <f>+'Commodity OK'!H2</f>
        <v>Data Input Feb 24 billing =Feb invoices = Jan Flow  data= Jan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191</v>
      </c>
      <c r="D6" s="48"/>
      <c r="E6" s="90" t="s">
        <v>212</v>
      </c>
      <c r="F6" s="48"/>
      <c r="G6" s="156"/>
      <c r="H6" s="49"/>
      <c r="I6" s="174">
        <v>3700</v>
      </c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6626</v>
      </c>
      <c r="F7" s="51"/>
      <c r="G7" s="49">
        <f t="shared" ref="G7:G14" si="0">I7/E7</f>
        <v>0.39455176577120438</v>
      </c>
      <c r="H7" s="49"/>
      <c r="I7" s="174">
        <v>2614.3000000000002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>
        <f>8251+2950</f>
        <v>11201</v>
      </c>
      <c r="F8" s="48"/>
      <c r="G8" s="49">
        <f>I8/E8</f>
        <v>5.7920989197393089</v>
      </c>
      <c r="H8" s="49"/>
      <c r="I8" s="174">
        <f>47855.8+17021.5</f>
        <v>64877.3</v>
      </c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189</v>
      </c>
      <c r="D9" s="48"/>
      <c r="E9" s="90">
        <v>6538</v>
      </c>
      <c r="F9" s="48"/>
      <c r="G9" s="49">
        <f t="shared" si="0"/>
        <v>2.7171994493728966</v>
      </c>
      <c r="H9" s="49"/>
      <c r="I9" s="174">
        <v>17765.05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201</v>
      </c>
      <c r="D10" s="48"/>
      <c r="E10" s="90" t="s">
        <v>138</v>
      </c>
      <c r="F10" s="48"/>
      <c r="G10" s="49" t="e">
        <f t="shared" si="0"/>
        <v>#VALUE!</v>
      </c>
      <c r="H10" s="49"/>
      <c r="I10" s="174">
        <v>1495.47</v>
      </c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243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216</v>
      </c>
      <c r="D12" s="48"/>
      <c r="E12" s="90">
        <f>613+290</f>
        <v>903</v>
      </c>
      <c r="F12" s="48"/>
      <c r="G12" s="49">
        <f>I12/E12</f>
        <v>5.0083942414174976</v>
      </c>
      <c r="H12" s="49"/>
      <c r="I12" s="174">
        <f>2831.58+1691</f>
        <v>4522.58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184</v>
      </c>
      <c r="D13" s="48"/>
      <c r="E13" s="90">
        <v>3853</v>
      </c>
      <c r="F13" s="48"/>
      <c r="G13" s="49">
        <f>I13/E13</f>
        <v>4.4799999999999995</v>
      </c>
      <c r="H13" s="49"/>
      <c r="I13" s="174">
        <v>17261.439999999999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218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29121</v>
      </c>
      <c r="F15" s="48"/>
      <c r="G15" s="42">
        <f>I15/(E8+E13)</f>
        <v>7.4555692839112542</v>
      </c>
      <c r="H15" s="49"/>
      <c r="I15" s="175">
        <f>SUM(I6:I14)</f>
        <v>112236.14000000001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v>119477</v>
      </c>
      <c r="F19" s="48"/>
      <c r="G19" s="45">
        <f>E19/E22</f>
        <v>0.82608725713890618</v>
      </c>
      <c r="H19" s="48"/>
      <c r="I19" s="167">
        <f>I15*G19</f>
        <v>92716.845044458285</v>
      </c>
      <c r="J19" s="48"/>
      <c r="K19" s="92">
        <v>111945</v>
      </c>
      <c r="L19" s="48"/>
      <c r="P19" t="s">
        <v>196</v>
      </c>
    </row>
    <row r="20" spans="1:25" x14ac:dyDescent="0.25">
      <c r="A20" s="48"/>
      <c r="B20" s="48"/>
      <c r="C20" s="41" t="s">
        <v>89</v>
      </c>
      <c r="D20" s="41"/>
      <c r="E20" s="92">
        <v>25153</v>
      </c>
      <c r="F20" s="41"/>
      <c r="G20" s="45">
        <f>E20/E22</f>
        <v>0.17391274286109382</v>
      </c>
      <c r="H20" s="41"/>
      <c r="I20" s="166">
        <f>I15*G20</f>
        <v>19519.294955541729</v>
      </c>
      <c r="J20" s="41"/>
      <c r="K20" s="92">
        <v>14705</v>
      </c>
      <c r="L20" s="48"/>
      <c r="P20" t="s">
        <v>209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144630</v>
      </c>
      <c r="F22" s="48"/>
      <c r="G22" s="45">
        <f>SUM(G19:G20)</f>
        <v>1</v>
      </c>
      <c r="H22" s="48"/>
      <c r="I22" s="154">
        <f>SUM(I19:I20)</f>
        <v>112236.14000000001</v>
      </c>
      <c r="J22" s="48"/>
      <c r="K22" s="38">
        <f>SUM(K19:K20)</f>
        <v>126650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188</v>
      </c>
      <c r="V26" s="67"/>
    </row>
    <row r="27" spans="1:25" x14ac:dyDescent="0.25">
      <c r="A27" s="48"/>
      <c r="B27" s="48"/>
      <c r="C27" s="48" t="s">
        <v>182</v>
      </c>
      <c r="D27" s="48"/>
      <c r="E27" s="93">
        <v>8086.9</v>
      </c>
      <c r="F27" s="51"/>
      <c r="G27" s="49">
        <f>I27/E27</f>
        <v>2.549989489173849</v>
      </c>
      <c r="H27" s="48"/>
      <c r="I27" s="157">
        <v>20621.509999999998</v>
      </c>
      <c r="J27" s="48"/>
      <c r="K27" s="48"/>
      <c r="L27" s="48"/>
      <c r="P27" s="8">
        <f>I35+I20</f>
        <v>42236.024955541725</v>
      </c>
      <c r="V27" s="27"/>
    </row>
    <row r="28" spans="1:25" x14ac:dyDescent="0.25">
      <c r="A28" s="48"/>
      <c r="B28" s="48"/>
      <c r="C28" s="48" t="s">
        <v>183</v>
      </c>
      <c r="D28" s="48"/>
      <c r="E28" s="90">
        <v>1700</v>
      </c>
      <c r="F28" s="48"/>
      <c r="G28" s="49">
        <f>I28/E28</f>
        <v>1.2324823529411764</v>
      </c>
      <c r="H28" s="49"/>
      <c r="I28" s="158">
        <v>2095.2199999999998</v>
      </c>
      <c r="J28" s="48"/>
      <c r="K28" s="48"/>
      <c r="L28" s="48"/>
      <c r="P28" s="134">
        <f>+E20+E33</f>
        <v>96697</v>
      </c>
      <c r="R28" s="56"/>
    </row>
    <row r="29" spans="1:25" ht="15.75" thickBot="1" x14ac:dyDescent="0.3">
      <c r="A29" s="48"/>
      <c r="B29" s="48"/>
      <c r="C29" s="48"/>
      <c r="D29" s="48"/>
      <c r="E29" s="44"/>
      <c r="F29" s="48"/>
      <c r="G29" s="48"/>
      <c r="H29" s="48"/>
      <c r="I29" s="170">
        <f>SUM(I27:I28)</f>
        <v>22716.73</v>
      </c>
      <c r="J29" s="48"/>
      <c r="K29" s="48"/>
      <c r="L29" s="48"/>
    </row>
    <row r="30" spans="1:25" ht="15.75" thickTop="1" x14ac:dyDescent="0.25">
      <c r="V30" s="27"/>
    </row>
    <row r="31" spans="1:25" x14ac:dyDescent="0.25">
      <c r="A31" s="48"/>
      <c r="B31" s="48"/>
      <c r="C31" s="40" t="s">
        <v>77</v>
      </c>
      <c r="D31" s="40"/>
      <c r="E31" s="40" t="s">
        <v>181</v>
      </c>
      <c r="F31" s="48"/>
      <c r="G31" s="40" t="s">
        <v>78</v>
      </c>
      <c r="H31" s="48"/>
      <c r="I31" s="40" t="s">
        <v>79</v>
      </c>
      <c r="J31" s="48"/>
      <c r="K31" s="40" t="s">
        <v>80</v>
      </c>
      <c r="L31" s="48"/>
      <c r="V31" s="27"/>
      <c r="W31" s="27"/>
      <c r="Y31" s="67"/>
    </row>
    <row r="33" spans="1:25" x14ac:dyDescent="0.25">
      <c r="A33" s="48"/>
      <c r="B33" s="48"/>
      <c r="C33" s="48" t="s">
        <v>92</v>
      </c>
      <c r="D33" s="48"/>
      <c r="E33" s="238">
        <v>71544</v>
      </c>
      <c r="F33" s="48"/>
      <c r="G33" s="45">
        <f>E33/E35</f>
        <v>1</v>
      </c>
      <c r="H33" s="48"/>
      <c r="I33" s="49">
        <f>+I27+I28</f>
        <v>22716.73</v>
      </c>
      <c r="J33" s="48"/>
      <c r="K33" s="238">
        <v>41560</v>
      </c>
      <c r="L33" s="48"/>
      <c r="P33" t="s">
        <v>209</v>
      </c>
      <c r="V33" s="27"/>
      <c r="W33" s="27"/>
      <c r="Y33" s="67"/>
    </row>
    <row r="34" spans="1:25" x14ac:dyDescent="0.25">
      <c r="A34" s="48"/>
      <c r="B34" s="48"/>
      <c r="C34" s="39"/>
      <c r="D34" s="39"/>
      <c r="E34" s="39"/>
      <c r="F34" s="39"/>
      <c r="G34" s="46"/>
      <c r="H34" s="39"/>
      <c r="I34" s="39"/>
      <c r="J34" s="39"/>
      <c r="K34" s="39"/>
      <c r="L34" s="48"/>
      <c r="R34" s="27"/>
      <c r="V34" s="27"/>
    </row>
    <row r="35" spans="1:25" x14ac:dyDescent="0.25">
      <c r="A35" s="48"/>
      <c r="B35" s="48"/>
      <c r="C35" s="48" t="s">
        <v>90</v>
      </c>
      <c r="D35" s="48"/>
      <c r="E35" s="38">
        <f>E33</f>
        <v>71544</v>
      </c>
      <c r="F35" s="48"/>
      <c r="G35" s="45">
        <f>G33</f>
        <v>1</v>
      </c>
      <c r="H35" s="48"/>
      <c r="I35" s="154">
        <f>I33</f>
        <v>22716.73</v>
      </c>
      <c r="J35" s="48"/>
      <c r="K35" s="38">
        <f>K33</f>
        <v>41560</v>
      </c>
      <c r="L35" s="48"/>
      <c r="V35" s="27"/>
    </row>
    <row r="36" spans="1:25" x14ac:dyDescent="0.25">
      <c r="R36" s="27"/>
    </row>
    <row r="37" spans="1:25" ht="15.75" thickBot="1" x14ac:dyDescent="0.3">
      <c r="I37" s="6"/>
      <c r="K37" s="27"/>
    </row>
    <row r="38" spans="1:25" x14ac:dyDescent="0.25">
      <c r="G38" s="181" t="s">
        <v>169</v>
      </c>
      <c r="H38" s="182"/>
      <c r="I38" s="183">
        <f>+I19</f>
        <v>92716.845044458285</v>
      </c>
      <c r="J38" s="184"/>
    </row>
    <row r="39" spans="1:25" x14ac:dyDescent="0.25">
      <c r="G39" s="185" t="s">
        <v>168</v>
      </c>
      <c r="I39" s="233">
        <f>+I20+I29</f>
        <v>42236.024955541725</v>
      </c>
      <c r="J39" s="186"/>
      <c r="P39" s="6"/>
    </row>
    <row r="40" spans="1:25" ht="15.75" thickBot="1" x14ac:dyDescent="0.3">
      <c r="G40" s="185"/>
      <c r="I40" s="105">
        <f>SUM(I38:I39)</f>
        <v>134952.87</v>
      </c>
      <c r="J40" s="186"/>
    </row>
    <row r="41" spans="1:25" ht="15.75" thickTop="1" x14ac:dyDescent="0.25">
      <c r="G41" s="185"/>
      <c r="I41" s="55"/>
      <c r="J41" s="186"/>
    </row>
    <row r="42" spans="1:25" x14ac:dyDescent="0.25">
      <c r="G42" s="212" t="s">
        <v>217</v>
      </c>
      <c r="I42" s="55"/>
      <c r="J42" s="186"/>
    </row>
    <row r="43" spans="1:25" x14ac:dyDescent="0.25">
      <c r="D43" s="16"/>
      <c r="E43" s="20"/>
      <c r="G43" s="185" t="s">
        <v>199</v>
      </c>
      <c r="I43" s="187">
        <v>87594.03</v>
      </c>
      <c r="J43" s="186"/>
    </row>
    <row r="44" spans="1:25" x14ac:dyDescent="0.25">
      <c r="G44" s="185" t="s">
        <v>200</v>
      </c>
      <c r="I44" s="187">
        <v>47358.84</v>
      </c>
      <c r="J44" s="186"/>
    </row>
    <row r="45" spans="1:25" x14ac:dyDescent="0.25">
      <c r="G45" s="185" t="s">
        <v>198</v>
      </c>
      <c r="I45" s="187">
        <f>+I43+I44</f>
        <v>134952.87</v>
      </c>
      <c r="J45" s="186"/>
    </row>
    <row r="46" spans="1:25" x14ac:dyDescent="0.25">
      <c r="G46" s="185"/>
      <c r="J46" s="186"/>
    </row>
    <row r="47" spans="1:25" ht="15.75" thickBot="1" x14ac:dyDescent="0.3">
      <c r="G47" s="188" t="s">
        <v>211</v>
      </c>
      <c r="H47" s="189"/>
      <c r="I47" s="190">
        <f>I40-I45</f>
        <v>0</v>
      </c>
      <c r="J47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tabSelected="1" zoomScaleNormal="100" workbookViewId="0">
      <selection activeCell="L22" sqref="L22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2401 file =</v>
      </c>
      <c r="M2" s="54"/>
      <c r="N2" s="97" t="str">
        <f>+'Commodity OK'!H2</f>
        <v>Data Input Feb 24 billing =Feb invoices = Jan Flow  data= Jan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401</v>
      </c>
      <c r="I6" s="68" t="s">
        <v>150</v>
      </c>
      <c r="J6" s="90"/>
      <c r="L6" s="49" t="e">
        <f t="shared" ref="L6:L11" si="0">N6/J6</f>
        <v>#DIV/0!</v>
      </c>
      <c r="N6" s="91"/>
      <c r="P6" s="48"/>
    </row>
    <row r="7" spans="1:21" x14ac:dyDescent="0.25">
      <c r="B7" t="s">
        <v>4</v>
      </c>
      <c r="F7" s="226">
        <f>ROUNDUP('Direct Charges'!N15,0)</f>
        <v>494</v>
      </c>
      <c r="I7" s="68" t="s">
        <v>151</v>
      </c>
      <c r="J7" s="90">
        <f>1084+36-15</f>
        <v>1105</v>
      </c>
      <c r="L7" s="49">
        <f t="shared" si="0"/>
        <v>1.1082533936651582</v>
      </c>
      <c r="N7" s="91">
        <f>940.42+0.4+283.8</f>
        <v>1224.6199999999999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1124</v>
      </c>
      <c r="L8" s="49">
        <f t="shared" si="0"/>
        <v>6.02</v>
      </c>
      <c r="N8" s="91">
        <v>6766.48</v>
      </c>
      <c r="P8" s="48"/>
    </row>
    <row r="9" spans="1:21" x14ac:dyDescent="0.25">
      <c r="B9" t="s">
        <v>14</v>
      </c>
      <c r="F9" s="226">
        <v>0</v>
      </c>
      <c r="I9" s="68" t="s">
        <v>257</v>
      </c>
      <c r="J9" s="90">
        <v>3820</v>
      </c>
      <c r="L9" s="49">
        <f>N9/J9</f>
        <v>4.7887565445026175</v>
      </c>
      <c r="N9" s="91">
        <v>18293.05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3820</v>
      </c>
      <c r="L10" s="49">
        <f>N10/J10</f>
        <v>0.24</v>
      </c>
      <c r="N10" s="91">
        <v>916.8</v>
      </c>
      <c r="P10" s="171" t="s">
        <v>267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SUM(J6:J9)</f>
        <v>6049</v>
      </c>
      <c r="L11" s="72">
        <f t="shared" si="0"/>
        <v>4.4967680608365015</v>
      </c>
      <c r="N11" s="213">
        <f>SUM(N6:N10)</f>
        <v>27200.949999999997</v>
      </c>
      <c r="P11" s="48"/>
    </row>
    <row r="12" spans="1:21" x14ac:dyDescent="0.25">
      <c r="C12" t="s">
        <v>38</v>
      </c>
      <c r="F12" s="226">
        <f>'Allocation Charges'!N7</f>
        <v>144.97840613832668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145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219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10</v>
      </c>
      <c r="G16" s="6"/>
      <c r="I16" s="68" t="s">
        <v>148</v>
      </c>
      <c r="J16" s="92">
        <v>110812</v>
      </c>
      <c r="K16" s="6"/>
      <c r="L16" s="45">
        <v>1</v>
      </c>
      <c r="M16" s="6"/>
      <c r="N16" s="49">
        <f>L16*N11</f>
        <v>27200.949999999997</v>
      </c>
      <c r="O16" s="6"/>
      <c r="P16" s="92">
        <v>216644</v>
      </c>
    </row>
    <row r="17" spans="2:18" x14ac:dyDescent="0.25">
      <c r="B17" t="s">
        <v>19</v>
      </c>
      <c r="F17" s="226">
        <f>ROUNDUP('Allocation Charges'!N10,0)</f>
        <v>2092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110812</v>
      </c>
      <c r="N18" s="71">
        <f>N16</f>
        <v>27200.949999999997</v>
      </c>
      <c r="P18" s="70">
        <f>P16</f>
        <v>216644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222.17270692278629</v>
      </c>
      <c r="G20" s="6"/>
      <c r="I20" t="s">
        <v>75</v>
      </c>
      <c r="L20" s="109">
        <f>+J10*0.18</f>
        <v>687.6</v>
      </c>
      <c r="M20" s="6"/>
      <c r="O20" s="6"/>
      <c r="P20" s="76" t="s">
        <v>192</v>
      </c>
      <c r="Q20" s="74"/>
    </row>
    <row r="21" spans="2:18" ht="15.75" thickBot="1" x14ac:dyDescent="0.3">
      <c r="D21" s="7" t="s">
        <v>39</v>
      </c>
      <c r="F21" s="227">
        <f>ROUNDUP(F19+F20,0)</f>
        <v>223</v>
      </c>
      <c r="G21" s="6"/>
      <c r="I21" t="s">
        <v>135</v>
      </c>
      <c r="L21" s="6">
        <f>J10*0.2</f>
        <v>764</v>
      </c>
      <c r="M21" s="6"/>
      <c r="O21" s="6"/>
      <c r="P21" s="76" t="s">
        <v>194</v>
      </c>
    </row>
    <row r="22" spans="2:18" x14ac:dyDescent="0.25">
      <c r="B22" t="s">
        <v>21</v>
      </c>
      <c r="F22" s="102"/>
      <c r="G22" s="6"/>
      <c r="L22" s="30">
        <f>SUM(L18:L21)</f>
        <v>1451.6</v>
      </c>
      <c r="M22" s="6"/>
      <c r="O22" s="6"/>
      <c r="P22" s="162" t="s">
        <v>162</v>
      </c>
      <c r="Q22" s="165" t="s">
        <v>193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491.66</v>
      </c>
      <c r="G23" s="6"/>
      <c r="K23" s="6"/>
      <c r="M23" s="6"/>
      <c r="O23" s="6"/>
      <c r="P23" s="160">
        <f>+J10</f>
        <v>3820</v>
      </c>
      <c r="Q23" s="147">
        <v>0.18</v>
      </c>
      <c r="R23" s="161">
        <f>+P23*Q23</f>
        <v>687.6</v>
      </c>
    </row>
    <row r="24" spans="2:18" x14ac:dyDescent="0.25">
      <c r="C24" t="s">
        <v>38</v>
      </c>
      <c r="F24" s="134">
        <f>'Allocation Charges'!N12</f>
        <v>70.275168055217961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562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434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0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0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195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80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125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5785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272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390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121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193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117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112</v>
      </c>
      <c r="G48" s="6"/>
      <c r="I48" s="60"/>
    </row>
    <row r="49" spans="1:9" x14ac:dyDescent="0.25">
      <c r="B49" t="s">
        <v>31</v>
      </c>
      <c r="F49" s="226">
        <f>ROUNDUP('Allocation Charges'!N32,0)</f>
        <v>354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1287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27201</v>
      </c>
    </row>
    <row r="55" spans="1:9" x14ac:dyDescent="0.25">
      <c r="A55" s="16"/>
      <c r="B55" t="s">
        <v>108</v>
      </c>
      <c r="F55" s="240">
        <f>ROUNDUP(L22,0)</f>
        <v>1452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28653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35725</v>
      </c>
    </row>
  </sheetData>
  <pageMargins left="0.25" right="0.25" top="0.5" bottom="0.75" header="0" footer="0.3"/>
  <pageSetup scale="53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19" sqref="H19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256</v>
      </c>
      <c r="F1" s="6" t="str">
        <f>+'Commodity OK'!H2</f>
        <v>Data Input Feb 24 billing =Feb invoices = Jan Flow  data= Jan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253</v>
      </c>
      <c r="I3" s="19"/>
      <c r="J3" s="19" t="s">
        <v>254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255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249</v>
      </c>
      <c r="F7" s="85">
        <f>+'Direct Charges'!P21</f>
        <v>466.53</v>
      </c>
      <c r="G7" s="60"/>
      <c r="H7" s="85">
        <f>ROUNDUP(F7,0)</f>
        <v>467</v>
      </c>
      <c r="I7" s="60"/>
      <c r="J7" s="222"/>
      <c r="K7" s="60"/>
    </row>
    <row r="8" spans="1:12" x14ac:dyDescent="0.25">
      <c r="C8" t="s">
        <v>250</v>
      </c>
      <c r="F8" s="85">
        <f>+'Direct Charges'!P22</f>
        <v>3965.2</v>
      </c>
      <c r="G8" s="60"/>
      <c r="H8" s="85"/>
      <c r="I8" s="60"/>
      <c r="J8" s="85">
        <f>ROUNDUP(F8,0)</f>
        <v>3966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251</v>
      </c>
      <c r="F11" s="85">
        <f>+'Direct Charges'!F34</f>
        <v>140.77000000000001</v>
      </c>
      <c r="G11" s="60"/>
      <c r="H11" s="85">
        <f>ROUNDUP(F11,0)</f>
        <v>141</v>
      </c>
      <c r="I11" s="60"/>
      <c r="J11" s="222"/>
      <c r="K11" s="60"/>
    </row>
    <row r="12" spans="1:12" x14ac:dyDescent="0.25">
      <c r="C12" t="s">
        <v>252</v>
      </c>
      <c r="F12" s="85">
        <f>+'Direct Charges'!F35</f>
        <v>635.78</v>
      </c>
      <c r="G12" s="60"/>
      <c r="H12" s="85"/>
      <c r="I12" s="60"/>
      <c r="J12" s="85">
        <f>ROUNDUP(F12,0)</f>
        <v>636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5208.28</v>
      </c>
      <c r="G14" s="120"/>
      <c r="H14" s="219">
        <f>SUM(H7:H13)</f>
        <v>608</v>
      </c>
      <c r="I14" s="120"/>
      <c r="J14" s="219">
        <f>SUM(J7:J13)</f>
        <v>4602</v>
      </c>
      <c r="K14" s="120"/>
    </row>
    <row r="16" spans="1:12" x14ac:dyDescent="0.25">
      <c r="F16" s="6">
        <f>SUM(H14:K14)</f>
        <v>5210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2024-05-23T19:52:51Z</cp:lastPrinted>
  <dcterms:created xsi:type="dcterms:W3CDTF">2013-02-08T00:44:54Z</dcterms:created>
  <dcterms:modified xsi:type="dcterms:W3CDTF">2024-05-25T00:53:48Z</dcterms:modified>
</cp:coreProperties>
</file>