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Gonzalez\Navitas Utility Dropbox\Carlos Gonzalez\Accounting\Billing\2024\"/>
    </mc:Choice>
  </mc:AlternateContent>
  <xr:revisionPtr revIDLastSave="0" documentId="13_ncr:1_{FB9404AC-85AF-458F-8326-B3A21922D39B}" xr6:coauthVersionLast="47" xr6:coauthVersionMax="47" xr10:uidLastSave="{00000000-0000-0000-0000-000000000000}"/>
  <bookViews>
    <workbookView xWindow="-120" yWindow="-120" windowWidth="29040" windowHeight="15720" tabRatio="837" activeTab="3" xr2:uid="{00000000-000D-0000-FFFF-FFFF00000000}"/>
  </bookViews>
  <sheets>
    <sheet name="Direct Charges" sheetId="1" r:id="rId1"/>
    <sheet name="Allocation Charges" sheetId="4" r:id="rId2"/>
    <sheet name="Oklahoma" sheetId="6" r:id="rId3"/>
    <sheet name="Commodity OK" sheetId="11" r:id="rId4"/>
    <sheet name="Tennessee" sheetId="8" r:id="rId5"/>
    <sheet name="Kentucky" sheetId="9" r:id="rId6"/>
    <sheet name="Commodity TN KY" sheetId="28" r:id="rId7"/>
    <sheet name="Commodity Texas" sheetId="15" r:id="rId8"/>
    <sheet name="NC Hydro" sheetId="30" r:id="rId9"/>
    <sheet name="2024 Allocation Source" sheetId="35" r:id="rId10"/>
    <sheet name="2023 Allocation Source" sheetId="31" r:id="rId11"/>
    <sheet name="2024 NUC Rent" sheetId="32" r:id="rId12"/>
    <sheet name="2024 NALLC Rent" sheetId="33" r:id="rId13"/>
    <sheet name="2024 FCFA Rent" sheetId="36" r:id="rId14"/>
  </sheets>
  <definedNames>
    <definedName name="_xlnm.Print_Area" localSheetId="1">'Allocation Charges'!$A$1:$R$34</definedName>
    <definedName name="_xlnm.Print_Area" localSheetId="3">'Commodity OK'!$A$1:$T$48</definedName>
    <definedName name="_xlnm.Print_Area" localSheetId="7">'Commodity Texas'!$A$1:$AB$61</definedName>
    <definedName name="_xlnm.Print_Area" localSheetId="0">'Direct Charges'!$Q$4:$AB$121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11" l="1"/>
  <c r="F32" i="11"/>
  <c r="D32" i="11"/>
  <c r="F7" i="11"/>
  <c r="D7" i="11"/>
  <c r="F8" i="11"/>
  <c r="D8" i="11"/>
  <c r="F18" i="11"/>
  <c r="N7" i="15"/>
  <c r="J7" i="15"/>
  <c r="I27" i="28"/>
  <c r="E27" i="28"/>
  <c r="I12" i="28"/>
  <c r="E12" i="28"/>
  <c r="F12" i="4"/>
  <c r="F11" i="4"/>
  <c r="F7" i="4"/>
  <c r="H54" i="8" l="1"/>
  <c r="F54" i="8"/>
  <c r="I30" i="28"/>
  <c r="G29" i="28"/>
  <c r="H17" i="11" l="1"/>
  <c r="C25" i="32" l="1"/>
  <c r="J11" i="15" l="1"/>
  <c r="J57" i="6" l="1"/>
  <c r="H26" i="11" l="1"/>
  <c r="N11" i="15"/>
  <c r="P23" i="15" l="1"/>
  <c r="R23" i="15" s="1"/>
  <c r="L21" i="15"/>
  <c r="L20" i="15"/>
  <c r="L22" i="15" l="1"/>
  <c r="F55" i="15" s="1"/>
  <c r="F10" i="36" l="1"/>
  <c r="R8" i="36"/>
  <c r="R10" i="36" s="1"/>
  <c r="V8" i="36" l="1"/>
  <c r="V10" i="36" l="1"/>
  <c r="X8" i="36"/>
  <c r="X10" i="36" s="1"/>
  <c r="C19" i="35" l="1"/>
  <c r="D19" i="35"/>
  <c r="E19" i="35"/>
  <c r="F19" i="35"/>
  <c r="D3" i="35"/>
  <c r="D4" i="35" s="1"/>
  <c r="E3" i="35"/>
  <c r="E4" i="35" s="1"/>
  <c r="G23" i="35"/>
  <c r="C8" i="35" s="1"/>
  <c r="A18" i="35"/>
  <c r="F3" i="35"/>
  <c r="F4" i="35" s="1"/>
  <c r="G19" i="35" l="1"/>
  <c r="E20" i="35" s="1"/>
  <c r="E27" i="35" s="1"/>
  <c r="G8" i="35"/>
  <c r="C9" i="35" s="1"/>
  <c r="E24" i="35"/>
  <c r="E28" i="35" s="1"/>
  <c r="C24" i="35"/>
  <c r="D24" i="35"/>
  <c r="D28" i="35" s="1"/>
  <c r="F24" i="35"/>
  <c r="F28" i="35" s="1"/>
  <c r="C20" i="35" l="1"/>
  <c r="C27" i="35" s="1"/>
  <c r="D20" i="35"/>
  <c r="D27" i="35" s="1"/>
  <c r="D29" i="35" s="1"/>
  <c r="F20" i="35"/>
  <c r="F27" i="35" s="1"/>
  <c r="F29" i="35" s="1"/>
  <c r="C3" i="35"/>
  <c r="C4" i="35" s="1"/>
  <c r="C13" i="35"/>
  <c r="G24" i="35"/>
  <c r="C28" i="35"/>
  <c r="F9" i="35"/>
  <c r="F13" i="35" s="1"/>
  <c r="E9" i="35"/>
  <c r="E13" i="35" s="1"/>
  <c r="D9" i="35"/>
  <c r="D13" i="35" s="1"/>
  <c r="E29" i="35"/>
  <c r="C29" i="35" l="1"/>
  <c r="G29" i="35" s="1"/>
  <c r="G20" i="35"/>
  <c r="G3" i="35"/>
  <c r="G4" i="35"/>
  <c r="G9" i="35"/>
  <c r="D5" i="35" l="1"/>
  <c r="D12" i="35" s="1"/>
  <c r="F5" i="35"/>
  <c r="F12" i="35" s="1"/>
  <c r="F14" i="35" s="1"/>
  <c r="E5" i="35"/>
  <c r="E12" i="35" s="1"/>
  <c r="E14" i="35" s="1"/>
  <c r="C5" i="35"/>
  <c r="V14" i="36" l="1"/>
  <c r="R4" i="4"/>
  <c r="H13" i="4" s="1"/>
  <c r="V17" i="36"/>
  <c r="R7" i="4"/>
  <c r="D14" i="35"/>
  <c r="R5" i="4" s="1"/>
  <c r="J13" i="4" s="1"/>
  <c r="G5" i="35"/>
  <c r="C12" i="35"/>
  <c r="C14" i="35" s="1"/>
  <c r="R6" i="4" s="1"/>
  <c r="L13" i="4" s="1"/>
  <c r="N13" i="4" l="1"/>
  <c r="N10" i="4"/>
  <c r="V15" i="36"/>
  <c r="G14" i="35"/>
  <c r="V16" i="36"/>
  <c r="V18" i="36" l="1"/>
  <c r="P28" i="28"/>
  <c r="B8" i="33" l="1"/>
  <c r="G8" i="33" s="1"/>
  <c r="G10" i="33" s="1"/>
  <c r="B10" i="33" l="1"/>
  <c r="I8" i="33"/>
  <c r="C27" i="32"/>
  <c r="D15" i="32"/>
  <c r="B15" i="32"/>
  <c r="G13" i="32"/>
  <c r="I13" i="32" s="1"/>
  <c r="J13" i="32" s="1"/>
  <c r="G12" i="32"/>
  <c r="I12" i="32" s="1"/>
  <c r="J12" i="32" s="1"/>
  <c r="G11" i="32"/>
  <c r="I11" i="32" s="1"/>
  <c r="J11" i="32" s="1"/>
  <c r="G10" i="32"/>
  <c r="I10" i="32" s="1"/>
  <c r="J10" i="32" s="1"/>
  <c r="G9" i="32"/>
  <c r="I9" i="32" s="1"/>
  <c r="G8" i="32"/>
  <c r="D26" i="32" l="1"/>
  <c r="D25" i="32"/>
  <c r="I10" i="33"/>
  <c r="J8" i="33"/>
  <c r="J10" i="33" s="1"/>
  <c r="G15" i="32"/>
  <c r="I8" i="32"/>
  <c r="J8" i="32" s="1"/>
  <c r="H8" i="36"/>
  <c r="L8" i="36" s="1"/>
  <c r="J9" i="32"/>
  <c r="I15" i="32"/>
  <c r="L10" i="36" l="1"/>
  <c r="N8" i="36"/>
  <c r="J15" i="32"/>
  <c r="C8" i="33"/>
  <c r="E8" i="33" s="1"/>
  <c r="C10" i="32"/>
  <c r="E10" i="32" s="1"/>
  <c r="F10" i="32" s="1"/>
  <c r="K10" i="32" s="1"/>
  <c r="F29" i="4" s="1"/>
  <c r="C9" i="32"/>
  <c r="E9" i="32" s="1"/>
  <c r="F9" i="32" s="1"/>
  <c r="K9" i="32" s="1"/>
  <c r="F28" i="4" s="1"/>
  <c r="C13" i="32"/>
  <c r="E13" i="32" s="1"/>
  <c r="F13" i="32" s="1"/>
  <c r="K13" i="32" s="1"/>
  <c r="F32" i="4" s="1"/>
  <c r="C8" i="32"/>
  <c r="E8" i="32" s="1"/>
  <c r="C12" i="32"/>
  <c r="E12" i="32" s="1"/>
  <c r="F12" i="32" s="1"/>
  <c r="K12" i="32" s="1"/>
  <c r="F31" i="4" s="1"/>
  <c r="C11" i="32"/>
  <c r="E11" i="32" s="1"/>
  <c r="F11" i="32" s="1"/>
  <c r="K11" i="32" s="1"/>
  <c r="F30" i="4" s="1"/>
  <c r="N10" i="36" l="1"/>
  <c r="Z8" i="36"/>
  <c r="Z10" i="36" s="1"/>
  <c r="F8" i="33"/>
  <c r="E10" i="33"/>
  <c r="E15" i="32"/>
  <c r="F8" i="32"/>
  <c r="K8" i="32" s="1"/>
  <c r="Z14" i="36" l="1"/>
  <c r="Z17" i="36"/>
  <c r="AA17" i="36" s="1"/>
  <c r="Z15" i="36"/>
  <c r="AA15" i="36" s="1"/>
  <c r="Z16" i="36"/>
  <c r="AA16" i="36" s="1"/>
  <c r="F10" i="33"/>
  <c r="K8" i="33"/>
  <c r="K10" i="33" s="1"/>
  <c r="F15" i="32"/>
  <c r="AA14" i="36" l="1"/>
  <c r="AA18" i="36" s="1"/>
  <c r="Z18" i="36"/>
  <c r="K15" i="32"/>
  <c r="F27" i="4"/>
  <c r="F3" i="31" l="1"/>
  <c r="F4" i="31" s="1"/>
  <c r="E3" i="31"/>
  <c r="E4" i="31" s="1"/>
  <c r="D3" i="31"/>
  <c r="D4" i="31" s="1"/>
  <c r="F19" i="31"/>
  <c r="E19" i="31"/>
  <c r="D19" i="31"/>
  <c r="C19" i="31"/>
  <c r="G23" i="31"/>
  <c r="F24" i="31" s="1"/>
  <c r="F28" i="31" s="1"/>
  <c r="A18" i="31"/>
  <c r="C8" i="31" l="1"/>
  <c r="G8" i="31" s="1"/>
  <c r="F9" i="31" s="1"/>
  <c r="F13" i="31" s="1"/>
  <c r="G19" i="31"/>
  <c r="E20" i="31" s="1"/>
  <c r="E27" i="31" s="1"/>
  <c r="C24" i="31"/>
  <c r="C3" i="31"/>
  <c r="D24" i="31"/>
  <c r="D28" i="31" s="1"/>
  <c r="E24" i="31"/>
  <c r="E28" i="31" s="1"/>
  <c r="E29" i="31" s="1"/>
  <c r="Q6" i="6" s="1"/>
  <c r="F20" i="31" l="1"/>
  <c r="F27" i="31" s="1"/>
  <c r="F29" i="31" s="1"/>
  <c r="Q7" i="6" s="1"/>
  <c r="C20" i="31"/>
  <c r="D20" i="31"/>
  <c r="D27" i="31" s="1"/>
  <c r="D29" i="31" s="1"/>
  <c r="Q5" i="6" s="1"/>
  <c r="D9" i="31"/>
  <c r="D13" i="31" s="1"/>
  <c r="C9" i="31"/>
  <c r="E9" i="31"/>
  <c r="E13" i="31" s="1"/>
  <c r="G24" i="31"/>
  <c r="C28" i="31"/>
  <c r="G20" i="31"/>
  <c r="C27" i="31"/>
  <c r="C4" i="31"/>
  <c r="G3" i="31"/>
  <c r="G9" i="31" l="1"/>
  <c r="C13" i="31"/>
  <c r="C29" i="31"/>
  <c r="Q4" i="6" s="1"/>
  <c r="G4" i="31"/>
  <c r="C5" i="31" s="1"/>
  <c r="H29" i="11"/>
  <c r="H30" i="11"/>
  <c r="G29" i="31" l="1"/>
  <c r="C12" i="31"/>
  <c r="C14" i="31" s="1"/>
  <c r="E5" i="31"/>
  <c r="E12" i="31" s="1"/>
  <c r="E14" i="31" s="1"/>
  <c r="D5" i="31"/>
  <c r="D12" i="31" s="1"/>
  <c r="D14" i="31" s="1"/>
  <c r="F5" i="31"/>
  <c r="F12" i="31" s="1"/>
  <c r="F14" i="31" s="1"/>
  <c r="J17" i="33" l="1"/>
  <c r="K17" i="33" s="1"/>
  <c r="L17" i="33" s="1"/>
  <c r="J15" i="33"/>
  <c r="K15" i="33" s="1"/>
  <c r="L15" i="33" s="1"/>
  <c r="J14" i="33"/>
  <c r="J16" i="33"/>
  <c r="K16" i="33" s="1"/>
  <c r="L16" i="33" s="1"/>
  <c r="G14" i="31"/>
  <c r="G5" i="31"/>
  <c r="L9" i="15"/>
  <c r="J18" i="33" l="1"/>
  <c r="K14" i="33"/>
  <c r="E15" i="28"/>
  <c r="L14" i="33" l="1"/>
  <c r="K18" i="33"/>
  <c r="L18" i="33" s="1"/>
  <c r="F12" i="30" l="1"/>
  <c r="J12" i="30" s="1"/>
  <c r="F11" i="30"/>
  <c r="H11" i="30" s="1"/>
  <c r="F1" i="30"/>
  <c r="P35" i="1"/>
  <c r="P34" i="1"/>
  <c r="P22" i="1"/>
  <c r="F8" i="30" s="1"/>
  <c r="J8" i="30" s="1"/>
  <c r="P21" i="1"/>
  <c r="F7" i="30" s="1"/>
  <c r="H7" i="30" s="1"/>
  <c r="J14" i="30" l="1"/>
  <c r="H14" i="30"/>
  <c r="F14" i="30"/>
  <c r="N67" i="1" s="1"/>
  <c r="P59" i="1"/>
  <c r="P67" i="1" s="1"/>
  <c r="F16" i="30" l="1"/>
  <c r="K1" i="28"/>
  <c r="H33" i="11" l="1"/>
  <c r="H35" i="11"/>
  <c r="F55" i="8" l="1"/>
  <c r="H55" i="8" l="1"/>
  <c r="I1" i="28"/>
  <c r="G7" i="28"/>
  <c r="G9" i="28"/>
  <c r="G10" i="28"/>
  <c r="G12" i="28"/>
  <c r="G14" i="28"/>
  <c r="K22" i="28"/>
  <c r="E22" i="28"/>
  <c r="G19" i="28" s="1"/>
  <c r="G27" i="28"/>
  <c r="G28" i="28"/>
  <c r="I34" i="28"/>
  <c r="I36" i="28" s="1"/>
  <c r="E36" i="28"/>
  <c r="G34" i="28" s="1"/>
  <c r="G36" i="28" s="1"/>
  <c r="K36" i="28"/>
  <c r="I46" i="28"/>
  <c r="G13" i="28" l="1"/>
  <c r="G8" i="28"/>
  <c r="G20" i="28"/>
  <c r="G22" i="28" s="1"/>
  <c r="I15" i="28"/>
  <c r="G11" i="28"/>
  <c r="H53" i="9" l="1"/>
  <c r="H53" i="8"/>
  <c r="I20" i="28"/>
  <c r="P27" i="28" s="1"/>
  <c r="I19" i="28"/>
  <c r="G15" i="28"/>
  <c r="F53" i="9" l="1"/>
  <c r="I39" i="28"/>
  <c r="F53" i="8"/>
  <c r="I40" i="28"/>
  <c r="I22" i="28"/>
  <c r="I41" i="28" l="1"/>
  <c r="I48" i="28" s="1"/>
  <c r="F59" i="1" l="1"/>
  <c r="F64" i="1" s="1"/>
  <c r="F35" i="15"/>
  <c r="F43" i="9"/>
  <c r="F34" i="9"/>
  <c r="F35" i="8"/>
  <c r="N60" i="6" l="1"/>
  <c r="F21" i="4" l="1"/>
  <c r="F65" i="1" l="1"/>
  <c r="R20" i="4"/>
  <c r="F66" i="1" l="1"/>
  <c r="F68" i="1" s="1"/>
  <c r="L57" i="1"/>
  <c r="F34" i="6" s="1"/>
  <c r="N56" i="1"/>
  <c r="F32" i="15" s="1"/>
  <c r="J55" i="1"/>
  <c r="F32" i="8" s="1"/>
  <c r="H54" i="1"/>
  <c r="F31" i="9" s="1"/>
  <c r="L51" i="1"/>
  <c r="F30" i="6" s="1"/>
  <c r="N50" i="1"/>
  <c r="F28" i="15" s="1"/>
  <c r="J49" i="1"/>
  <c r="F28" i="8" s="1"/>
  <c r="H48" i="1"/>
  <c r="F27" i="9" s="1"/>
  <c r="N29" i="4" l="1"/>
  <c r="F46" i="15" s="1"/>
  <c r="N28" i="4"/>
  <c r="F45" i="15" s="1"/>
  <c r="N27" i="4"/>
  <c r="F44" i="15" s="1"/>
  <c r="J29" i="4"/>
  <c r="F46" i="8" s="1"/>
  <c r="J28" i="4"/>
  <c r="F45" i="8" s="1"/>
  <c r="J27" i="4"/>
  <c r="F44" i="8" s="1"/>
  <c r="H29" i="4"/>
  <c r="F46" i="9" s="1"/>
  <c r="H28" i="4"/>
  <c r="F45" i="9" s="1"/>
  <c r="H27" i="4"/>
  <c r="F44" i="9" s="1"/>
  <c r="H7" i="4"/>
  <c r="L8" i="4"/>
  <c r="H25" i="11"/>
  <c r="L29" i="4" l="1"/>
  <c r="L28" i="4"/>
  <c r="L27" i="4"/>
  <c r="H36" i="11" l="1"/>
  <c r="H10" i="11" l="1"/>
  <c r="Q18" i="11" l="1"/>
  <c r="M11" i="11" l="1"/>
  <c r="O8" i="11" l="1"/>
  <c r="O9" i="11"/>
  <c r="O7" i="11"/>
  <c r="O6" i="11"/>
  <c r="L10" i="15"/>
  <c r="F37" i="11" l="1"/>
  <c r="F1" i="6" l="1"/>
  <c r="L16" i="4"/>
  <c r="F37" i="6" s="1"/>
  <c r="H34" i="11" l="1"/>
  <c r="S11" i="11" l="1"/>
  <c r="O11" i="11" l="1"/>
  <c r="J14" i="4" l="1"/>
  <c r="F29" i="8" s="1"/>
  <c r="F30" i="8" s="1"/>
  <c r="N14" i="4"/>
  <c r="F29" i="15" s="1"/>
  <c r="F30" i="15" s="1"/>
  <c r="L14" i="4"/>
  <c r="H14" i="4"/>
  <c r="F28" i="9" s="1"/>
  <c r="F29" i="9" s="1"/>
  <c r="Q8" i="6"/>
  <c r="R4" i="6" s="1"/>
  <c r="F31" i="6" l="1"/>
  <c r="F32" i="6" s="1"/>
  <c r="H32" i="6" s="1"/>
  <c r="H37" i="6"/>
  <c r="J18" i="15" l="1"/>
  <c r="F57" i="6" l="1"/>
  <c r="H6" i="4" l="1"/>
  <c r="F8" i="9" s="1"/>
  <c r="F1" i="1" l="1"/>
  <c r="F1" i="9"/>
  <c r="F1" i="8"/>
  <c r="F1" i="4"/>
  <c r="L7" i="15" l="1"/>
  <c r="L8" i="15"/>
  <c r="L6" i="15" l="1"/>
  <c r="R8" i="4" l="1"/>
  <c r="N2" i="15" l="1"/>
  <c r="L2" i="15" l="1"/>
  <c r="H6" i="11" l="1"/>
  <c r="P18" i="15" l="1"/>
  <c r="H32" i="11"/>
  <c r="H31" i="11"/>
  <c r="H28" i="11"/>
  <c r="H27" i="11"/>
  <c r="D37" i="11"/>
  <c r="H18" i="11"/>
  <c r="H16" i="11"/>
  <c r="H15" i="11"/>
  <c r="H14" i="11"/>
  <c r="H13" i="11"/>
  <c r="H12" i="11"/>
  <c r="H11" i="11"/>
  <c r="H9" i="11"/>
  <c r="H8" i="11"/>
  <c r="H7" i="11"/>
  <c r="D19" i="11"/>
  <c r="F42" i="11" l="1"/>
  <c r="F43" i="11"/>
  <c r="F56" i="8"/>
  <c r="N16" i="15"/>
  <c r="F54" i="15" s="1"/>
  <c r="F57" i="15" s="1"/>
  <c r="J44" i="11"/>
  <c r="M44" i="11" s="1"/>
  <c r="L11" i="15"/>
  <c r="Q19" i="11" l="1"/>
  <c r="Q20" i="11" s="1"/>
  <c r="F44" i="11"/>
  <c r="H59" i="6" s="1"/>
  <c r="N18" i="15"/>
  <c r="N59" i="6" l="1"/>
  <c r="L59" i="6"/>
  <c r="J59" i="6"/>
  <c r="R21" i="4" l="1"/>
  <c r="R23" i="4"/>
  <c r="R22" i="4"/>
  <c r="R24" i="4" l="1"/>
  <c r="N44" i="1"/>
  <c r="F23" i="15" s="1"/>
  <c r="N38" i="1"/>
  <c r="F19" i="15" s="1"/>
  <c r="N27" i="1"/>
  <c r="F11" i="15" s="1"/>
  <c r="N15" i="1"/>
  <c r="F7" i="15" s="1"/>
  <c r="N9" i="1"/>
  <c r="F6" i="15" s="1"/>
  <c r="N59" i="1" l="1"/>
  <c r="L6" i="4"/>
  <c r="F8" i="6" s="1"/>
  <c r="H8" i="6" l="1"/>
  <c r="N15" i="4"/>
  <c r="F33" i="15" s="1"/>
  <c r="F34" i="15" s="1"/>
  <c r="L19" i="4"/>
  <c r="N18" i="4"/>
  <c r="F37" i="15" s="1"/>
  <c r="N9" i="4"/>
  <c r="F16" i="15" s="1"/>
  <c r="N17" i="4"/>
  <c r="F36" i="15" s="1"/>
  <c r="N8" i="4"/>
  <c r="F15" i="15" s="1"/>
  <c r="N6" i="4"/>
  <c r="F8" i="15" s="1"/>
  <c r="F26" i="15"/>
  <c r="N11" i="4"/>
  <c r="N12" i="4"/>
  <c r="F24" i="15" s="1"/>
  <c r="F25" i="15" s="1"/>
  <c r="N7" i="4"/>
  <c r="F12" i="15" s="1"/>
  <c r="F13" i="15" s="1"/>
  <c r="N19" i="4"/>
  <c r="F38" i="15" s="1"/>
  <c r="F17" i="15" l="1"/>
  <c r="H10" i="4"/>
  <c r="F16" i="9" s="1"/>
  <c r="L15" i="4"/>
  <c r="F35" i="6" s="1"/>
  <c r="F36" i="6" s="1"/>
  <c r="H36" i="6" s="1"/>
  <c r="H15" i="4"/>
  <c r="F32" i="9" s="1"/>
  <c r="F33" i="9" s="1"/>
  <c r="J15" i="4"/>
  <c r="F33" i="8" s="1"/>
  <c r="F34" i="8" s="1"/>
  <c r="J10" i="4"/>
  <c r="F17" i="8" s="1"/>
  <c r="L10" i="4"/>
  <c r="F20" i="15"/>
  <c r="F21" i="15" s="1"/>
  <c r="N21" i="4"/>
  <c r="F40" i="15" l="1"/>
  <c r="S23" i="4"/>
  <c r="P66" i="1"/>
  <c r="N66" i="1" l="1"/>
  <c r="L39" i="1"/>
  <c r="F21" i="6" s="1"/>
  <c r="J37" i="1"/>
  <c r="F19" i="8" s="1"/>
  <c r="H36" i="1"/>
  <c r="F18" i="9" s="1"/>
  <c r="L28" i="1"/>
  <c r="F11" i="6" s="1"/>
  <c r="J26" i="1"/>
  <c r="F11" i="8" s="1"/>
  <c r="H25" i="1"/>
  <c r="F11" i="9" s="1"/>
  <c r="F60" i="6" l="1"/>
  <c r="R5" i="6" l="1"/>
  <c r="J32" i="6" s="1"/>
  <c r="R6" i="6"/>
  <c r="L32" i="6" s="1"/>
  <c r="R7" i="6"/>
  <c r="N32" i="6" s="1"/>
  <c r="L36" i="6" l="1"/>
  <c r="N36" i="6"/>
  <c r="J36" i="6"/>
  <c r="N37" i="6"/>
  <c r="N8" i="6"/>
  <c r="L37" i="6"/>
  <c r="L8" i="6"/>
  <c r="J37" i="6"/>
  <c r="J8" i="6"/>
  <c r="R8" i="6"/>
  <c r="N31" i="4"/>
  <c r="N32" i="4"/>
  <c r="L45" i="1"/>
  <c r="F25" i="6" s="1"/>
  <c r="J43" i="1"/>
  <c r="F23" i="8" s="1"/>
  <c r="H42" i="1"/>
  <c r="F22" i="9" s="1"/>
  <c r="F48" i="15" l="1"/>
  <c r="F49" i="15"/>
  <c r="F48" i="6"/>
  <c r="F47" i="6"/>
  <c r="J30" i="4"/>
  <c r="F47" i="8" s="1"/>
  <c r="N30" i="4"/>
  <c r="F47" i="15" s="1"/>
  <c r="F34" i="4"/>
  <c r="L31" i="4"/>
  <c r="L31" i="1"/>
  <c r="F15" i="6" s="1"/>
  <c r="L18" i="1"/>
  <c r="J47" i="6" l="1"/>
  <c r="L47" i="6"/>
  <c r="H47" i="6"/>
  <c r="N47" i="6"/>
  <c r="L48" i="6"/>
  <c r="N48" i="6"/>
  <c r="H48" i="6"/>
  <c r="J48" i="6"/>
  <c r="F50" i="6"/>
  <c r="F9" i="6"/>
  <c r="L9" i="6" s="1"/>
  <c r="N34" i="4"/>
  <c r="L32" i="4"/>
  <c r="L18" i="4"/>
  <c r="L12" i="4"/>
  <c r="F16" i="6"/>
  <c r="F17" i="6" s="1"/>
  <c r="L7" i="4"/>
  <c r="L30" i="4"/>
  <c r="F40" i="6"/>
  <c r="L17" i="4"/>
  <c r="F38" i="6" s="1"/>
  <c r="F28" i="6"/>
  <c r="L11" i="4"/>
  <c r="F22" i="6" s="1"/>
  <c r="F23" i="6" s="1"/>
  <c r="L9" i="4"/>
  <c r="F18" i="6" s="1"/>
  <c r="J31" i="4"/>
  <c r="L16" i="1"/>
  <c r="F7" i="6" s="1"/>
  <c r="J14" i="1"/>
  <c r="F7" i="8" s="1"/>
  <c r="H13" i="1"/>
  <c r="F7" i="9" s="1"/>
  <c r="L10" i="1"/>
  <c r="J8" i="1"/>
  <c r="H7" i="1"/>
  <c r="H7" i="6" l="1"/>
  <c r="J7" i="6"/>
  <c r="L7" i="6"/>
  <c r="N7" i="6"/>
  <c r="F26" i="6"/>
  <c r="F27" i="6" s="1"/>
  <c r="F48" i="8"/>
  <c r="J59" i="1"/>
  <c r="F6" i="8"/>
  <c r="H59" i="1"/>
  <c r="F6" i="9"/>
  <c r="H17" i="6"/>
  <c r="J17" i="6"/>
  <c r="L17" i="6"/>
  <c r="N17" i="6"/>
  <c r="J50" i="6"/>
  <c r="H50" i="6"/>
  <c r="L50" i="6"/>
  <c r="N50" i="6"/>
  <c r="H40" i="6"/>
  <c r="J40" i="6"/>
  <c r="L40" i="6"/>
  <c r="N40" i="6"/>
  <c r="L23" i="6"/>
  <c r="J23" i="6"/>
  <c r="N23" i="6"/>
  <c r="H23" i="6"/>
  <c r="H28" i="6"/>
  <c r="J28" i="6"/>
  <c r="L28" i="6"/>
  <c r="N28" i="6"/>
  <c r="J18" i="6"/>
  <c r="L18" i="6"/>
  <c r="N18" i="6"/>
  <c r="H18" i="6"/>
  <c r="N38" i="6"/>
  <c r="H38" i="6"/>
  <c r="L38" i="6"/>
  <c r="J38" i="6"/>
  <c r="F6" i="6"/>
  <c r="L59" i="1"/>
  <c r="F12" i="6"/>
  <c r="F13" i="6" s="1"/>
  <c r="F39" i="6"/>
  <c r="F46" i="6"/>
  <c r="F51" i="6"/>
  <c r="F49" i="6"/>
  <c r="H31" i="4"/>
  <c r="F48" i="9" s="1"/>
  <c r="F59" i="6"/>
  <c r="H32" i="4"/>
  <c r="F49" i="9" s="1"/>
  <c r="H30" i="4"/>
  <c r="F47" i="9" s="1"/>
  <c r="H19" i="4"/>
  <c r="F37" i="9" s="1"/>
  <c r="H17" i="4"/>
  <c r="F35" i="9" s="1"/>
  <c r="F25" i="9"/>
  <c r="H11" i="4"/>
  <c r="H9" i="4"/>
  <c r="F15" i="9" s="1"/>
  <c r="H18" i="4"/>
  <c r="F36" i="9" s="1"/>
  <c r="H12" i="4"/>
  <c r="H8" i="4"/>
  <c r="F14" i="9" s="1"/>
  <c r="J18" i="4"/>
  <c r="F37" i="8" s="1"/>
  <c r="J12" i="4"/>
  <c r="F24" i="8" s="1"/>
  <c r="F25" i="8" s="1"/>
  <c r="J8" i="4"/>
  <c r="F15" i="8" s="1"/>
  <c r="J7" i="4"/>
  <c r="F12" i="8" s="1"/>
  <c r="F13" i="8" s="1"/>
  <c r="J6" i="4"/>
  <c r="F8" i="8" s="1"/>
  <c r="J32" i="4"/>
  <c r="J19" i="4"/>
  <c r="F38" i="8" s="1"/>
  <c r="J17" i="4"/>
  <c r="F36" i="8" s="1"/>
  <c r="F26" i="8"/>
  <c r="J11" i="4"/>
  <c r="F20" i="8" s="1"/>
  <c r="F21" i="8" s="1"/>
  <c r="J9" i="4"/>
  <c r="F16" i="8" s="1"/>
  <c r="L34" i="4"/>
  <c r="H27" i="6" l="1"/>
  <c r="L27" i="6"/>
  <c r="N27" i="6"/>
  <c r="J27" i="6"/>
  <c r="F49" i="8"/>
  <c r="F40" i="8"/>
  <c r="J46" i="6"/>
  <c r="L46" i="6"/>
  <c r="N46" i="6"/>
  <c r="H46" i="6"/>
  <c r="H13" i="6"/>
  <c r="J13" i="6"/>
  <c r="L13" i="6"/>
  <c r="N13" i="6"/>
  <c r="H39" i="6"/>
  <c r="J39" i="6"/>
  <c r="L39" i="6"/>
  <c r="N39" i="6"/>
  <c r="N6" i="6"/>
  <c r="L6" i="6"/>
  <c r="N51" i="6"/>
  <c r="H51" i="6"/>
  <c r="J51" i="6"/>
  <c r="L51" i="6"/>
  <c r="N49" i="6"/>
  <c r="L49" i="6"/>
  <c r="H49" i="6"/>
  <c r="J49" i="6"/>
  <c r="F53" i="6"/>
  <c r="H21" i="4"/>
  <c r="S20" i="4" s="1"/>
  <c r="F19" i="9"/>
  <c r="F20" i="9" s="1"/>
  <c r="F12" i="9"/>
  <c r="F13" i="9" s="1"/>
  <c r="F23" i="9"/>
  <c r="F24" i="9" s="1"/>
  <c r="J34" i="4"/>
  <c r="H34" i="4"/>
  <c r="F39" i="9" l="1"/>
  <c r="N64" i="1" s="1"/>
  <c r="N53" i="6"/>
  <c r="P64" i="1"/>
  <c r="H6" i="6"/>
  <c r="J6" i="6" s="1"/>
  <c r="H53" i="6"/>
  <c r="L53" i="6"/>
  <c r="J53" i="6"/>
  <c r="F51" i="8"/>
  <c r="F60" i="8" s="1"/>
  <c r="F51" i="9"/>
  <c r="F57" i="9" l="1"/>
  <c r="J21" i="4"/>
  <c r="F19" i="6"/>
  <c r="F42" i="6" l="1"/>
  <c r="S21" i="4"/>
  <c r="P65" i="1"/>
  <c r="N65" i="1"/>
  <c r="L19" i="6"/>
  <c r="L42" i="6" s="1"/>
  <c r="J19" i="6"/>
  <c r="J42" i="6" s="1"/>
  <c r="N19" i="6"/>
  <c r="N42" i="6" s="1"/>
  <c r="H19" i="6"/>
  <c r="H42" i="6" s="1"/>
  <c r="L21" i="4"/>
  <c r="N63" i="1" l="1"/>
  <c r="N68" i="1" s="1"/>
  <c r="N69" i="1" s="1"/>
  <c r="S22" i="4"/>
  <c r="S24" i="4" s="1"/>
  <c r="P63" i="1"/>
  <c r="P68" i="1" s="1"/>
  <c r="H37" i="11"/>
  <c r="F19" i="11"/>
  <c r="C46" i="11" s="1"/>
  <c r="P69" i="1" l="1"/>
  <c r="F51" i="15"/>
  <c r="F61" i="15" s="1"/>
  <c r="C47" i="11"/>
  <c r="F46" i="11"/>
  <c r="F47" i="11" s="1"/>
  <c r="H19" i="11"/>
  <c r="H24" i="11"/>
  <c r="H47" i="11" l="1"/>
  <c r="Q6" i="11"/>
  <c r="Q9" i="11"/>
  <c r="N58" i="6" s="1"/>
  <c r="Q8" i="11"/>
  <c r="Q7" i="11"/>
  <c r="H58" i="6" l="1"/>
  <c r="L58" i="6"/>
  <c r="J58" i="6"/>
  <c r="Q11" i="11"/>
  <c r="Q21" i="11" s="1"/>
  <c r="N62" i="6"/>
  <c r="N66" i="6" s="1"/>
  <c r="F58" i="6" l="1"/>
  <c r="F62" i="6" s="1"/>
  <c r="F66" i="6" s="1"/>
  <c r="H62" i="6"/>
  <c r="H66" i="6" s="1"/>
  <c r="J62" i="6"/>
  <c r="J66" i="6" s="1"/>
  <c r="L62" i="6"/>
  <c r="L66" i="6" s="1"/>
  <c r="F6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 Irwin</author>
    <author>User</author>
  </authors>
  <commentList>
    <comment ref="F10" authorId="0" shapeId="0" xr:uid="{C032B1A2-2D4E-45E5-8CFE-78A6BB79C398}">
      <text>
        <r>
          <rPr>
            <b/>
            <sz val="9"/>
            <color indexed="81"/>
            <rFont val="Tahoma"/>
            <family val="2"/>
          </rPr>
          <t xml:space="preserve">Minimum 2,000 billing
</t>
        </r>
      </text>
    </comment>
    <comment ref="B12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  <comment ref="F15" authorId="0" shapeId="0" xr:uid="{E7EB09D3-35C9-4A23-B892-1E5627981659}">
      <text>
        <r>
          <rPr>
            <b/>
            <sz val="9"/>
            <color indexed="81"/>
            <rFont val="Tahoma"/>
            <family val="2"/>
          </rPr>
          <t xml:space="preserve">Minimum 1,000 billing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C32" authorId="0" shapeId="0" xr:uid="{339BCDF7-5D56-4387-A0C1-EC233BCE6B1A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Convert from CCF to MCF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Brenda Bott</author>
  </authors>
  <commentList>
    <comment ref="E17" authorId="0" shapeId="0" xr:uid="{560D9E2F-2407-4648-A76B-F0BDFEC0A3B7}">
      <text>
        <r>
          <rPr>
            <b/>
            <sz val="9"/>
            <color indexed="81"/>
            <rFont val="Tahoma"/>
            <family val="2"/>
          </rPr>
          <t>Brenda Bott:</t>
        </r>
        <r>
          <rPr>
            <sz val="9"/>
            <color indexed="81"/>
            <rFont val="Tahoma"/>
            <family val="2"/>
          </rPr>
          <t xml:space="preserve">
Formula was CCF, changed to MCF to be consistent with other tab formulas.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Does not include Contracted Transportation</t>
        </r>
      </text>
    </comment>
  </commentList>
</comments>
</file>

<file path=xl/sharedStrings.xml><?xml version="1.0" encoding="utf-8"?>
<sst xmlns="http://schemas.openxmlformats.org/spreadsheetml/2006/main" count="644" uniqueCount="282">
  <si>
    <t>874 Mains &amp; Services</t>
  </si>
  <si>
    <t>874.15 Mains &amp; Services KY</t>
  </si>
  <si>
    <t>874.16 Mains &amp; Services TN</t>
  </si>
  <si>
    <t>874.46 Mains &amp; Services OK</t>
  </si>
  <si>
    <t>887 Maintenance of Mains</t>
  </si>
  <si>
    <t>887.15 Maintenance of Mains KY</t>
  </si>
  <si>
    <t>887.16 Maintenance of Mains TN</t>
  </si>
  <si>
    <t>887.46 Maintenance of Mains OK</t>
  </si>
  <si>
    <t>Amount</t>
  </si>
  <si>
    <t>Billed to System</t>
  </si>
  <si>
    <t>OK</t>
  </si>
  <si>
    <t>TN</t>
  </si>
  <si>
    <t>KY</t>
  </si>
  <si>
    <t>893 Maintenance of Meters</t>
  </si>
  <si>
    <t>894 Maintenance of Other Equip</t>
  </si>
  <si>
    <t>908 Customer Assistance</t>
  </si>
  <si>
    <t>908.46 Customer Assistance OK</t>
  </si>
  <si>
    <t>903 Customer Records &amp; Collection</t>
  </si>
  <si>
    <t>909 Info Advertising</t>
  </si>
  <si>
    <t>920 Administration &amp; Gen Sales</t>
  </si>
  <si>
    <t>921 Office Supplies</t>
  </si>
  <si>
    <t>923 Outside Services</t>
  </si>
  <si>
    <t>923.16 Outside Services TN</t>
  </si>
  <si>
    <t>923.15 Outside Services KY</t>
  </si>
  <si>
    <t>923.46 Outside Services OK</t>
  </si>
  <si>
    <t>924 Insurance</t>
  </si>
  <si>
    <t>925 Safety &amp; Security</t>
  </si>
  <si>
    <t>926 Employee Benefits</t>
  </si>
  <si>
    <t>930 Misc Gen Expense</t>
  </si>
  <si>
    <t>931 Rents</t>
  </si>
  <si>
    <t>932 Maintenance of General Plant</t>
  </si>
  <si>
    <t>Meters</t>
  </si>
  <si>
    <t>Trucks</t>
  </si>
  <si>
    <t>FCFA</t>
  </si>
  <si>
    <t>LeAnn</t>
  </si>
  <si>
    <t>OK3</t>
  </si>
  <si>
    <t>LAG</t>
  </si>
  <si>
    <t>Direct</t>
  </si>
  <si>
    <t>Allocation</t>
  </si>
  <si>
    <t>Total:</t>
  </si>
  <si>
    <t>Meter</t>
  </si>
  <si>
    <t>Office Equip</t>
  </si>
  <si>
    <t>Orginal Value</t>
  </si>
  <si>
    <t>Interest Rate</t>
  </si>
  <si>
    <t>Debt/ Equity</t>
  </si>
  <si>
    <t>Ratio of Company</t>
  </si>
  <si>
    <t>Pickups</t>
  </si>
  <si>
    <t>Heavy Equip</t>
  </si>
  <si>
    <t>Tools &amp; Equip</t>
  </si>
  <si>
    <t>Life</t>
  </si>
  <si>
    <t>Total</t>
  </si>
  <si>
    <t>Monthly</t>
  </si>
  <si>
    <t>Grand</t>
  </si>
  <si>
    <t>Years</t>
  </si>
  <si>
    <t>Debt</t>
  </si>
  <si>
    <t>Depreciation</t>
  </si>
  <si>
    <t>Grand Total:</t>
  </si>
  <si>
    <t>Corporate Office</t>
  </si>
  <si>
    <t>Corporate Office Rent from NALLC</t>
  </si>
  <si>
    <t>Eakly Office Rent from FCFA</t>
  </si>
  <si>
    <t>Eakly Office</t>
  </si>
  <si>
    <t>Minus Land</t>
  </si>
  <si>
    <t>Oklahoma Commodity</t>
  </si>
  <si>
    <t>Southern Star</t>
  </si>
  <si>
    <t>ONG-L05559</t>
  </si>
  <si>
    <t>ONG-L05849</t>
  </si>
  <si>
    <t>ONG-L05850</t>
  </si>
  <si>
    <t>ONG-L05851</t>
  </si>
  <si>
    <t>ONG-L05852</t>
  </si>
  <si>
    <t>ONG-L06099</t>
  </si>
  <si>
    <t>ONG-L06215</t>
  </si>
  <si>
    <t>Transporters</t>
  </si>
  <si>
    <t>Cost</t>
  </si>
  <si>
    <t>Price/ Unit</t>
  </si>
  <si>
    <t>Units</t>
  </si>
  <si>
    <t>NALLC Delivery Charge</t>
  </si>
  <si>
    <t>Suppliers</t>
  </si>
  <si>
    <t>System</t>
  </si>
  <si>
    <t>% Usage</t>
  </si>
  <si>
    <t>PGA Portion</t>
  </si>
  <si>
    <t>Prior Month</t>
  </si>
  <si>
    <t>NOK3</t>
  </si>
  <si>
    <t>FCFALD</t>
  </si>
  <si>
    <t>Commodity</t>
  </si>
  <si>
    <t>Tennessee &amp; Kentucky Commodity</t>
  </si>
  <si>
    <t>Quantity</t>
  </si>
  <si>
    <t>Rate</t>
  </si>
  <si>
    <t>Spectra Pipeline</t>
  </si>
  <si>
    <t>Albany (KY)</t>
  </si>
  <si>
    <t>Byrdstown/Fentress (TN)</t>
  </si>
  <si>
    <t>Total Sales</t>
  </si>
  <si>
    <t>DelGasco Pipeline</t>
  </si>
  <si>
    <t>Jellico (TN)</t>
  </si>
  <si>
    <t>Revenue Billing - Direct Charges</t>
  </si>
  <si>
    <t>Navitas Utility Corporation</t>
  </si>
  <si>
    <t>Revenue Billing - Other</t>
  </si>
  <si>
    <t>Revenue Billing - Allocation Charges</t>
  </si>
  <si>
    <t>Revenue Billing - Equipment Rental</t>
  </si>
  <si>
    <t>Navitas Utility Corportion Expenses</t>
  </si>
  <si>
    <t>Other Expenses</t>
  </si>
  <si>
    <t>931 Pickups</t>
  </si>
  <si>
    <t>931 Trucks</t>
  </si>
  <si>
    <t>931 Heavy Equip</t>
  </si>
  <si>
    <t>931 Tools &amp; Equip</t>
  </si>
  <si>
    <t>931 Office Equip</t>
  </si>
  <si>
    <t>931 Meters</t>
  </si>
  <si>
    <t>800 Well Head Purchases</t>
  </si>
  <si>
    <t>804 City Gate Purchases</t>
  </si>
  <si>
    <t>851 Sys Control &amp; Load</t>
  </si>
  <si>
    <t>WSTAR</t>
  </si>
  <si>
    <t>Petrol</t>
  </si>
  <si>
    <t>RRVREA</t>
  </si>
  <si>
    <t>WS</t>
  </si>
  <si>
    <t>855 Other Util Comp state</t>
  </si>
  <si>
    <t>Monthly Bill to Oklahoma Systems</t>
  </si>
  <si>
    <t>Flight Charges</t>
  </si>
  <si>
    <t>charged by Banks</t>
  </si>
  <si>
    <t>903.46 Customer Records OK</t>
  </si>
  <si>
    <t>903.15 Customer Records KY</t>
  </si>
  <si>
    <t>921.15 Office Supplies KY</t>
  </si>
  <si>
    <t>921.16 Office Supplies TN</t>
  </si>
  <si>
    <t>921.46 Office Supplies OK</t>
  </si>
  <si>
    <t>TX</t>
  </si>
  <si>
    <t>874.28 Mains &amp; Services TX</t>
  </si>
  <si>
    <t>887.28 Maintenance of Mains TX</t>
  </si>
  <si>
    <t>903.28 Customer Records TX</t>
  </si>
  <si>
    <t>921.28 Office Supplies TX</t>
  </si>
  <si>
    <t>923.28 Outside Services TX</t>
  </si>
  <si>
    <t>Monthly Bill to Navitas Utility Texas LLC</t>
  </si>
  <si>
    <t>Texas Commodity</t>
  </si>
  <si>
    <t>MCF</t>
  </si>
  <si>
    <t>***The variance between gas supplied and gas transported is due to Lime Rock Resources</t>
  </si>
  <si>
    <t xml:space="preserve">Lime Rock Resources purchases gas directly from Clearwater, then transports it through our </t>
  </si>
  <si>
    <t xml:space="preserve">lines. This creates a situation where more gas is transported than is purchased. </t>
  </si>
  <si>
    <t>Production Watch (CQG)</t>
  </si>
  <si>
    <t>NUC Marketing &amp; Balance</t>
  </si>
  <si>
    <t>Lime Rock is now Stephens &amp; Johnson Operating Co.</t>
  </si>
  <si>
    <t>YYMM System Billing file name: current file moth = prior month flow</t>
  </si>
  <si>
    <t>N/A</t>
  </si>
  <si>
    <t>Self generated annual invoice (November) by Ross</t>
  </si>
  <si>
    <t>Comments</t>
  </si>
  <si>
    <t>Enable OK Intrastate</t>
  </si>
  <si>
    <t>Petrol Energy - Supply</t>
  </si>
  <si>
    <t>50:50</t>
  </si>
  <si>
    <t>Interest</t>
  </si>
  <si>
    <t>Sub-Total</t>
  </si>
  <si>
    <t>Petrol(Supply)</t>
  </si>
  <si>
    <t>Supply Only</t>
  </si>
  <si>
    <t>NUC</t>
  </si>
  <si>
    <t>Kinder Morgan Texas Pipeline (Transportation)</t>
  </si>
  <si>
    <t>Enable Gas Transportation (Supply)</t>
  </si>
  <si>
    <t>Enable Gas Transportation South (Supply)</t>
  </si>
  <si>
    <t>*Includes Transport Only</t>
  </si>
  <si>
    <t>903.16 Customer Records TN</t>
  </si>
  <si>
    <t>Enbridge (Spectra Energy)</t>
  </si>
  <si>
    <t>Total Direct Charges</t>
  </si>
  <si>
    <t>Total Allocation Charges</t>
  </si>
  <si>
    <t>QB P&amp;L Total Expense</t>
  </si>
  <si>
    <t>Difference</t>
  </si>
  <si>
    <t>Depreciation Expenses</t>
  </si>
  <si>
    <t>Nicholson Well (Kenneth Lowe)</t>
  </si>
  <si>
    <t>Validation test</t>
  </si>
  <si>
    <t>Volume</t>
  </si>
  <si>
    <t>Manual Input</t>
  </si>
  <si>
    <t>Enable Gas 1006711 (Rim Rock)</t>
  </si>
  <si>
    <t>Year</t>
  </si>
  <si>
    <t>as of</t>
  </si>
  <si>
    <t>Assets</t>
  </si>
  <si>
    <t>TNNG</t>
  </si>
  <si>
    <t>KYNG</t>
  </si>
  <si>
    <t>%</t>
  </si>
  <si>
    <t>C Ave</t>
  </si>
  <si>
    <t>M Max</t>
  </si>
  <si>
    <t>50% of Monthly avg. count</t>
  </si>
  <si>
    <t>Clearwater ONG (DTH)</t>
  </si>
  <si>
    <t>Natural Gas Pipeline (DTH)</t>
  </si>
  <si>
    <t>Equity</t>
  </si>
  <si>
    <t>CPLTD, LTD, 50% LOC</t>
  </si>
  <si>
    <t>Winstar</t>
  </si>
  <si>
    <t>Oklahoma</t>
  </si>
  <si>
    <t>50-50 Method</t>
  </si>
  <si>
    <t>Sales (MCF)</t>
  </si>
  <si>
    <t>B&amp;W (Trans) to TN city gate MCF</t>
  </si>
  <si>
    <t>Sparta (FWM) - Supply MCF</t>
  </si>
  <si>
    <t>Var</t>
  </si>
  <si>
    <t>alloc. Source</t>
  </si>
  <si>
    <t>alloc</t>
  </si>
  <si>
    <t xml:space="preserve">Jellico + Byrdstown </t>
  </si>
  <si>
    <t>B &amp; W (Trans) KY</t>
  </si>
  <si>
    <t>804-Other</t>
  </si>
  <si>
    <t>Kinetrex</t>
  </si>
  <si>
    <t>Amount use to Bill from Assets to NUC, requires to make journals in both companies ( total volume x 0.18cts)</t>
  </si>
  <si>
    <t>Price</t>
  </si>
  <si>
    <t>NUC Marketing &amp; Balance ( total volume x 0.20cts)</t>
  </si>
  <si>
    <t>928 Regulatory Commission Exp</t>
  </si>
  <si>
    <t>Bill Edit List</t>
  </si>
  <si>
    <t>Sales obtained from Bill Edit List</t>
  </si>
  <si>
    <t>TOTAL</t>
  </si>
  <si>
    <t>NUC TNNG</t>
  </si>
  <si>
    <t>NUC KYNG</t>
  </si>
  <si>
    <t>B &amp; W (Trans) KY - retro</t>
  </si>
  <si>
    <t>NUC P&amp;L</t>
  </si>
  <si>
    <t>MKT</t>
  </si>
  <si>
    <t>NUC P&amp;L - Controller</t>
  </si>
  <si>
    <t>NUC P&amp;L Assets</t>
  </si>
  <si>
    <t>Data input to double check</t>
  </si>
  <si>
    <t>Symmetry Retl Dustin (large amount) MMBtu</t>
  </si>
  <si>
    <t>Minus 804-Other</t>
  </si>
  <si>
    <t>Continential Billing Report</t>
  </si>
  <si>
    <t>Proportional Allocation for 2021</t>
  </si>
  <si>
    <t>DIFFERENCE</t>
  </si>
  <si>
    <t>Free</t>
  </si>
  <si>
    <t>data entry</t>
  </si>
  <si>
    <t>formula</t>
  </si>
  <si>
    <t>DATA INPUT 804.46+804 alloc</t>
  </si>
  <si>
    <t>Diversified Energy Marketing</t>
  </si>
  <si>
    <t>MANUAL input per quickbooks</t>
  </si>
  <si>
    <t>TC Energy</t>
  </si>
  <si>
    <t>Plant w/o Acq Adj Consolidated</t>
  </si>
  <si>
    <t>Plant w/o Acq Adj</t>
  </si>
  <si>
    <t>50% of Plant w/o Acq Adj</t>
  </si>
  <si>
    <t>Plant w/o Acq Adj Systems</t>
  </si>
  <si>
    <t>925 ID - Safety &amp; Security</t>
  </si>
  <si>
    <t>925.15 ID - Safety &amp; Security KY</t>
  </si>
  <si>
    <t>925.16 ID - Safety &amp; Security TN</t>
  </si>
  <si>
    <t>925.28 ID - Safety &amp; Security TX</t>
  </si>
  <si>
    <t>925.46 ID - Safety &amp; Security OK</t>
  </si>
  <si>
    <t>926 Employee Benefit</t>
  </si>
  <si>
    <t>926.15 Employee Benefit KY</t>
  </si>
  <si>
    <t>926.16 Employee Benefit TN</t>
  </si>
  <si>
    <t>926.28 Employee Benefit TX</t>
  </si>
  <si>
    <t>926.46 Employee Benefit OK</t>
  </si>
  <si>
    <t>Proportional Allocation for 2022</t>
  </si>
  <si>
    <t>Same amount monthly paid via CC (Richard)</t>
  </si>
  <si>
    <t>Total Billed</t>
  </si>
  <si>
    <t>Direct+Allocation</t>
  </si>
  <si>
    <t>Inv</t>
  </si>
  <si>
    <t>Keystone</t>
  </si>
  <si>
    <t>All Trucks and Equipment to be billed via allocation percentages, NO DIRECT BILLING</t>
  </si>
  <si>
    <t>Byrdstown/Fentress</t>
  </si>
  <si>
    <t>Jellico - B&amp;W</t>
  </si>
  <si>
    <t>Kinetrex - LNG</t>
  </si>
  <si>
    <t>Monthly Bill to Navitas TN NG LLC</t>
  </si>
  <si>
    <t>Monthly Bill to Navitas KY NG LLC</t>
  </si>
  <si>
    <t>Broken T</t>
  </si>
  <si>
    <t>City of Mannford</t>
  </si>
  <si>
    <t>NC</t>
  </si>
  <si>
    <t>535.2 Operation supervision Cliffside</t>
  </si>
  <si>
    <t>535.3 Operation supervision Stice-Sho</t>
  </si>
  <si>
    <t>921.122 Office Supplies Cliffside</t>
  </si>
  <si>
    <t>921.123 Office Supplies Stice-Shoals</t>
  </si>
  <si>
    <t>Cliffside</t>
  </si>
  <si>
    <t>Stice-Shoals</t>
  </si>
  <si>
    <t>535 Operation supervision</t>
  </si>
  <si>
    <t>Monthly Bill to Hydro Systems</t>
  </si>
  <si>
    <t>Clearwater (Supply)</t>
  </si>
  <si>
    <t>Clearwater EOIT (DTH)</t>
  </si>
  <si>
    <t>Clearwater EGT (DTH)</t>
  </si>
  <si>
    <t>Clearwater SS (DTH)</t>
  </si>
  <si>
    <t>Monthly Avg Cust Count - 2022</t>
  </si>
  <si>
    <t>Proportional Allocation for 2023</t>
  </si>
  <si>
    <t>Summit (CCF)</t>
  </si>
  <si>
    <t>Symmetry Retl Dustin (small amount)</t>
  </si>
  <si>
    <t>same Cima volume, cannot count twice, DO NOT LOAD VOLUME</t>
  </si>
  <si>
    <t>654K Updated as of 12/31/23</t>
  </si>
  <si>
    <t>2024</t>
  </si>
  <si>
    <t>204</t>
  </si>
  <si>
    <t>Monthly Avg Cust Count - 2023</t>
  </si>
  <si>
    <t>Skye OK, LLC</t>
  </si>
  <si>
    <t>Per 6/30/24</t>
  </si>
  <si>
    <t>data input as of 06/30/24</t>
  </si>
  <si>
    <t>Values set from Q2 2024 numbers for Q3 &amp; Q4 in 2024</t>
  </si>
  <si>
    <t>ONG</t>
  </si>
  <si>
    <t xml:space="preserve">   </t>
  </si>
  <si>
    <t>Delta</t>
  </si>
  <si>
    <t>Petrol (Trans &amp; Supply) DTH</t>
  </si>
  <si>
    <t>Jellico - Petrol &amp; Delta</t>
  </si>
  <si>
    <t>2411 file =</t>
  </si>
  <si>
    <r>
      <t xml:space="preserve">Data Input Nov 24 billing =Nov invoices = Oct </t>
    </r>
    <r>
      <rPr>
        <b/>
        <u val="singleAccounting"/>
        <sz val="11"/>
        <color theme="1"/>
        <rFont val="Calibri"/>
        <family val="2"/>
        <scheme val="minor"/>
      </rPr>
      <t>Flow  data= Oct Sales Volume</t>
    </r>
  </si>
  <si>
    <t>BB 2411</t>
  </si>
  <si>
    <t>Oct.24 Usage</t>
  </si>
  <si>
    <t>Prior Month = Sep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</si>
</sst>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_(* #,##0_);_(* \(#,##0\);_(* &quot;-&quot;??_);_(@_)"/>
    <numFmt numFmtId="168" formatCode="_(&quot;$&quot;* #,##0.00_);_(&quot;$&quot;* \(#,##0.00\);_(&quot;$&quot;* &quot;-&quot;_);_(@_)"/>
  </numFmts>
  <fonts count="1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 tint="4.9989318521683403E-2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0">
    <xf numFmtId="0" fontId="0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8" borderId="0" applyNumberFormat="0" applyBorder="0" applyAlignment="0" applyProtection="0"/>
  </cellStyleXfs>
  <cellXfs count="2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0" xfId="0" applyAlignment="1">
      <alignment horizontal="right"/>
    </xf>
    <xf numFmtId="42" fontId="0" fillId="0" borderId="0" xfId="0" applyNumberFormat="1"/>
    <xf numFmtId="42" fontId="0" fillId="0" borderId="2" xfId="0" applyNumberFormat="1" applyBorder="1" applyAlignment="1">
      <alignment horizontal="center"/>
    </xf>
    <xf numFmtId="42" fontId="0" fillId="0" borderId="1" xfId="0" applyNumberFormat="1" applyBorder="1" applyAlignment="1">
      <alignment horizontal="center"/>
    </xf>
    <xf numFmtId="42" fontId="0" fillId="0" borderId="0" xfId="0" applyNumberFormat="1" applyAlignment="1">
      <alignment horizontal="center"/>
    </xf>
    <xf numFmtId="42" fontId="0" fillId="2" borderId="0" xfId="0" applyNumberFormat="1" applyFill="1"/>
    <xf numFmtId="0" fontId="0" fillId="2" borderId="0" xfId="0" applyFill="1" applyAlignment="1">
      <alignment horizontal="center"/>
    </xf>
    <xf numFmtId="42" fontId="0" fillId="0" borderId="2" xfId="0" applyNumberFormat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44" fontId="2" fillId="0" borderId="0" xfId="0" applyNumberFormat="1" applyFont="1"/>
    <xf numFmtId="42" fontId="2" fillId="0" borderId="0" xfId="0" applyNumberFormat="1" applyFont="1" applyAlignment="1">
      <alignment horizontal="center"/>
    </xf>
    <xf numFmtId="42" fontId="2" fillId="0" borderId="2" xfId="0" applyNumberFormat="1" applyFont="1" applyBorder="1"/>
    <xf numFmtId="42" fontId="2" fillId="0" borderId="0" xfId="0" applyNumberFormat="1" applyFont="1"/>
    <xf numFmtId="42" fontId="0" fillId="0" borderId="0" xfId="0" applyNumberFormat="1" applyAlignment="1">
      <alignment horizontal="left"/>
    </xf>
    <xf numFmtId="9" fontId="0" fillId="0" borderId="0" xfId="0" applyNumberFormat="1"/>
    <xf numFmtId="0" fontId="3" fillId="0" borderId="0" xfId="0" applyFont="1" applyAlignment="1">
      <alignment horizontal="center"/>
    </xf>
    <xf numFmtId="3" fontId="0" fillId="0" borderId="0" xfId="0" applyNumberFormat="1"/>
    <xf numFmtId="3" fontId="2" fillId="0" borderId="2" xfId="0" applyNumberFormat="1" applyFont="1" applyBorder="1"/>
    <xf numFmtId="44" fontId="3" fillId="0" borderId="0" xfId="0" applyNumberFormat="1" applyFont="1" applyAlignment="1">
      <alignment horizontal="center"/>
    </xf>
    <xf numFmtId="44" fontId="2" fillId="0" borderId="2" xfId="0" applyNumberFormat="1" applyFont="1" applyBorder="1"/>
    <xf numFmtId="3" fontId="2" fillId="0" borderId="0" xfId="0" applyNumberFormat="1" applyFont="1"/>
    <xf numFmtId="0" fontId="2" fillId="0" borderId="2" xfId="0" applyFont="1" applyBorder="1"/>
    <xf numFmtId="9" fontId="2" fillId="0" borderId="2" xfId="0" applyNumberFormat="1" applyFont="1" applyBorder="1"/>
    <xf numFmtId="0" fontId="2" fillId="3" borderId="0" xfId="0" applyFont="1" applyFill="1"/>
    <xf numFmtId="0" fontId="0" fillId="3" borderId="0" xfId="0" applyFill="1"/>
    <xf numFmtId="0" fontId="0" fillId="0" borderId="2" xfId="0" applyBorder="1"/>
    <xf numFmtId="9" fontId="2" fillId="0" borderId="0" xfId="0" applyNumberFormat="1" applyFont="1"/>
    <xf numFmtId="3" fontId="4" fillId="0" borderId="0" xfId="1" applyNumberFormat="1"/>
    <xf numFmtId="0" fontId="4" fillId="0" borderId="2" xfId="1" applyBorder="1"/>
    <xf numFmtId="0" fontId="5" fillId="0" borderId="0" xfId="1" applyFont="1" applyAlignment="1">
      <alignment horizontal="center"/>
    </xf>
    <xf numFmtId="0" fontId="4" fillId="0" borderId="1" xfId="1" applyBorder="1"/>
    <xf numFmtId="44" fontId="4" fillId="0" borderId="2" xfId="1" applyNumberFormat="1" applyBorder="1"/>
    <xf numFmtId="37" fontId="4" fillId="0" borderId="2" xfId="1" applyNumberFormat="1" applyBorder="1"/>
    <xf numFmtId="41" fontId="4" fillId="0" borderId="0" xfId="1" applyNumberFormat="1"/>
    <xf numFmtId="9" fontId="4" fillId="0" borderId="0" xfId="1" applyNumberFormat="1" applyAlignment="1">
      <alignment horizontal="center"/>
    </xf>
    <xf numFmtId="9" fontId="4" fillId="0" borderId="2" xfId="1" applyNumberFormat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0" xfId="1"/>
    <xf numFmtId="44" fontId="4" fillId="0" borderId="0" xfId="1" applyNumberFormat="1"/>
    <xf numFmtId="0" fontId="4" fillId="3" borderId="2" xfId="1" applyFill="1" applyBorder="1"/>
    <xf numFmtId="44" fontId="4" fillId="0" borderId="0" xfId="5"/>
    <xf numFmtId="44" fontId="0" fillId="0" borderId="0" xfId="0" applyNumberFormat="1" applyAlignment="1">
      <alignment horizontal="center"/>
    </xf>
    <xf numFmtId="0" fontId="2" fillId="4" borderId="0" xfId="0" applyFont="1" applyFill="1"/>
    <xf numFmtId="0" fontId="0" fillId="4" borderId="0" xfId="0" applyFill="1"/>
    <xf numFmtId="43" fontId="0" fillId="0" borderId="0" xfId="0" applyNumberFormat="1"/>
    <xf numFmtId="41" fontId="0" fillId="0" borderId="0" xfId="0" applyNumberFormat="1"/>
    <xf numFmtId="41" fontId="2" fillId="0" borderId="0" xfId="0" applyNumberFormat="1" applyFont="1"/>
    <xf numFmtId="42" fontId="2" fillId="3" borderId="0" xfId="0" applyNumberFormat="1" applyFont="1" applyFill="1"/>
    <xf numFmtId="164" fontId="0" fillId="0" borderId="0" xfId="0" applyNumberFormat="1"/>
    <xf numFmtId="165" fontId="0" fillId="0" borderId="0" xfId="0" applyNumberFormat="1"/>
    <xf numFmtId="165" fontId="0" fillId="3" borderId="0" xfId="0" applyNumberFormat="1" applyFill="1"/>
    <xf numFmtId="166" fontId="0" fillId="0" borderId="0" xfId="0" applyNumberFormat="1"/>
    <xf numFmtId="44" fontId="0" fillId="2" borderId="0" xfId="0" applyNumberFormat="1" applyFill="1"/>
    <xf numFmtId="37" fontId="4" fillId="0" borderId="0" xfId="1" applyNumberFormat="1"/>
    <xf numFmtId="9" fontId="0" fillId="0" borderId="0" xfId="35" applyFont="1"/>
    <xf numFmtId="44" fontId="0" fillId="0" borderId="0" xfId="35" applyNumberFormat="1" applyFont="1"/>
    <xf numFmtId="1" fontId="0" fillId="0" borderId="0" xfId="0" applyNumberFormat="1"/>
    <xf numFmtId="0" fontId="4" fillId="0" borderId="0" xfId="1" applyAlignment="1">
      <alignment horizontal="right"/>
    </xf>
    <xf numFmtId="0" fontId="5" fillId="0" borderId="0" xfId="1" applyFont="1" applyAlignment="1">
      <alignment horizontal="right"/>
    </xf>
    <xf numFmtId="3" fontId="0" fillId="0" borderId="2" xfId="0" applyNumberFormat="1" applyBorder="1"/>
    <xf numFmtId="44" fontId="0" fillId="0" borderId="2" xfId="36" applyFont="1" applyBorder="1"/>
    <xf numFmtId="44" fontId="4" fillId="0" borderId="2" xfId="36" applyFont="1" applyBorder="1"/>
    <xf numFmtId="10" fontId="0" fillId="0" borderId="0" xfId="0" applyNumberFormat="1"/>
    <xf numFmtId="0" fontId="7" fillId="0" borderId="0" xfId="0" applyFont="1"/>
    <xf numFmtId="44" fontId="2" fillId="0" borderId="0" xfId="0" applyNumberFormat="1" applyFont="1" applyAlignment="1">
      <alignment horizontal="center"/>
    </xf>
    <xf numFmtId="0" fontId="8" fillId="0" borderId="0" xfId="0" applyFont="1"/>
    <xf numFmtId="46" fontId="2" fillId="0" borderId="0" xfId="0" quotePrefix="1" applyNumberFormat="1" applyFont="1" applyAlignment="1">
      <alignment horizontal="center"/>
    </xf>
    <xf numFmtId="10" fontId="0" fillId="0" borderId="2" xfId="0" applyNumberFormat="1" applyBorder="1" applyAlignment="1">
      <alignment horizontal="center"/>
    </xf>
    <xf numFmtId="42" fontId="0" fillId="5" borderId="0" xfId="0" applyNumberFormat="1" applyFill="1"/>
    <xf numFmtId="10" fontId="0" fillId="0" borderId="2" xfId="0" applyNumberFormat="1" applyBorder="1"/>
    <xf numFmtId="10" fontId="0" fillId="0" borderId="0" xfId="35" applyNumberFormat="1" applyFont="1"/>
    <xf numFmtId="10" fontId="0" fillId="0" borderId="2" xfId="35" applyNumberFormat="1" applyFont="1" applyBorder="1"/>
    <xf numFmtId="165" fontId="0" fillId="5" borderId="0" xfId="0" applyNumberFormat="1" applyFill="1"/>
    <xf numFmtId="42" fontId="2" fillId="5" borderId="2" xfId="0" applyNumberFormat="1" applyFont="1" applyFill="1" applyBorder="1"/>
    <xf numFmtId="44" fontId="0" fillId="5" borderId="0" xfId="0" applyNumberFormat="1" applyFill="1"/>
    <xf numFmtId="165" fontId="0" fillId="5" borderId="2" xfId="0" applyNumberFormat="1" applyFill="1" applyBorder="1"/>
    <xf numFmtId="165" fontId="2" fillId="5" borderId="2" xfId="0" applyNumberFormat="1" applyFont="1" applyFill="1" applyBorder="1"/>
    <xf numFmtId="3" fontId="0" fillId="2" borderId="0" xfId="0" applyNumberFormat="1" applyFill="1"/>
    <xf numFmtId="44" fontId="2" fillId="2" borderId="2" xfId="0" applyNumberFormat="1" applyFont="1" applyFill="1" applyBorder="1"/>
    <xf numFmtId="41" fontId="4" fillId="2" borderId="0" xfId="1" applyNumberFormat="1" applyFill="1"/>
    <xf numFmtId="44" fontId="4" fillId="2" borderId="0" xfId="1" applyNumberFormat="1" applyFill="1"/>
    <xf numFmtId="3" fontId="4" fillId="2" borderId="0" xfId="1" applyNumberFormat="1" applyFill="1"/>
    <xf numFmtId="41" fontId="4" fillId="2" borderId="0" xfId="5" applyNumberFormat="1" applyFill="1"/>
    <xf numFmtId="9" fontId="0" fillId="5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  <xf numFmtId="44" fontId="2" fillId="4" borderId="0" xfId="0" quotePrefix="1" applyNumberFormat="1" applyFont="1" applyFill="1" applyAlignment="1">
      <alignment horizontal="center"/>
    </xf>
    <xf numFmtId="44" fontId="2" fillId="4" borderId="0" xfId="0" applyNumberFormat="1" applyFont="1" applyFill="1"/>
    <xf numFmtId="44" fontId="2" fillId="4" borderId="0" xfId="0" applyNumberFormat="1" applyFont="1" applyFill="1" applyAlignment="1">
      <alignment horizontal="right"/>
    </xf>
    <xf numFmtId="44" fontId="0" fillId="4" borderId="0" xfId="0" applyNumberFormat="1" applyFill="1"/>
    <xf numFmtId="44" fontId="2" fillId="4" borderId="0" xfId="0" applyNumberFormat="1" applyFont="1" applyFill="1" applyAlignment="1">
      <alignment horizontal="left"/>
    </xf>
    <xf numFmtId="0" fontId="0" fillId="4" borderId="0" xfId="0" applyFill="1" applyAlignment="1">
      <alignment horizontal="center"/>
    </xf>
    <xf numFmtId="43" fontId="0" fillId="0" borderId="0" xfId="37" applyFont="1"/>
    <xf numFmtId="43" fontId="2" fillId="0" borderId="0" xfId="37" applyFont="1"/>
    <xf numFmtId="43" fontId="2" fillId="0" borderId="4" xfId="37" applyFont="1" applyBorder="1"/>
    <xf numFmtId="43" fontId="2" fillId="0" borderId="4" xfId="0" applyNumberFormat="1" applyFont="1" applyBorder="1"/>
    <xf numFmtId="167" fontId="0" fillId="0" borderId="0" xfId="37" applyNumberFormat="1" applyFont="1"/>
    <xf numFmtId="44" fontId="2" fillId="4" borderId="0" xfId="0" applyNumberFormat="1" applyFont="1" applyFill="1" applyAlignment="1">
      <alignment horizontal="center"/>
    </xf>
    <xf numFmtId="41" fontId="9" fillId="0" borderId="2" xfId="1" applyNumberFormat="1" applyFont="1" applyBorder="1"/>
    <xf numFmtId="44" fontId="2" fillId="2" borderId="5" xfId="0" applyNumberFormat="1" applyFont="1" applyFill="1" applyBorder="1"/>
    <xf numFmtId="0" fontId="11" fillId="0" borderId="0" xfId="0" applyFont="1"/>
    <xf numFmtId="43" fontId="2" fillId="0" borderId="1" xfId="37" applyFont="1" applyBorder="1" applyAlignment="1">
      <alignment horizontal="center"/>
    </xf>
    <xf numFmtId="43" fontId="0" fillId="2" borderId="0" xfId="37" applyFont="1" applyFill="1"/>
    <xf numFmtId="43" fontId="2" fillId="2" borderId="2" xfId="37" applyFont="1" applyFill="1" applyBorder="1"/>
    <xf numFmtId="37" fontId="0" fillId="0" borderId="0" xfId="0" applyNumberFormat="1"/>
    <xf numFmtId="43" fontId="0" fillId="7" borderId="0" xfId="37" applyFont="1" applyFill="1"/>
    <xf numFmtId="43" fontId="6" fillId="8" borderId="0" xfId="39" applyNumberFormat="1"/>
    <xf numFmtId="0" fontId="0" fillId="0" borderId="0" xfId="0" quotePrefix="1"/>
    <xf numFmtId="167" fontId="0" fillId="0" borderId="0" xfId="0" applyNumberFormat="1"/>
    <xf numFmtId="0" fontId="0" fillId="0" borderId="0" xfId="0" applyAlignment="1">
      <alignment horizontal="left"/>
    </xf>
    <xf numFmtId="168" fontId="0" fillId="0" borderId="0" xfId="0" applyNumberFormat="1"/>
    <xf numFmtId="168" fontId="0" fillId="0" borderId="2" xfId="0" applyNumberFormat="1" applyBorder="1"/>
    <xf numFmtId="10" fontId="0" fillId="0" borderId="0" xfId="35" applyNumberFormat="1" applyFont="1" applyAlignment="1">
      <alignment horizontal="right"/>
    </xf>
    <xf numFmtId="10" fontId="0" fillId="0" borderId="1" xfId="35" applyNumberFormat="1" applyFont="1" applyBorder="1" applyAlignment="1">
      <alignment horizontal="right"/>
    </xf>
    <xf numFmtId="44" fontId="2" fillId="0" borderId="0" xfId="0" quotePrefix="1" applyNumberFormat="1" applyFont="1" applyAlignment="1">
      <alignment horizontal="center"/>
    </xf>
    <xf numFmtId="9" fontId="0" fillId="0" borderId="0" xfId="35" applyFont="1" applyFill="1"/>
    <xf numFmtId="167" fontId="2" fillId="0" borderId="0" xfId="0" applyNumberFormat="1" applyFont="1"/>
    <xf numFmtId="0" fontId="0" fillId="9" borderId="0" xfId="0" applyFill="1"/>
    <xf numFmtId="10" fontId="2" fillId="9" borderId="0" xfId="35" applyNumberFormat="1" applyFont="1" applyFill="1"/>
    <xf numFmtId="10" fontId="0" fillId="9" borderId="0" xfId="0" applyNumberFormat="1" applyFill="1"/>
    <xf numFmtId="0" fontId="2" fillId="0" borderId="0" xfId="0" quotePrefix="1" applyFont="1"/>
    <xf numFmtId="10" fontId="0" fillId="0" borderId="0" xfId="0" applyNumberFormat="1" applyAlignment="1">
      <alignment horizontal="center"/>
    </xf>
    <xf numFmtId="3" fontId="0" fillId="8" borderId="0" xfId="39" applyNumberFormat="1" applyFont="1"/>
    <xf numFmtId="0" fontId="4" fillId="4" borderId="0" xfId="1" applyFill="1"/>
    <xf numFmtId="43" fontId="0" fillId="0" borderId="0" xfId="37" applyFont="1" applyFill="1"/>
    <xf numFmtId="9" fontId="2" fillId="0" borderId="0" xfId="35" applyFont="1"/>
    <xf numFmtId="39" fontId="0" fillId="0" borderId="0" xfId="0" applyNumberFormat="1"/>
    <xf numFmtId="167" fontId="0" fillId="4" borderId="0" xfId="0" applyNumberFormat="1" applyFill="1"/>
    <xf numFmtId="0" fontId="2" fillId="0" borderId="6" xfId="0" quotePrefix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9" fontId="0" fillId="0" borderId="0" xfId="35" applyFont="1" applyBorder="1"/>
    <xf numFmtId="0" fontId="0" fillId="0" borderId="10" xfId="0" applyBorder="1"/>
    <xf numFmtId="0" fontId="0" fillId="9" borderId="9" xfId="0" applyFill="1" applyBorder="1"/>
    <xf numFmtId="10" fontId="2" fillId="9" borderId="0" xfId="35" applyNumberFormat="1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39" fontId="0" fillId="0" borderId="0" xfId="37" applyNumberFormat="1" applyFont="1"/>
    <xf numFmtId="10" fontId="0" fillId="0" borderId="0" xfId="0" applyNumberFormat="1" applyAlignment="1">
      <alignment horizontal="right"/>
    </xf>
    <xf numFmtId="10" fontId="0" fillId="0" borderId="1" xfId="0" applyNumberFormat="1" applyBorder="1" applyAlignment="1">
      <alignment horizontal="right"/>
    </xf>
    <xf numFmtId="39" fontId="2" fillId="0" borderId="4" xfId="37" applyNumberFormat="1" applyFont="1" applyBorder="1"/>
    <xf numFmtId="0" fontId="4" fillId="10" borderId="0" xfId="1" applyFill="1"/>
    <xf numFmtId="44" fontId="9" fillId="0" borderId="0" xfId="1" applyNumberFormat="1" applyFont="1"/>
    <xf numFmtId="43" fontId="13" fillId="2" borderId="0" xfId="37" applyFont="1" applyFill="1"/>
    <xf numFmtId="165" fontId="4" fillId="0" borderId="0" xfId="1" applyNumberFormat="1"/>
    <xf numFmtId="43" fontId="4" fillId="6" borderId="0" xfId="1" applyNumberFormat="1" applyFill="1"/>
    <xf numFmtId="44" fontId="4" fillId="6" borderId="0" xfId="1" applyNumberFormat="1" applyFill="1"/>
    <xf numFmtId="0" fontId="2" fillId="4" borderId="0" xfId="0" applyFont="1" applyFill="1" applyAlignment="1">
      <alignment horizontal="center"/>
    </xf>
    <xf numFmtId="3" fontId="0" fillId="0" borderId="11" xfId="0" applyNumberFormat="1" applyBorder="1"/>
    <xf numFmtId="43" fontId="0" fillId="0" borderId="13" xfId="37" applyFont="1" applyBorder="1"/>
    <xf numFmtId="0" fontId="2" fillId="0" borderId="6" xfId="0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/>
    </xf>
    <xf numFmtId="44" fontId="9" fillId="6" borderId="0" xfId="1" applyNumberFormat="1" applyFont="1" applyFill="1"/>
    <xf numFmtId="44" fontId="4" fillId="4" borderId="0" xfId="1" applyNumberFormat="1" applyFill="1"/>
    <xf numFmtId="0" fontId="10" fillId="4" borderId="0" xfId="0" applyFont="1" applyFill="1"/>
    <xf numFmtId="15" fontId="2" fillId="0" borderId="0" xfId="0" applyNumberFormat="1" applyFont="1"/>
    <xf numFmtId="43" fontId="9" fillId="4" borderId="4" xfId="1" applyNumberFormat="1" applyFont="1" applyFill="1" applyBorder="1"/>
    <xf numFmtId="0" fontId="5" fillId="0" borderId="0" xfId="1" applyFont="1"/>
    <xf numFmtId="0" fontId="3" fillId="0" borderId="0" xfId="0" applyFont="1"/>
    <xf numFmtId="44" fontId="2" fillId="9" borderId="0" xfId="0" applyNumberFormat="1" applyFont="1" applyFill="1"/>
    <xf numFmtId="43" fontId="4" fillId="2" borderId="0" xfId="37" applyFont="1" applyFill="1"/>
    <xf numFmtId="43" fontId="4" fillId="4" borderId="2" xfId="37" applyFont="1" applyFill="1" applyBorder="1"/>
    <xf numFmtId="0" fontId="2" fillId="4" borderId="0" xfId="0" applyFont="1" applyFill="1" applyAlignment="1">
      <alignment horizontal="left"/>
    </xf>
    <xf numFmtId="44" fontId="0" fillId="11" borderId="0" xfId="0" applyNumberFormat="1" applyFill="1"/>
    <xf numFmtId="0" fontId="0" fillId="11" borderId="0" xfId="0" applyFill="1"/>
    <xf numFmtId="14" fontId="2" fillId="0" borderId="0" xfId="0" applyNumberFormat="1" applyFont="1" applyAlignment="1">
      <alignment horizontal="left"/>
    </xf>
    <xf numFmtId="10" fontId="0" fillId="0" borderId="0" xfId="35" applyNumberFormat="1" applyFont="1" applyAlignment="1">
      <alignment horizontal="center"/>
    </xf>
    <xf numFmtId="44" fontId="0" fillId="0" borderId="6" xfId="0" applyNumberFormat="1" applyBorder="1"/>
    <xf numFmtId="44" fontId="0" fillId="0" borderId="7" xfId="0" applyNumberFormat="1" applyBorder="1"/>
    <xf numFmtId="44" fontId="0" fillId="4" borderId="7" xfId="0" applyNumberFormat="1" applyFill="1" applyBorder="1"/>
    <xf numFmtId="44" fontId="0" fillId="0" borderId="8" xfId="0" applyNumberFormat="1" applyBorder="1"/>
    <xf numFmtId="44" fontId="0" fillId="0" borderId="9" xfId="0" applyNumberFormat="1" applyBorder="1"/>
    <xf numFmtId="44" fontId="0" fillId="0" borderId="10" xfId="0" applyNumberFormat="1" applyBorder="1"/>
    <xf numFmtId="43" fontId="0" fillId="0" borderId="0" xfId="37" applyFont="1" applyBorder="1"/>
    <xf numFmtId="44" fontId="0" fillId="0" borderId="11" xfId="0" applyNumberFormat="1" applyBorder="1"/>
    <xf numFmtId="44" fontId="0" fillId="0" borderId="12" xfId="0" applyNumberFormat="1" applyBorder="1"/>
    <xf numFmtId="43" fontId="0" fillId="0" borderId="12" xfId="0" applyNumberFormat="1" applyBorder="1"/>
    <xf numFmtId="44" fontId="0" fillId="0" borderId="13" xfId="0" applyNumberFormat="1" applyBorder="1"/>
    <xf numFmtId="168" fontId="0" fillId="2" borderId="0" xfId="0" applyNumberFormat="1" applyFill="1"/>
    <xf numFmtId="0" fontId="2" fillId="4" borderId="6" xfId="0" applyFont="1" applyFill="1" applyBorder="1"/>
    <xf numFmtId="42" fontId="2" fillId="4" borderId="7" xfId="0" applyNumberFormat="1" applyFont="1" applyFill="1" applyBorder="1" applyAlignment="1">
      <alignment horizontal="right"/>
    </xf>
    <xf numFmtId="42" fontId="2" fillId="4" borderId="7" xfId="0" applyNumberFormat="1" applyFont="1" applyFill="1" applyBorder="1"/>
    <xf numFmtId="9" fontId="2" fillId="4" borderId="7" xfId="0" applyNumberFormat="1" applyFont="1" applyFill="1" applyBorder="1" applyAlignment="1">
      <alignment horizontal="center"/>
    </xf>
    <xf numFmtId="42" fontId="2" fillId="4" borderId="8" xfId="0" applyNumberFormat="1" applyFont="1" applyFill="1" applyBorder="1"/>
    <xf numFmtId="0" fontId="2" fillId="4" borderId="9" xfId="0" applyFont="1" applyFill="1" applyBorder="1"/>
    <xf numFmtId="42" fontId="2" fillId="4" borderId="0" xfId="0" applyNumberFormat="1" applyFont="1" applyFill="1" applyAlignment="1">
      <alignment horizontal="right"/>
    </xf>
    <xf numFmtId="42" fontId="2" fillId="4" borderId="0" xfId="0" applyNumberFormat="1" applyFont="1" applyFill="1"/>
    <xf numFmtId="9" fontId="2" fillId="4" borderId="0" xfId="0" applyNumberFormat="1" applyFont="1" applyFill="1" applyAlignment="1">
      <alignment horizontal="center"/>
    </xf>
    <xf numFmtId="42" fontId="2" fillId="4" borderId="10" xfId="0" applyNumberFormat="1" applyFont="1" applyFill="1" applyBorder="1"/>
    <xf numFmtId="0" fontId="2" fillId="4" borderId="11" xfId="0" applyFont="1" applyFill="1" applyBorder="1"/>
    <xf numFmtId="42" fontId="2" fillId="4" borderId="12" xfId="0" applyNumberFormat="1" applyFont="1" applyFill="1" applyBorder="1"/>
    <xf numFmtId="42" fontId="2" fillId="4" borderId="14" xfId="0" applyNumberFormat="1" applyFont="1" applyFill="1" applyBorder="1"/>
    <xf numFmtId="0" fontId="2" fillId="4" borderId="12" xfId="0" applyFont="1" applyFill="1" applyBorder="1"/>
    <xf numFmtId="42" fontId="2" fillId="4" borderId="13" xfId="0" applyNumberFormat="1" applyFont="1" applyFill="1" applyBorder="1"/>
    <xf numFmtId="42" fontId="0" fillId="9" borderId="0" xfId="0" applyNumberFormat="1" applyFill="1"/>
    <xf numFmtId="42" fontId="2" fillId="0" borderId="0" xfId="0" applyNumberFormat="1" applyFont="1" applyAlignment="1">
      <alignment horizontal="left"/>
    </xf>
    <xf numFmtId="168" fontId="0" fillId="9" borderId="0" xfId="0" applyNumberFormat="1" applyFill="1"/>
    <xf numFmtId="167" fontId="0" fillId="9" borderId="0" xfId="37" applyNumberFormat="1" applyFont="1" applyFill="1"/>
    <xf numFmtId="44" fontId="2" fillId="0" borderId="9" xfId="0" applyNumberFormat="1" applyFont="1" applyBorder="1"/>
    <xf numFmtId="44" fontId="9" fillId="0" borderId="2" xfId="1" applyNumberFormat="1" applyFont="1" applyBorder="1"/>
    <xf numFmtId="44" fontId="0" fillId="9" borderId="0" xfId="0" applyNumberFormat="1" applyFill="1"/>
    <xf numFmtId="10" fontId="0" fillId="0" borderId="1" xfId="0" applyNumberFormat="1" applyBorder="1" applyAlignment="1">
      <alignment horizontal="center"/>
    </xf>
    <xf numFmtId="167" fontId="2" fillId="0" borderId="1" xfId="37" applyNumberFormat="1" applyFont="1" applyBorder="1" applyAlignment="1">
      <alignment horizontal="center"/>
    </xf>
    <xf numFmtId="3" fontId="9" fillId="0" borderId="0" xfId="1" applyNumberFormat="1" applyFont="1"/>
    <xf numFmtId="44" fontId="2" fillId="5" borderId="3" xfId="0" applyNumberFormat="1" applyFont="1" applyFill="1" applyBorder="1"/>
    <xf numFmtId="44" fontId="2" fillId="5" borderId="2" xfId="0" applyNumberFormat="1" applyFont="1" applyFill="1" applyBorder="1"/>
    <xf numFmtId="168" fontId="2" fillId="5" borderId="2" xfId="0" applyNumberFormat="1" applyFont="1" applyFill="1" applyBorder="1"/>
    <xf numFmtId="168" fontId="2" fillId="0" borderId="0" xfId="0" applyNumberFormat="1" applyFont="1"/>
    <xf numFmtId="168" fontId="0" fillId="5" borderId="0" xfId="0" applyNumberFormat="1" applyFill="1"/>
    <xf numFmtId="44" fontId="2" fillId="3" borderId="0" xfId="0" applyNumberFormat="1" applyFont="1" applyFill="1"/>
    <xf numFmtId="44" fontId="0" fillId="5" borderId="2" xfId="0" applyNumberFormat="1" applyFill="1" applyBorder="1"/>
    <xf numFmtId="168" fontId="2" fillId="3" borderId="0" xfId="0" applyNumberFormat="1" applyFont="1" applyFill="1"/>
    <xf numFmtId="43" fontId="0" fillId="5" borderId="0" xfId="37" applyFont="1" applyFill="1"/>
    <xf numFmtId="43" fontId="0" fillId="5" borderId="2" xfId="37" applyFont="1" applyFill="1" applyBorder="1"/>
    <xf numFmtId="43" fontId="2" fillId="5" borderId="2" xfId="37" applyFont="1" applyFill="1" applyBorder="1"/>
    <xf numFmtId="43" fontId="2" fillId="0" borderId="0" xfId="37" quotePrefix="1" applyFont="1" applyAlignment="1">
      <alignment horizontal="center"/>
    </xf>
    <xf numFmtId="43" fontId="0" fillId="3" borderId="0" xfId="37" applyFont="1" applyFill="1"/>
    <xf numFmtId="44" fontId="0" fillId="3" borderId="0" xfId="0" applyNumberFormat="1" applyFill="1"/>
    <xf numFmtId="10" fontId="0" fillId="9" borderId="0" xfId="0" applyNumberFormat="1" applyFill="1" applyAlignment="1">
      <alignment horizontal="center"/>
    </xf>
    <xf numFmtId="44" fontId="0" fillId="6" borderId="0" xfId="0" applyNumberFormat="1" applyFill="1"/>
    <xf numFmtId="0" fontId="10" fillId="0" borderId="0" xfId="0" applyFont="1"/>
    <xf numFmtId="9" fontId="2" fillId="0" borderId="0" xfId="35" applyFont="1" applyFill="1"/>
    <xf numFmtId="44" fontId="0" fillId="9" borderId="0" xfId="36" applyFont="1" applyFill="1"/>
    <xf numFmtId="44" fontId="0" fillId="0" borderId="0" xfId="36" applyFont="1"/>
    <xf numFmtId="167" fontId="0" fillId="2" borderId="0" xfId="37" applyNumberFormat="1" applyFont="1" applyFill="1"/>
    <xf numFmtId="43" fontId="2" fillId="0" borderId="0" xfId="37" applyFont="1" applyFill="1" applyBorder="1"/>
    <xf numFmtId="43" fontId="6" fillId="5" borderId="0" xfId="37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40">
    <cellStyle name="40% - Accent3" xfId="39" builtinId="39"/>
    <cellStyle name="Comma" xfId="37" builtinId="3"/>
    <cellStyle name="Comma 2" xfId="38" xr:uid="{513D87A2-7FE0-4886-A503-4EF5D7E53954}"/>
    <cellStyle name="Currency" xfId="36" builtinId="4"/>
    <cellStyle name="Currency 2" xfId="5" xr:uid="{00000000-0005-0000-0000-000001000000}"/>
    <cellStyle name="Currency 2 2" xfId="12" xr:uid="{00000000-0005-0000-0000-000002000000}"/>
    <cellStyle name="Currency 2 3" xfId="15" xr:uid="{00000000-0005-0000-0000-000003000000}"/>
    <cellStyle name="Currency 2 4" xfId="18" xr:uid="{00000000-0005-0000-0000-000004000000}"/>
    <cellStyle name="Currency 2 5" xfId="21" xr:uid="{00000000-0005-0000-0000-000005000000}"/>
    <cellStyle name="Currency 2 6" xfId="24" xr:uid="{00000000-0005-0000-0000-000006000000}"/>
    <cellStyle name="Currency 2 7" xfId="27" xr:uid="{00000000-0005-0000-0000-000007000000}"/>
    <cellStyle name="Currency 2 8" xfId="30" xr:uid="{00000000-0005-0000-0000-000008000000}"/>
    <cellStyle name="Currency 2 9" xfId="33" xr:uid="{00000000-0005-0000-0000-000009000000}"/>
    <cellStyle name="Currency 3" xfId="2" xr:uid="{00000000-0005-0000-0000-00000A000000}"/>
    <cellStyle name="Normal" xfId="0" builtinId="0"/>
    <cellStyle name="Normal 2" xfId="1" xr:uid="{00000000-0005-0000-0000-00000C000000}"/>
    <cellStyle name="Normal 2 10" xfId="20" xr:uid="{00000000-0005-0000-0000-00000D000000}"/>
    <cellStyle name="Normal 2 11" xfId="23" xr:uid="{00000000-0005-0000-0000-00000E000000}"/>
    <cellStyle name="Normal 2 12" xfId="26" xr:uid="{00000000-0005-0000-0000-00000F000000}"/>
    <cellStyle name="Normal 2 13" xfId="29" xr:uid="{00000000-0005-0000-0000-000010000000}"/>
    <cellStyle name="Normal 2 14" xfId="32" xr:uid="{00000000-0005-0000-0000-000011000000}"/>
    <cellStyle name="Normal 2 2" xfId="4" xr:uid="{00000000-0005-0000-0000-000012000000}"/>
    <cellStyle name="Normal 2 3" xfId="7" xr:uid="{00000000-0005-0000-0000-000013000000}"/>
    <cellStyle name="Normal 2 4" xfId="8" xr:uid="{00000000-0005-0000-0000-000014000000}"/>
    <cellStyle name="Normal 2 5" xfId="9" xr:uid="{00000000-0005-0000-0000-000015000000}"/>
    <cellStyle name="Normal 2 6" xfId="10" xr:uid="{00000000-0005-0000-0000-000016000000}"/>
    <cellStyle name="Normal 2 7" xfId="11" xr:uid="{00000000-0005-0000-0000-000017000000}"/>
    <cellStyle name="Normal 2 8" xfId="14" xr:uid="{00000000-0005-0000-0000-000018000000}"/>
    <cellStyle name="Normal 2 9" xfId="17" xr:uid="{00000000-0005-0000-0000-000019000000}"/>
    <cellStyle name="Percent" xfId="35" builtinId="5"/>
    <cellStyle name="Percent 2" xfId="6" xr:uid="{00000000-0005-0000-0000-00001B000000}"/>
    <cellStyle name="Percent 2 2" xfId="13" xr:uid="{00000000-0005-0000-0000-00001C000000}"/>
    <cellStyle name="Percent 2 3" xfId="16" xr:uid="{00000000-0005-0000-0000-00001D000000}"/>
    <cellStyle name="Percent 2 4" xfId="19" xr:uid="{00000000-0005-0000-0000-00001E000000}"/>
    <cellStyle name="Percent 2 5" xfId="22" xr:uid="{00000000-0005-0000-0000-00001F000000}"/>
    <cellStyle name="Percent 2 6" xfId="25" xr:uid="{00000000-0005-0000-0000-000020000000}"/>
    <cellStyle name="Percent 2 7" xfId="28" xr:uid="{00000000-0005-0000-0000-000021000000}"/>
    <cellStyle name="Percent 2 8" xfId="31" xr:uid="{00000000-0005-0000-0000-000022000000}"/>
    <cellStyle name="Percent 2 9" xfId="34" xr:uid="{00000000-0005-0000-0000-000023000000}"/>
    <cellStyle name="Percent 3" xfId="3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</xdr:row>
      <xdr:rowOff>0</xdr:rowOff>
    </xdr:from>
    <xdr:to>
      <xdr:col>26</xdr:col>
      <xdr:colOff>305614</xdr:colOff>
      <xdr:row>40</xdr:row>
      <xdr:rowOff>124879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BC16B8-020B-1D0C-4D04-D23C0B482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5667" y="190500"/>
          <a:ext cx="5830114" cy="7554379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40</xdr:row>
      <xdr:rowOff>105834</xdr:rowOff>
    </xdr:from>
    <xdr:to>
      <xdr:col>26</xdr:col>
      <xdr:colOff>305614</xdr:colOff>
      <xdr:row>76</xdr:row>
      <xdr:rowOff>68686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AE666A-918A-5D17-9665-D6DA4961D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5667" y="7725834"/>
          <a:ext cx="5830114" cy="6820852"/>
        </a:xfrm>
        <a:prstGeom prst="rect">
          <a:avLst/>
        </a:prstGeom>
      </xdr:spPr>
    </xdr:pic>
    <xdr:clientData/>
  </xdr:twoCellAnchor>
  <xdr:twoCellAnchor editAs="oneCell">
    <xdr:from>
      <xdr:col>17</xdr:col>
      <xdr:colOff>10583</xdr:colOff>
      <xdr:row>76</xdr:row>
      <xdr:rowOff>52916</xdr:rowOff>
    </xdr:from>
    <xdr:to>
      <xdr:col>26</xdr:col>
      <xdr:colOff>316197</xdr:colOff>
      <xdr:row>101</xdr:row>
      <xdr:rowOff>101212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AC1C92-13DA-B0D1-9954-4A0A71015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66250" y="14530916"/>
          <a:ext cx="5830114" cy="48107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80961</xdr:colOff>
      <xdr:row>12</xdr:row>
      <xdr:rowOff>57149</xdr:rowOff>
    </xdr:from>
    <xdr:to>
      <xdr:col>50</xdr:col>
      <xdr:colOff>75936</xdr:colOff>
      <xdr:row>50</xdr:row>
      <xdr:rowOff>24826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BD9A68-7E0B-434D-826B-75D756B9C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68686" y="2371724"/>
          <a:ext cx="15234975" cy="725430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18</xdr:col>
      <xdr:colOff>773261</xdr:colOff>
      <xdr:row>85</xdr:row>
      <xdr:rowOff>143826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F2D537D-5487-61DA-B911-082097FE5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9601200"/>
          <a:ext cx="12441386" cy="6811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49</xdr:row>
      <xdr:rowOff>0</xdr:rowOff>
    </xdr:from>
    <xdr:to>
      <xdr:col>24</xdr:col>
      <xdr:colOff>535142</xdr:colOff>
      <xdr:row>65</xdr:row>
      <xdr:rowOff>171899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2374D4-8A77-1415-49A2-5627AE91F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391650"/>
          <a:ext cx="12479492" cy="32198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25</xdr:row>
      <xdr:rowOff>0</xdr:rowOff>
    </xdr:from>
    <xdr:to>
      <xdr:col>27</xdr:col>
      <xdr:colOff>258910</xdr:colOff>
      <xdr:row>32</xdr:row>
      <xdr:rowOff>95449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4072B4-1979-5D87-E5D7-44DB369CD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9125" y="4800600"/>
          <a:ext cx="12431860" cy="14289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F8544F-C84E-4744-9847-4709CA671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33</xdr:row>
      <xdr:rowOff>104775</xdr:rowOff>
    </xdr:from>
    <xdr:to>
      <xdr:col>7</xdr:col>
      <xdr:colOff>181939</xdr:colOff>
      <xdr:row>68</xdr:row>
      <xdr:rowOff>86653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190D14A-1CA0-F9BB-11BD-645591E59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6410325"/>
          <a:ext cx="6906589" cy="664937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20</xdr:col>
      <xdr:colOff>124778</xdr:colOff>
      <xdr:row>72</xdr:row>
      <xdr:rowOff>134379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8EF012C-1FB6-19EC-EEA3-74CDDB1F0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0" y="6496050"/>
          <a:ext cx="6830378" cy="73733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466725</xdr:colOff>
      <xdr:row>3</xdr:row>
      <xdr:rowOff>123825</xdr:rowOff>
    </xdr:from>
    <xdr:to>
      <xdr:col>25</xdr:col>
      <xdr:colOff>306054</xdr:colOff>
      <xdr:row>12</xdr:row>
      <xdr:rowOff>143118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4EE004-EB31-4768-A0B0-88189002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695325"/>
          <a:ext cx="8983329" cy="174331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18</xdr:col>
      <xdr:colOff>515188</xdr:colOff>
      <xdr:row>69</xdr:row>
      <xdr:rowOff>39009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DCC01F-CC68-0541-8940-34FA79C72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5" y="6686550"/>
          <a:ext cx="6001588" cy="6516009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35</xdr:row>
      <xdr:rowOff>38100</xdr:rowOff>
    </xdr:from>
    <xdr:to>
      <xdr:col>6</xdr:col>
      <xdr:colOff>143705</xdr:colOff>
      <xdr:row>66</xdr:row>
      <xdr:rowOff>96082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008A8D-B2BA-2105-17B3-6195313C1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350" y="6724650"/>
          <a:ext cx="5944430" cy="59634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559594</xdr:colOff>
      <xdr:row>55</xdr:row>
      <xdr:rowOff>166686</xdr:rowOff>
    </xdr:from>
    <xdr:to>
      <xdr:col>56</xdr:col>
      <xdr:colOff>246241</xdr:colOff>
      <xdr:row>95</xdr:row>
      <xdr:rowOff>167750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17D51-C938-401B-9F4B-7F4243E82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99063" y="10679905"/>
          <a:ext cx="6973272" cy="7621064"/>
        </a:xfrm>
        <a:prstGeom prst="rect">
          <a:avLst/>
        </a:prstGeom>
      </xdr:spPr>
    </xdr:pic>
    <xdr:clientData/>
  </xdr:twoCellAnchor>
  <xdr:twoCellAnchor editAs="oneCell">
    <xdr:from>
      <xdr:col>32</xdr:col>
      <xdr:colOff>297657</xdr:colOff>
      <xdr:row>56</xdr:row>
      <xdr:rowOff>23813</xdr:rowOff>
    </xdr:from>
    <xdr:to>
      <xdr:col>44</xdr:col>
      <xdr:colOff>479674</xdr:colOff>
      <xdr:row>100</xdr:row>
      <xdr:rowOff>15457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911E2A-63A3-4492-8AD7-42C7704DD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50501" y="10727532"/>
          <a:ext cx="7468642" cy="8373644"/>
        </a:xfrm>
        <a:prstGeom prst="rect">
          <a:avLst/>
        </a:prstGeom>
      </xdr:spPr>
    </xdr:pic>
    <xdr:clientData/>
  </xdr:twoCellAnchor>
  <xdr:twoCellAnchor editAs="oneCell">
    <xdr:from>
      <xdr:col>22</xdr:col>
      <xdr:colOff>440531</xdr:colOff>
      <xdr:row>57</xdr:row>
      <xdr:rowOff>95251</xdr:rowOff>
    </xdr:from>
    <xdr:to>
      <xdr:col>32</xdr:col>
      <xdr:colOff>250882</xdr:colOff>
      <xdr:row>93</xdr:row>
      <xdr:rowOff>77156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2117CB-74BD-4891-BE1B-B788FC0ED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06875" y="10989470"/>
          <a:ext cx="6096851" cy="6839905"/>
        </a:xfrm>
        <a:prstGeom prst="rect">
          <a:avLst/>
        </a:prstGeom>
      </xdr:spPr>
    </xdr:pic>
    <xdr:clientData/>
  </xdr:twoCellAnchor>
  <xdr:twoCellAnchor editAs="oneCell">
    <xdr:from>
      <xdr:col>17</xdr:col>
      <xdr:colOff>369093</xdr:colOff>
      <xdr:row>58</xdr:row>
      <xdr:rowOff>178594</xdr:rowOff>
    </xdr:from>
    <xdr:to>
      <xdr:col>26</xdr:col>
      <xdr:colOff>577084</xdr:colOff>
      <xdr:row>95</xdr:row>
      <xdr:rowOff>74788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C600AFA-0B94-4BF9-8A8D-95C897787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3" y="11263313"/>
          <a:ext cx="5887272" cy="6944694"/>
        </a:xfrm>
        <a:prstGeom prst="rect">
          <a:avLst/>
        </a:prstGeom>
      </xdr:spPr>
    </xdr:pic>
    <xdr:clientData/>
  </xdr:twoCellAnchor>
  <xdr:twoCellAnchor editAs="oneCell">
    <xdr:from>
      <xdr:col>12</xdr:col>
      <xdr:colOff>535782</xdr:colOff>
      <xdr:row>58</xdr:row>
      <xdr:rowOff>119061</xdr:rowOff>
    </xdr:from>
    <xdr:to>
      <xdr:col>22</xdr:col>
      <xdr:colOff>722392</xdr:colOff>
      <xdr:row>94</xdr:row>
      <xdr:rowOff>167650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CA3F7C9-009C-689B-B39B-9B0925C3B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11203780"/>
          <a:ext cx="6258798" cy="6906589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58</xdr:row>
      <xdr:rowOff>47625</xdr:rowOff>
    </xdr:from>
    <xdr:to>
      <xdr:col>16</xdr:col>
      <xdr:colOff>598531</xdr:colOff>
      <xdr:row>94</xdr:row>
      <xdr:rowOff>172424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49896B6-E950-DE3E-0695-EE7AF8596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29501" y="11132344"/>
          <a:ext cx="5992061" cy="69827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71437</xdr:rowOff>
    </xdr:from>
    <xdr:to>
      <xdr:col>7</xdr:col>
      <xdr:colOff>158138</xdr:colOff>
      <xdr:row>101</xdr:row>
      <xdr:rowOff>53528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F4A655-31B1-4909-3850-4BB976B1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1156156"/>
          <a:ext cx="6992326" cy="817359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19</xdr:col>
      <xdr:colOff>407843</xdr:colOff>
      <xdr:row>18</xdr:row>
      <xdr:rowOff>133794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3B27EB5-3D53-E45C-4900-FF56A8406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394156" y="381000"/>
          <a:ext cx="4658375" cy="31817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12</xdr:col>
      <xdr:colOff>189596</xdr:colOff>
      <xdr:row>45</xdr:row>
      <xdr:rowOff>162320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18F42B7-F281-7202-E423-1348CEFFF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5941219"/>
          <a:ext cx="10583752" cy="28293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5</xdr:col>
      <xdr:colOff>225069</xdr:colOff>
      <xdr:row>52</xdr:row>
      <xdr:rowOff>153272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3845DE-2EAB-454F-9924-0959343D6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0"/>
          <a:ext cx="5025669" cy="62492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23</xdr:col>
      <xdr:colOff>64976</xdr:colOff>
      <xdr:row>37</xdr:row>
      <xdr:rowOff>28978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982D4A-08AD-4E88-AF6B-9A5B7C1D9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0500" y="4191000"/>
          <a:ext cx="10574226" cy="28864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12</xdr:col>
      <xdr:colOff>40350</xdr:colOff>
      <xdr:row>55</xdr:row>
      <xdr:rowOff>77115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A7B1B8-C006-F3E5-6A0D-B79613525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526" y="4000500"/>
          <a:ext cx="5344271" cy="655411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21</xdr:row>
      <xdr:rowOff>0</xdr:rowOff>
    </xdr:from>
    <xdr:to>
      <xdr:col>35</xdr:col>
      <xdr:colOff>477726</xdr:colOff>
      <xdr:row>36</xdr:row>
      <xdr:rowOff>28978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3BE562-5B80-44CD-91EA-A27A033C1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7553" y="4000500"/>
          <a:ext cx="10574226" cy="288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1"/>
  <sheetViews>
    <sheetView zoomScale="90" zoomScaleNormal="90" zoomScalePageLayoutView="64" workbookViewId="0">
      <pane xSplit="4" ySplit="4" topLeftCell="E33" activePane="bottomRight" state="frozen"/>
      <selection pane="topRight" activeCell="E1" sqref="E1"/>
      <selection pane="bottomLeft" activeCell="A5" sqref="A5"/>
      <selection pane="bottomRight" activeCell="F58" sqref="F58"/>
    </sheetView>
  </sheetViews>
  <sheetFormatPr defaultRowHeight="15" x14ac:dyDescent="0.25"/>
  <cols>
    <col min="1" max="3" width="1.42578125" customWidth="1"/>
    <col min="4" max="4" width="35.140625" customWidth="1"/>
    <col min="5" max="5" width="1.42578125" customWidth="1"/>
    <col min="6" max="6" width="13.28515625" style="102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1.42578125" customWidth="1"/>
    <col min="16" max="16" width="16.42578125" bestFit="1" customWidth="1"/>
  </cols>
  <sheetData>
    <row r="1" spans="1:16" x14ac:dyDescent="0.25">
      <c r="A1" s="16" t="s">
        <v>94</v>
      </c>
      <c r="F1" s="102" t="str">
        <f>+'Commodity OK'!H2</f>
        <v>Data Input Nov 24 billing =Nov invoices = Oct Flow  data= Oct Sales Volume</v>
      </c>
    </row>
    <row r="2" spans="1:16" x14ac:dyDescent="0.25">
      <c r="H2" s="18"/>
      <c r="I2" s="18"/>
      <c r="J2" s="2"/>
      <c r="K2" s="17" t="s">
        <v>9</v>
      </c>
      <c r="L2" s="18"/>
      <c r="M2" s="18"/>
      <c r="N2" s="18"/>
      <c r="O2" s="18"/>
      <c r="P2" s="18"/>
    </row>
    <row r="3" spans="1:16" x14ac:dyDescent="0.25">
      <c r="A3" s="16" t="s">
        <v>93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P3" s="19" t="s">
        <v>246</v>
      </c>
    </row>
    <row r="4" spans="1:16" x14ac:dyDescent="0.25">
      <c r="F4" s="111" t="s">
        <v>8</v>
      </c>
      <c r="H4" s="1"/>
      <c r="J4" s="1"/>
      <c r="L4" s="1"/>
      <c r="N4" s="1"/>
    </row>
    <row r="6" spans="1:16" x14ac:dyDescent="0.25">
      <c r="B6" s="53" t="s">
        <v>0</v>
      </c>
      <c r="C6" s="54"/>
      <c r="D6" s="54"/>
    </row>
    <row r="7" spans="1:16" x14ac:dyDescent="0.25">
      <c r="C7" t="s">
        <v>1</v>
      </c>
      <c r="F7" s="112">
        <v>14331.09</v>
      </c>
      <c r="G7" s="56"/>
      <c r="H7" s="79">
        <f>F7</f>
        <v>14331.09</v>
      </c>
      <c r="I7" s="8"/>
      <c r="J7" s="79"/>
      <c r="K7" s="8"/>
      <c r="L7" s="79"/>
      <c r="M7" s="8"/>
      <c r="N7" s="79"/>
      <c r="P7" s="79"/>
    </row>
    <row r="8" spans="1:16" x14ac:dyDescent="0.25">
      <c r="C8" t="s">
        <v>2</v>
      </c>
      <c r="F8" s="112">
        <v>11026.81</v>
      </c>
      <c r="G8" s="56"/>
      <c r="H8" s="79"/>
      <c r="I8" s="8"/>
      <c r="J8" s="79">
        <f>F8</f>
        <v>11026.81</v>
      </c>
      <c r="K8" s="8"/>
      <c r="L8" s="79"/>
      <c r="M8" s="8"/>
      <c r="N8" s="79"/>
      <c r="P8" s="79"/>
    </row>
    <row r="9" spans="1:16" x14ac:dyDescent="0.25">
      <c r="C9" t="s">
        <v>123</v>
      </c>
      <c r="F9" s="112">
        <v>2046.24</v>
      </c>
      <c r="G9" s="56"/>
      <c r="H9" s="79"/>
      <c r="I9" s="8"/>
      <c r="J9" s="79"/>
      <c r="K9" s="8"/>
      <c r="L9" s="79"/>
      <c r="M9" s="8"/>
      <c r="N9" s="79">
        <f>F9</f>
        <v>2046.24</v>
      </c>
      <c r="P9" s="79"/>
    </row>
    <row r="10" spans="1:16" x14ac:dyDescent="0.25">
      <c r="C10" t="s">
        <v>3</v>
      </c>
      <c r="F10" s="112">
        <v>113448.41</v>
      </c>
      <c r="G10" s="56"/>
      <c r="H10" s="79"/>
      <c r="I10" s="8"/>
      <c r="J10" s="79"/>
      <c r="K10" s="8"/>
      <c r="L10" s="79">
        <f>F10</f>
        <v>113448.41</v>
      </c>
      <c r="M10" s="8"/>
      <c r="N10" s="79"/>
      <c r="P10" s="79"/>
    </row>
    <row r="11" spans="1:16" x14ac:dyDescent="0.25">
      <c r="G11" s="56"/>
      <c r="H11" s="8"/>
      <c r="I11" s="8"/>
      <c r="J11" s="8"/>
      <c r="K11" s="8"/>
      <c r="L11" s="8"/>
      <c r="M11" s="8"/>
      <c r="N11" s="8"/>
    </row>
    <row r="12" spans="1:16" x14ac:dyDescent="0.25">
      <c r="B12" s="53" t="s">
        <v>4</v>
      </c>
      <c r="C12" s="54"/>
      <c r="D12" s="54"/>
      <c r="G12" s="56"/>
      <c r="H12" s="8"/>
      <c r="I12" s="8"/>
      <c r="J12" s="8"/>
      <c r="K12" s="8"/>
      <c r="L12" s="8"/>
      <c r="M12" s="8"/>
      <c r="N12" s="8"/>
    </row>
    <row r="13" spans="1:16" x14ac:dyDescent="0.25">
      <c r="C13" t="s">
        <v>5</v>
      </c>
      <c r="F13" s="112">
        <v>3461.8</v>
      </c>
      <c r="G13" s="56"/>
      <c r="H13" s="79">
        <f>F13</f>
        <v>3461.8</v>
      </c>
      <c r="I13" s="8"/>
      <c r="J13" s="79"/>
      <c r="K13" s="8"/>
      <c r="L13" s="79"/>
      <c r="M13" s="8"/>
      <c r="N13" s="79"/>
      <c r="P13" s="79"/>
    </row>
    <row r="14" spans="1:16" x14ac:dyDescent="0.25">
      <c r="C14" t="s">
        <v>6</v>
      </c>
      <c r="F14" s="116">
        <v>375.85</v>
      </c>
      <c r="G14" s="56"/>
      <c r="H14" s="79"/>
      <c r="I14" s="8"/>
      <c r="J14" s="79">
        <f>F14</f>
        <v>375.85</v>
      </c>
      <c r="K14" s="8"/>
      <c r="L14" s="79"/>
      <c r="M14" s="8"/>
      <c r="N14" s="79"/>
      <c r="P14" s="79"/>
    </row>
    <row r="15" spans="1:16" x14ac:dyDescent="0.25">
      <c r="C15" t="s">
        <v>124</v>
      </c>
      <c r="F15" s="112">
        <v>2695.44</v>
      </c>
      <c r="G15" s="56"/>
      <c r="H15" s="79"/>
      <c r="I15" s="8"/>
      <c r="J15" s="79"/>
      <c r="K15" s="8"/>
      <c r="L15" s="79"/>
      <c r="M15" s="8"/>
      <c r="N15" s="79">
        <f>F15</f>
        <v>2695.44</v>
      </c>
      <c r="P15" s="79"/>
    </row>
    <row r="16" spans="1:16" x14ac:dyDescent="0.25">
      <c r="C16" t="s">
        <v>7</v>
      </c>
      <c r="F16" s="112">
        <v>18909.12</v>
      </c>
      <c r="G16" s="56"/>
      <c r="H16" s="79"/>
      <c r="I16" s="8"/>
      <c r="J16" s="79"/>
      <c r="K16" s="8"/>
      <c r="L16" s="79">
        <f>F16</f>
        <v>18909.12</v>
      </c>
      <c r="M16" s="8"/>
      <c r="N16" s="79"/>
      <c r="P16" s="79"/>
    </row>
    <row r="17" spans="2:16" x14ac:dyDescent="0.25">
      <c r="G17" s="56"/>
      <c r="H17" s="8"/>
      <c r="I17" s="8"/>
      <c r="J17" s="8"/>
      <c r="K17" s="8"/>
      <c r="L17" s="8"/>
      <c r="M17" s="8"/>
      <c r="N17" s="8"/>
      <c r="P17" s="8"/>
    </row>
    <row r="18" spans="2:16" x14ac:dyDescent="0.25">
      <c r="B18" s="53" t="s">
        <v>14</v>
      </c>
      <c r="C18" s="54"/>
      <c r="D18" s="54"/>
      <c r="F18" s="112">
        <v>15024.59</v>
      </c>
      <c r="G18" s="56"/>
      <c r="H18" s="79"/>
      <c r="I18" s="8"/>
      <c r="J18" s="79"/>
      <c r="K18" s="8"/>
      <c r="L18" s="79">
        <f>F18</f>
        <v>15024.59</v>
      </c>
      <c r="M18" s="8"/>
      <c r="N18" s="79"/>
      <c r="P18" s="79"/>
    </row>
    <row r="19" spans="2:16" x14ac:dyDescent="0.25">
      <c r="G19" s="56"/>
      <c r="H19" s="8"/>
      <c r="I19" s="8"/>
      <c r="J19" s="8"/>
      <c r="K19" s="8"/>
      <c r="L19" s="8"/>
      <c r="M19" s="8"/>
      <c r="N19" s="8"/>
    </row>
    <row r="20" spans="2:16" x14ac:dyDescent="0.25">
      <c r="B20" s="53" t="s">
        <v>253</v>
      </c>
      <c r="C20" s="53"/>
      <c r="D20" s="53"/>
      <c r="G20" s="56"/>
      <c r="H20" s="8"/>
      <c r="I20" s="8"/>
      <c r="J20" s="8"/>
      <c r="K20" s="8"/>
      <c r="L20" s="8"/>
      <c r="M20" s="8"/>
      <c r="N20" s="8"/>
    </row>
    <row r="21" spans="2:16" x14ac:dyDescent="0.25">
      <c r="C21" t="s">
        <v>247</v>
      </c>
      <c r="F21" s="112">
        <v>695.65</v>
      </c>
      <c r="G21" s="56"/>
      <c r="H21" s="79"/>
      <c r="I21" s="8"/>
      <c r="J21" s="79"/>
      <c r="K21" s="8"/>
      <c r="L21" s="79"/>
      <c r="M21" s="8"/>
      <c r="N21" s="79"/>
      <c r="P21" s="79">
        <f>+F21</f>
        <v>695.65</v>
      </c>
    </row>
    <row r="22" spans="2:16" x14ac:dyDescent="0.25">
      <c r="C22" t="s">
        <v>248</v>
      </c>
      <c r="F22" s="112">
        <v>1576.81</v>
      </c>
      <c r="G22" s="56"/>
      <c r="H22" s="79"/>
      <c r="I22" s="8"/>
      <c r="J22" s="79"/>
      <c r="K22" s="8"/>
      <c r="L22" s="79"/>
      <c r="M22" s="8"/>
      <c r="N22" s="79"/>
      <c r="P22" s="79">
        <f>+F22</f>
        <v>1576.81</v>
      </c>
    </row>
    <row r="23" spans="2:16" x14ac:dyDescent="0.25">
      <c r="G23" s="56"/>
      <c r="H23" s="8"/>
      <c r="I23" s="8"/>
      <c r="J23" s="8"/>
      <c r="K23" s="8"/>
      <c r="L23" s="8"/>
      <c r="M23" s="8"/>
      <c r="N23" s="8"/>
    </row>
    <row r="24" spans="2:16" x14ac:dyDescent="0.25">
      <c r="B24" s="53" t="s">
        <v>17</v>
      </c>
      <c r="C24" s="53"/>
      <c r="D24" s="53"/>
      <c r="G24" s="56"/>
      <c r="H24" s="8"/>
      <c r="I24" s="8"/>
      <c r="J24" s="8"/>
      <c r="K24" s="8"/>
      <c r="L24" s="8"/>
      <c r="M24" s="8"/>
      <c r="N24" s="8"/>
    </row>
    <row r="25" spans="2:16" x14ac:dyDescent="0.25">
      <c r="C25" t="s">
        <v>118</v>
      </c>
      <c r="F25" s="112">
        <v>192.7</v>
      </c>
      <c r="G25" s="56"/>
      <c r="H25" s="79">
        <f>F25</f>
        <v>192.7</v>
      </c>
      <c r="I25" s="8"/>
      <c r="J25" s="79"/>
      <c r="K25" s="8"/>
      <c r="L25" s="79"/>
      <c r="M25" s="8"/>
      <c r="N25" s="79"/>
      <c r="P25" s="79"/>
    </row>
    <row r="26" spans="2:16" x14ac:dyDescent="0.25">
      <c r="C26" t="s">
        <v>153</v>
      </c>
      <c r="F26" s="112">
        <v>236.55</v>
      </c>
      <c r="G26" s="56"/>
      <c r="H26" s="79"/>
      <c r="I26" s="8"/>
      <c r="J26" s="79">
        <f>F26</f>
        <v>236.55</v>
      </c>
      <c r="K26" s="8"/>
      <c r="L26" s="79"/>
      <c r="M26" s="8"/>
      <c r="N26" s="79"/>
      <c r="P26" s="79"/>
    </row>
    <row r="27" spans="2:16" x14ac:dyDescent="0.25">
      <c r="C27" t="s">
        <v>125</v>
      </c>
      <c r="F27" s="112">
        <v>0</v>
      </c>
      <c r="G27" s="56"/>
      <c r="H27" s="79"/>
      <c r="I27" s="8"/>
      <c r="J27" s="79"/>
      <c r="K27" s="8"/>
      <c r="L27" s="79"/>
      <c r="M27" s="8"/>
      <c r="N27" s="79">
        <f>F27</f>
        <v>0</v>
      </c>
      <c r="P27" s="79"/>
    </row>
    <row r="28" spans="2:16" x14ac:dyDescent="0.25">
      <c r="C28" t="s">
        <v>117</v>
      </c>
      <c r="F28" s="112">
        <v>1562.56</v>
      </c>
      <c r="G28" s="56"/>
      <c r="H28" s="79"/>
      <c r="I28" s="8"/>
      <c r="J28" s="79"/>
      <c r="K28" s="8"/>
      <c r="L28" s="79">
        <f>F28</f>
        <v>1562.56</v>
      </c>
      <c r="M28" s="8"/>
      <c r="N28" s="79"/>
      <c r="P28" s="79"/>
    </row>
    <row r="29" spans="2:16" x14ac:dyDescent="0.25">
      <c r="G29" s="56"/>
      <c r="H29" s="8"/>
      <c r="I29" s="8"/>
      <c r="J29" s="8"/>
      <c r="K29" s="8"/>
      <c r="L29" s="8"/>
      <c r="M29" s="8"/>
      <c r="N29" s="8"/>
    </row>
    <row r="30" spans="2:16" x14ac:dyDescent="0.25">
      <c r="B30" s="53" t="s">
        <v>15</v>
      </c>
      <c r="C30" s="54"/>
      <c r="D30" s="54"/>
      <c r="G30" s="56"/>
      <c r="H30" s="8"/>
      <c r="I30" s="8"/>
      <c r="J30" s="8"/>
      <c r="K30" s="8"/>
      <c r="L30" s="8"/>
      <c r="M30" s="8"/>
      <c r="N30" s="8"/>
    </row>
    <row r="31" spans="2:16" x14ac:dyDescent="0.25">
      <c r="C31" t="s">
        <v>16</v>
      </c>
      <c r="F31" s="112">
        <v>4641.62</v>
      </c>
      <c r="G31" s="56"/>
      <c r="H31" s="79"/>
      <c r="I31" s="8"/>
      <c r="J31" s="79"/>
      <c r="K31" s="8"/>
      <c r="L31" s="79">
        <f>F31</f>
        <v>4641.62</v>
      </c>
      <c r="M31" s="8"/>
      <c r="N31" s="79"/>
      <c r="P31" s="79"/>
    </row>
    <row r="32" spans="2:16" x14ac:dyDescent="0.25">
      <c r="G32" s="56"/>
      <c r="H32" s="8"/>
      <c r="I32" s="8"/>
      <c r="J32" s="8"/>
      <c r="K32" s="8"/>
      <c r="L32" s="8"/>
      <c r="M32" s="8"/>
      <c r="N32" s="8"/>
    </row>
    <row r="33" spans="2:16" x14ac:dyDescent="0.25">
      <c r="B33" s="53" t="s">
        <v>20</v>
      </c>
      <c r="C33" s="53"/>
      <c r="D33" s="53"/>
      <c r="G33" s="56"/>
      <c r="H33" s="8"/>
      <c r="I33" s="8"/>
      <c r="J33" s="8"/>
      <c r="K33" s="8"/>
      <c r="L33" s="8"/>
      <c r="M33" s="8"/>
      <c r="N33" s="8"/>
    </row>
    <row r="34" spans="2:16" x14ac:dyDescent="0.25">
      <c r="C34" t="s">
        <v>249</v>
      </c>
      <c r="F34" s="112">
        <v>105</v>
      </c>
      <c r="G34" s="56"/>
      <c r="H34" s="79"/>
      <c r="I34" s="8"/>
      <c r="J34" s="79"/>
      <c r="K34" s="8"/>
      <c r="L34" s="79"/>
      <c r="M34" s="8"/>
      <c r="N34" s="79"/>
      <c r="P34" s="79">
        <f>+F34</f>
        <v>105</v>
      </c>
    </row>
    <row r="35" spans="2:16" x14ac:dyDescent="0.25">
      <c r="C35" t="s">
        <v>250</v>
      </c>
      <c r="F35" s="112">
        <v>458.5</v>
      </c>
      <c r="G35" s="56"/>
      <c r="H35" s="79"/>
      <c r="I35" s="8"/>
      <c r="J35" s="79"/>
      <c r="K35" s="8"/>
      <c r="L35" s="79"/>
      <c r="M35" s="8"/>
      <c r="N35" s="79"/>
      <c r="P35" s="79">
        <f>+F35</f>
        <v>458.5</v>
      </c>
    </row>
    <row r="36" spans="2:16" x14ac:dyDescent="0.25">
      <c r="C36" t="s">
        <v>119</v>
      </c>
      <c r="F36" s="112">
        <v>466.94</v>
      </c>
      <c r="G36" s="56"/>
      <c r="H36" s="79">
        <f>F36</f>
        <v>466.94</v>
      </c>
      <c r="I36" s="8"/>
      <c r="J36" s="79"/>
      <c r="K36" s="8"/>
      <c r="L36" s="79"/>
      <c r="M36" s="8"/>
      <c r="N36" s="79"/>
      <c r="P36" s="79"/>
    </row>
    <row r="37" spans="2:16" x14ac:dyDescent="0.25">
      <c r="C37" t="s">
        <v>120</v>
      </c>
      <c r="F37" s="112">
        <v>194.98</v>
      </c>
      <c r="G37" s="56"/>
      <c r="H37" s="79"/>
      <c r="I37" s="8"/>
      <c r="J37" s="79">
        <f>F37</f>
        <v>194.98</v>
      </c>
      <c r="K37" s="8"/>
      <c r="L37" s="79"/>
      <c r="M37" s="8"/>
      <c r="N37" s="79"/>
      <c r="P37" s="79"/>
    </row>
    <row r="38" spans="2:16" x14ac:dyDescent="0.25">
      <c r="C38" t="s">
        <v>126</v>
      </c>
      <c r="F38" s="112">
        <v>0</v>
      </c>
      <c r="G38" s="56"/>
      <c r="H38" s="79"/>
      <c r="I38" s="8"/>
      <c r="J38" s="79"/>
      <c r="K38" s="8"/>
      <c r="L38" s="79"/>
      <c r="M38" s="8"/>
      <c r="N38" s="79">
        <f>F38</f>
        <v>0</v>
      </c>
      <c r="P38" s="79"/>
    </row>
    <row r="39" spans="2:16" x14ac:dyDescent="0.25">
      <c r="C39" t="s">
        <v>121</v>
      </c>
      <c r="F39" s="112">
        <v>2445.61</v>
      </c>
      <c r="G39" s="56"/>
      <c r="H39" s="79"/>
      <c r="I39" s="8"/>
      <c r="J39" s="79"/>
      <c r="K39" s="8"/>
      <c r="L39" s="79">
        <f>F39</f>
        <v>2445.61</v>
      </c>
      <c r="M39" s="8"/>
      <c r="N39" s="79"/>
      <c r="P39" s="79"/>
    </row>
    <row r="40" spans="2:16" x14ac:dyDescent="0.25">
      <c r="G40" s="56"/>
      <c r="H40" s="8"/>
      <c r="I40" s="8"/>
      <c r="J40" s="8"/>
      <c r="K40" s="8"/>
      <c r="L40" s="8"/>
      <c r="M40" s="8"/>
      <c r="N40" s="8"/>
    </row>
    <row r="41" spans="2:16" x14ac:dyDescent="0.25">
      <c r="B41" s="53" t="s">
        <v>21</v>
      </c>
      <c r="C41" s="53"/>
      <c r="D41" s="53"/>
      <c r="G41" s="56"/>
      <c r="H41" s="8"/>
      <c r="I41" s="8"/>
      <c r="J41" s="8"/>
      <c r="K41" s="8"/>
      <c r="L41" s="8"/>
      <c r="M41" s="8"/>
      <c r="N41" s="8"/>
    </row>
    <row r="42" spans="2:16" x14ac:dyDescent="0.25">
      <c r="C42" t="s">
        <v>23</v>
      </c>
      <c r="F42" s="112">
        <v>23167</v>
      </c>
      <c r="G42" s="56"/>
      <c r="H42" s="79">
        <f>F42</f>
        <v>23167</v>
      </c>
      <c r="I42" s="8"/>
      <c r="J42" s="79"/>
      <c r="K42" s="8"/>
      <c r="L42" s="79"/>
      <c r="M42" s="8"/>
      <c r="N42" s="79"/>
      <c r="P42" s="79"/>
    </row>
    <row r="43" spans="2:16" x14ac:dyDescent="0.25">
      <c r="C43" t="s">
        <v>22</v>
      </c>
      <c r="F43" s="112">
        <v>244.08</v>
      </c>
      <c r="G43" s="56"/>
      <c r="H43" s="79"/>
      <c r="I43" s="8"/>
      <c r="J43" s="79">
        <f>F43</f>
        <v>244.08</v>
      </c>
      <c r="K43" s="8"/>
      <c r="L43" s="79"/>
      <c r="M43" s="8"/>
      <c r="N43" s="79"/>
      <c r="P43" s="79"/>
    </row>
    <row r="44" spans="2:16" x14ac:dyDescent="0.25">
      <c r="C44" t="s">
        <v>127</v>
      </c>
      <c r="F44" s="112">
        <v>1745.87</v>
      </c>
      <c r="G44" s="56"/>
      <c r="H44" s="79"/>
      <c r="I44" s="8"/>
      <c r="J44" s="79"/>
      <c r="K44" s="8"/>
      <c r="L44" s="79"/>
      <c r="M44" s="8"/>
      <c r="N44" s="79">
        <f>F44</f>
        <v>1745.87</v>
      </c>
      <c r="P44" s="79"/>
    </row>
    <row r="45" spans="2:16" x14ac:dyDescent="0.25">
      <c r="C45" t="s">
        <v>24</v>
      </c>
      <c r="F45" s="112">
        <v>19655.03</v>
      </c>
      <c r="G45" s="56"/>
      <c r="H45" s="79"/>
      <c r="I45" s="8"/>
      <c r="J45" s="79"/>
      <c r="K45" s="8"/>
      <c r="L45" s="79">
        <f>F45</f>
        <v>19655.03</v>
      </c>
      <c r="M45" s="8"/>
      <c r="N45" s="79"/>
      <c r="P45" s="79"/>
    </row>
    <row r="46" spans="2:16" x14ac:dyDescent="0.25">
      <c r="G46" s="56"/>
      <c r="H46" s="8"/>
      <c r="I46" s="8"/>
      <c r="J46" s="8"/>
      <c r="K46" s="8"/>
      <c r="L46" s="8"/>
      <c r="M46" s="8"/>
      <c r="N46" s="8"/>
    </row>
    <row r="47" spans="2:16" x14ac:dyDescent="0.25">
      <c r="B47" s="53" t="s">
        <v>222</v>
      </c>
      <c r="C47" s="53"/>
      <c r="D47" s="53"/>
      <c r="G47" s="56"/>
      <c r="H47" s="8"/>
      <c r="I47" s="8"/>
      <c r="J47" s="8"/>
      <c r="K47" s="8"/>
      <c r="L47" s="8"/>
      <c r="M47" s="8"/>
      <c r="N47" s="8"/>
    </row>
    <row r="48" spans="2:16" x14ac:dyDescent="0.25">
      <c r="C48" t="s">
        <v>223</v>
      </c>
      <c r="F48" s="112">
        <v>34.5</v>
      </c>
      <c r="G48" s="56"/>
      <c r="H48" s="79">
        <f>F48</f>
        <v>34.5</v>
      </c>
      <c r="I48" s="8"/>
      <c r="J48" s="79"/>
      <c r="K48" s="8"/>
      <c r="L48" s="79"/>
      <c r="M48" s="8"/>
      <c r="N48" s="79"/>
      <c r="P48" s="79"/>
    </row>
    <row r="49" spans="1:16" x14ac:dyDescent="0.25">
      <c r="C49" t="s">
        <v>224</v>
      </c>
      <c r="F49" s="112">
        <v>4560.96</v>
      </c>
      <c r="G49" s="56"/>
      <c r="H49" s="79"/>
      <c r="I49" s="8"/>
      <c r="J49" s="79">
        <f>F49</f>
        <v>4560.96</v>
      </c>
      <c r="K49" s="8"/>
      <c r="L49" s="79"/>
      <c r="M49" s="8"/>
      <c r="N49" s="79"/>
      <c r="P49" s="79"/>
    </row>
    <row r="50" spans="1:16" x14ac:dyDescent="0.25">
      <c r="C50" t="s">
        <v>225</v>
      </c>
      <c r="F50" s="112">
        <v>0</v>
      </c>
      <c r="G50" s="56"/>
      <c r="H50" s="79"/>
      <c r="I50" s="8"/>
      <c r="J50" s="79"/>
      <c r="K50" s="8"/>
      <c r="L50" s="79"/>
      <c r="M50" s="8"/>
      <c r="N50" s="79">
        <f>F50</f>
        <v>0</v>
      </c>
      <c r="P50" s="79"/>
    </row>
    <row r="51" spans="1:16" x14ac:dyDescent="0.25">
      <c r="C51" t="s">
        <v>226</v>
      </c>
      <c r="F51" s="112">
        <v>360</v>
      </c>
      <c r="G51" s="56"/>
      <c r="H51" s="79"/>
      <c r="I51" s="8"/>
      <c r="J51" s="79"/>
      <c r="K51" s="8"/>
      <c r="L51" s="79">
        <f>F51</f>
        <v>360</v>
      </c>
      <c r="M51" s="8"/>
      <c r="N51" s="79"/>
      <c r="P51" s="79"/>
    </row>
    <row r="52" spans="1:16" x14ac:dyDescent="0.25">
      <c r="F52" s="134"/>
      <c r="G52" s="56"/>
      <c r="H52" s="8"/>
      <c r="I52" s="8"/>
      <c r="J52" s="8"/>
      <c r="K52" s="8"/>
      <c r="L52" s="8"/>
      <c r="M52" s="8"/>
      <c r="N52" s="8"/>
    </row>
    <row r="53" spans="1:16" x14ac:dyDescent="0.25">
      <c r="B53" s="53" t="s">
        <v>227</v>
      </c>
      <c r="C53" s="53"/>
      <c r="D53" s="53"/>
      <c r="F53" s="134"/>
      <c r="G53" s="56"/>
      <c r="H53" s="8"/>
      <c r="I53" s="8"/>
      <c r="J53" s="8"/>
      <c r="K53" s="8"/>
      <c r="L53" s="8"/>
      <c r="M53" s="8"/>
      <c r="N53" s="8"/>
    </row>
    <row r="54" spans="1:16" x14ac:dyDescent="0.25">
      <c r="C54" t="s">
        <v>228</v>
      </c>
      <c r="F54" s="112">
        <v>3119.09</v>
      </c>
      <c r="G54" s="56"/>
      <c r="H54" s="79">
        <f>F54</f>
        <v>3119.09</v>
      </c>
      <c r="I54" s="8"/>
      <c r="J54" s="79"/>
      <c r="K54" s="8"/>
      <c r="L54" s="79"/>
      <c r="M54" s="8"/>
      <c r="N54" s="79"/>
      <c r="P54" s="79"/>
    </row>
    <row r="55" spans="1:16" x14ac:dyDescent="0.25">
      <c r="C55" t="s">
        <v>229</v>
      </c>
      <c r="F55" s="112">
        <v>683.65</v>
      </c>
      <c r="G55" s="56"/>
      <c r="H55" s="79"/>
      <c r="I55" s="8"/>
      <c r="J55" s="79">
        <f>F55</f>
        <v>683.65</v>
      </c>
      <c r="K55" s="8"/>
      <c r="L55" s="79"/>
      <c r="M55" s="8"/>
      <c r="N55" s="79"/>
      <c r="P55" s="79"/>
    </row>
    <row r="56" spans="1:16" x14ac:dyDescent="0.25">
      <c r="C56" t="s">
        <v>230</v>
      </c>
      <c r="F56" s="112">
        <v>0</v>
      </c>
      <c r="G56" s="56"/>
      <c r="H56" s="79"/>
      <c r="I56" s="8"/>
      <c r="J56" s="79"/>
      <c r="K56" s="8"/>
      <c r="L56" s="79"/>
      <c r="M56" s="8"/>
      <c r="N56" s="79">
        <f>F56</f>
        <v>0</v>
      </c>
      <c r="P56" s="79"/>
    </row>
    <row r="57" spans="1:16" x14ac:dyDescent="0.25">
      <c r="C57" t="s">
        <v>231</v>
      </c>
      <c r="F57" s="112">
        <v>26200.13</v>
      </c>
      <c r="G57" s="56"/>
      <c r="H57" s="79"/>
      <c r="I57" s="8"/>
      <c r="J57" s="79"/>
      <c r="K57" s="8"/>
      <c r="L57" s="79">
        <f>F57</f>
        <v>26200.13</v>
      </c>
      <c r="M57" s="8"/>
      <c r="N57" s="79"/>
      <c r="P57" s="79"/>
    </row>
    <row r="58" spans="1:16" x14ac:dyDescent="0.25">
      <c r="F58" s="134"/>
      <c r="G58" s="56"/>
      <c r="H58" s="8"/>
      <c r="I58" s="8"/>
      <c r="J58" s="8"/>
      <c r="K58" s="8"/>
      <c r="L58" s="8"/>
      <c r="M58" s="8"/>
      <c r="N58" s="8"/>
    </row>
    <row r="59" spans="1:16" x14ac:dyDescent="0.25">
      <c r="F59" s="113">
        <f>SUM(F7:F57)</f>
        <v>273666.57999999996</v>
      </c>
      <c r="G59" s="57"/>
      <c r="H59" s="113">
        <f>SUM(H7:H57)</f>
        <v>44773.119999999995</v>
      </c>
      <c r="I59" s="23"/>
      <c r="J59" s="113">
        <f>SUM(J7:J57)</f>
        <v>17322.88</v>
      </c>
      <c r="K59" s="23"/>
      <c r="L59" s="113">
        <f>SUM(L7:L57)</f>
        <v>202247.06999999998</v>
      </c>
      <c r="M59" s="23"/>
      <c r="N59" s="113">
        <f>SUM(N7:N57)</f>
        <v>6487.55</v>
      </c>
      <c r="P59" s="113">
        <f>SUM(P7:P57)</f>
        <v>2835.96</v>
      </c>
    </row>
    <row r="60" spans="1:16" x14ac:dyDescent="0.25">
      <c r="G60" s="6"/>
      <c r="H60" s="6"/>
      <c r="I60" s="6"/>
      <c r="J60" s="6"/>
      <c r="K60" s="6"/>
      <c r="L60" s="6"/>
      <c r="M60" s="6"/>
      <c r="N60" s="6"/>
    </row>
    <row r="61" spans="1:16" x14ac:dyDescent="0.25">
      <c r="A61" s="16" t="s">
        <v>95</v>
      </c>
      <c r="G61" s="6"/>
      <c r="H61" s="6"/>
      <c r="I61" s="6"/>
      <c r="J61" s="6"/>
      <c r="K61" s="6"/>
      <c r="L61" s="6"/>
      <c r="M61" s="6"/>
      <c r="N61" s="6"/>
    </row>
    <row r="62" spans="1:16" x14ac:dyDescent="0.25">
      <c r="D62" s="16" t="s">
        <v>161</v>
      </c>
      <c r="G62" s="6"/>
      <c r="H62" s="6"/>
      <c r="I62" s="6"/>
      <c r="J62" s="6"/>
      <c r="K62" s="6"/>
      <c r="L62" s="6"/>
      <c r="M62" s="6"/>
      <c r="N62" s="6" t="s">
        <v>236</v>
      </c>
      <c r="P62" t="s">
        <v>235</v>
      </c>
    </row>
    <row r="63" spans="1:16" x14ac:dyDescent="0.25">
      <c r="D63" s="16" t="s">
        <v>159</v>
      </c>
      <c r="F63" s="115">
        <v>34788.82</v>
      </c>
      <c r="G63" s="6"/>
      <c r="H63" s="6" t="s">
        <v>163</v>
      </c>
      <c r="I63" s="6"/>
      <c r="J63" s="6"/>
      <c r="K63" s="6"/>
      <c r="L63" s="6" t="s">
        <v>10</v>
      </c>
      <c r="M63" s="6"/>
      <c r="N63" s="60">
        <f>+Oklahoma!F42</f>
        <v>332536.04928702547</v>
      </c>
      <c r="P63" s="60">
        <f>+L59+'Allocation Charges'!L21</f>
        <v>332536.04928702547</v>
      </c>
    </row>
    <row r="64" spans="1:16" x14ac:dyDescent="0.25">
      <c r="B64" s="16"/>
      <c r="D64" t="s">
        <v>155</v>
      </c>
      <c r="F64" s="102">
        <f>+F59</f>
        <v>273666.57999999996</v>
      </c>
      <c r="G64" s="6"/>
      <c r="H64" s="6"/>
      <c r="I64" s="6"/>
      <c r="J64" s="6"/>
      <c r="K64" s="6"/>
      <c r="L64" s="6" t="s">
        <v>12</v>
      </c>
      <c r="M64" s="6"/>
      <c r="N64" s="60">
        <f>+Kentucky!F39</f>
        <v>81320</v>
      </c>
      <c r="P64" s="60">
        <f>+H59+'Allocation Charges'!H21</f>
        <v>81314.288630463707</v>
      </c>
    </row>
    <row r="65" spans="4:16" x14ac:dyDescent="0.25">
      <c r="D65" t="s">
        <v>156</v>
      </c>
      <c r="F65" s="102">
        <f>+'Allocation Charges'!F21</f>
        <v>188502.13</v>
      </c>
      <c r="G65" s="8"/>
      <c r="H65" s="8"/>
      <c r="I65" s="8"/>
      <c r="J65" s="8"/>
      <c r="K65" s="8"/>
      <c r="L65" s="8" t="s">
        <v>11</v>
      </c>
      <c r="M65" s="8"/>
      <c r="N65" s="60">
        <f>+Tennessee!F40</f>
        <v>34392</v>
      </c>
      <c r="P65" s="60">
        <f>+J59+'Allocation Charges'!J21</f>
        <v>34385.761988279344</v>
      </c>
    </row>
    <row r="66" spans="4:16" x14ac:dyDescent="0.25">
      <c r="D66" t="s">
        <v>50</v>
      </c>
      <c r="F66" s="102">
        <f>SUM(F63:F65)</f>
        <v>496957.52999999997</v>
      </c>
      <c r="G66" s="8"/>
      <c r="H66" s="8"/>
      <c r="I66" s="8"/>
      <c r="J66" s="8"/>
      <c r="K66" s="8"/>
      <c r="L66" s="8" t="s">
        <v>122</v>
      </c>
      <c r="M66" s="8"/>
      <c r="N66" s="60">
        <f>+'Commodity Texas'!F40</f>
        <v>11102</v>
      </c>
      <c r="P66" s="60">
        <f>+N59+'Allocation Charges'!N21</f>
        <v>11096.650094231456</v>
      </c>
    </row>
    <row r="67" spans="4:16" x14ac:dyDescent="0.25">
      <c r="D67" s="16" t="s">
        <v>157</v>
      </c>
      <c r="F67" s="115">
        <v>496957.53</v>
      </c>
      <c r="G67" s="8"/>
      <c r="H67" s="6" t="s">
        <v>163</v>
      </c>
      <c r="I67" s="8"/>
      <c r="J67" s="8"/>
      <c r="K67" s="8"/>
      <c r="L67" s="8" t="s">
        <v>246</v>
      </c>
      <c r="M67" s="8"/>
      <c r="N67" s="60">
        <f>+'NC Hydro'!F14</f>
        <v>2835.96</v>
      </c>
      <c r="P67" s="60">
        <f>+P59</f>
        <v>2835.96</v>
      </c>
    </row>
    <row r="68" spans="4:16" x14ac:dyDescent="0.25">
      <c r="D68" t="s">
        <v>158</v>
      </c>
      <c r="F68" s="102">
        <f>+F66-F67</f>
        <v>0</v>
      </c>
      <c r="G68" s="8"/>
      <c r="H68" s="8"/>
      <c r="I68" s="8"/>
      <c r="J68" s="8"/>
      <c r="K68" s="8"/>
      <c r="L68" s="8" t="s">
        <v>234</v>
      </c>
      <c r="M68" s="8"/>
      <c r="N68" s="60">
        <f>SUM(N63:N67)</f>
        <v>462186.00928702549</v>
      </c>
      <c r="P68" s="60">
        <f>SUM(P63:P67)</f>
        <v>462168.71</v>
      </c>
    </row>
    <row r="69" spans="4:16" x14ac:dyDescent="0.25">
      <c r="G69" s="8"/>
      <c r="H69" s="8"/>
      <c r="I69" s="8"/>
      <c r="J69" s="8"/>
      <c r="K69" s="8"/>
      <c r="L69" s="8" t="s">
        <v>158</v>
      </c>
      <c r="M69" s="8"/>
      <c r="N69" s="8">
        <f>+F65+F64-N68</f>
        <v>-17.2992870255257</v>
      </c>
      <c r="P69" s="55">
        <f>+F64+F65-P68</f>
        <v>0</v>
      </c>
    </row>
    <row r="70" spans="4:16" x14ac:dyDescent="0.25">
      <c r="F70" s="103"/>
      <c r="G70" s="23"/>
      <c r="H70" s="23"/>
      <c r="I70" s="23"/>
      <c r="J70" s="23"/>
      <c r="K70" s="23"/>
      <c r="L70" s="8"/>
      <c r="M70" s="8"/>
      <c r="N70" s="8"/>
    </row>
    <row r="71" spans="4:16" x14ac:dyDescent="0.25">
      <c r="L71" s="23"/>
      <c r="M71" s="23"/>
      <c r="N71" s="23"/>
    </row>
  </sheetData>
  <pageMargins left="0.7" right="0.7" top="0.75" bottom="0.75" header="0.3" footer="0.3"/>
  <pageSetup scale="40" orientation="portrait" horizontalDpi="4294967295" verticalDpi="4294967295" r:id="rId1"/>
  <headerFooter>
    <oddHeader xml:space="preserve">&amp;C&amp;"-,Bold"Monthly System Billing 
</oddHeader>
    <oddFooter>&amp;C&amp;Z&amp;F&amp;R&amp;D&amp;T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AA851-8CED-47F1-8227-E1C86B81661F}">
  <sheetPr>
    <tabColor rgb="FF92D050"/>
  </sheetPr>
  <dimension ref="A1:J29"/>
  <sheetViews>
    <sheetView workbookViewId="0">
      <selection activeCell="I25" sqref="I25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44926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218</v>
      </c>
      <c r="B3" s="102">
        <v>977100</v>
      </c>
      <c r="C3" s="103">
        <f>+G19</f>
        <v>15441869</v>
      </c>
      <c r="D3" s="102">
        <f>1737573+130916</f>
        <v>1868489</v>
      </c>
      <c r="E3" s="134">
        <f>3388099+2869755</f>
        <v>6257854</v>
      </c>
      <c r="F3" s="102">
        <f>565000+488305</f>
        <v>1053305</v>
      </c>
      <c r="G3" s="103">
        <f>SUM(B3:F3)</f>
        <v>25598617</v>
      </c>
      <c r="I3" s="102"/>
      <c r="J3" s="81"/>
    </row>
    <row r="4" spans="1:10" x14ac:dyDescent="0.25">
      <c r="A4" t="s">
        <v>219</v>
      </c>
      <c r="B4" s="102"/>
      <c r="C4" s="102">
        <f>+C3</f>
        <v>15441869</v>
      </c>
      <c r="D4" s="102">
        <f t="shared" ref="D4:F4" si="0">+D3</f>
        <v>1868489</v>
      </c>
      <c r="E4" s="134">
        <f t="shared" si="0"/>
        <v>6257854</v>
      </c>
      <c r="F4" s="102">
        <f t="shared" si="0"/>
        <v>1053305</v>
      </c>
      <c r="G4" s="102">
        <f>SUM(B4:F4)</f>
        <v>24621517</v>
      </c>
    </row>
    <row r="5" spans="1:10" x14ac:dyDescent="0.25">
      <c r="A5" s="117" t="s">
        <v>170</v>
      </c>
      <c r="B5" s="102"/>
      <c r="C5" s="135">
        <f>+C4/$G$4</f>
        <v>0.62716968251793748</v>
      </c>
      <c r="D5" s="135">
        <f>+D4/$G$4</f>
        <v>7.5888459675331948E-2</v>
      </c>
      <c r="E5" s="235">
        <f>+E4/$G$4</f>
        <v>0.25416199984753174</v>
      </c>
      <c r="F5" s="135">
        <f>+F4/$G$4</f>
        <v>4.2779857959198857E-2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267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3957</v>
      </c>
      <c r="D8" s="118">
        <v>568</v>
      </c>
      <c r="E8" s="118">
        <v>734</v>
      </c>
      <c r="F8" s="118">
        <v>5</v>
      </c>
      <c r="G8" s="118">
        <f>SUM(C8:F8)</f>
        <v>5264</v>
      </c>
      <c r="I8" s="118"/>
      <c r="J8" s="81"/>
    </row>
    <row r="9" spans="1:10" x14ac:dyDescent="0.25">
      <c r="C9" s="125">
        <f>+C8/$G$8</f>
        <v>0.75170972644376899</v>
      </c>
      <c r="D9" s="125">
        <f t="shared" ref="D9:F9" si="1">+D8/$G$8</f>
        <v>0.10790273556231003</v>
      </c>
      <c r="E9" s="125">
        <f t="shared" si="1"/>
        <v>0.13943768996960487</v>
      </c>
      <c r="F9" s="125">
        <f t="shared" si="1"/>
        <v>9.4984802431610945E-4</v>
      </c>
      <c r="G9" s="65">
        <f>SUM(C9:F9)</f>
        <v>0.99999999999999989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220</v>
      </c>
      <c r="C12" s="142">
        <f>+C5*0.5</f>
        <v>0.31358484125896874</v>
      </c>
      <c r="D12" s="142">
        <f>+D5*0.5</f>
        <v>3.7944229837665974E-2</v>
      </c>
      <c r="E12" s="142">
        <f>+E5*0.5</f>
        <v>0.12708099992376587</v>
      </c>
      <c r="F12" s="142">
        <f>+F5*0.5</f>
        <v>2.1389928979599428E-2</v>
      </c>
      <c r="H12" s="143"/>
    </row>
    <row r="13" spans="1:10" x14ac:dyDescent="0.25">
      <c r="A13" s="141" t="s">
        <v>173</v>
      </c>
      <c r="C13" s="142">
        <f>+C9*0.5</f>
        <v>0.37585486322188449</v>
      </c>
      <c r="D13" s="142">
        <f t="shared" ref="D13:F13" si="2">+D9*0.5</f>
        <v>5.3951367781155016E-2</v>
      </c>
      <c r="E13" s="142">
        <f t="shared" si="2"/>
        <v>6.9718844984802436E-2</v>
      </c>
      <c r="F13" s="142">
        <f t="shared" si="2"/>
        <v>4.7492401215805472E-4</v>
      </c>
      <c r="H13" s="143"/>
    </row>
    <row r="14" spans="1:10" x14ac:dyDescent="0.25">
      <c r="A14" s="144" t="s">
        <v>50</v>
      </c>
      <c r="B14" s="127"/>
      <c r="C14" s="145">
        <f>+C12+C13</f>
        <v>0.68943970448085323</v>
      </c>
      <c r="D14" s="145">
        <f>+D12+D13</f>
        <v>9.189559761882099E-2</v>
      </c>
      <c r="E14" s="145">
        <f t="shared" ref="E14:F14" si="3">+E12+E13</f>
        <v>0.19679984490856831</v>
      </c>
      <c r="F14" s="145">
        <f t="shared" si="3"/>
        <v>2.1864852991757482E-2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44926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221</v>
      </c>
      <c r="B19" s="102"/>
      <c r="C19" s="102">
        <f>5547916+3112768</f>
        <v>8660684</v>
      </c>
      <c r="D19" s="102">
        <f>1739615+979224</f>
        <v>2718839</v>
      </c>
      <c r="E19" s="102">
        <f>378422+623809+413143</f>
        <v>1415374</v>
      </c>
      <c r="F19" s="102">
        <f>51876+321665+2273431</f>
        <v>2646972</v>
      </c>
      <c r="G19" s="103">
        <f>SUM(B19:F19)</f>
        <v>15441869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0.56085723820089395</v>
      </c>
      <c r="D20" s="65">
        <f>+D19/$G$19</f>
        <v>0.17606929575688021</v>
      </c>
      <c r="E20" s="65">
        <f>+E19/$G$19</f>
        <v>9.1658205363612397E-2</v>
      </c>
      <c r="F20" s="65">
        <f>+F19/$G$19</f>
        <v>0.17141526067861346</v>
      </c>
      <c r="G20" s="65">
        <f>SUM(C20:F20)</f>
        <v>1</v>
      </c>
    </row>
    <row r="22" spans="1:10" x14ac:dyDescent="0.25">
      <c r="A22" t="s">
        <v>267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1974</v>
      </c>
      <c r="D23" s="137">
        <v>1824</v>
      </c>
      <c r="E23" s="137">
        <v>132</v>
      </c>
      <c r="F23" s="137">
        <v>27</v>
      </c>
      <c r="G23" s="126">
        <f>SUM(C23:F23)</f>
        <v>3957</v>
      </c>
      <c r="I23" s="118"/>
      <c r="J23" s="81"/>
    </row>
    <row r="24" spans="1:10" x14ac:dyDescent="0.25">
      <c r="C24" s="125">
        <f>+C23/$G$23</f>
        <v>0.49886277482941621</v>
      </c>
      <c r="D24" s="125">
        <f>+D23/$G$23</f>
        <v>0.46095526914329038</v>
      </c>
      <c r="E24" s="125">
        <f>+E23/$G$23</f>
        <v>3.3358605003790752E-2</v>
      </c>
      <c r="F24" s="125">
        <f>+F23/$G$23</f>
        <v>6.8233510235026539E-3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220</v>
      </c>
      <c r="C27" s="65">
        <f>+C20*0.5</f>
        <v>0.28042861910044697</v>
      </c>
      <c r="D27" s="65">
        <f>+D20*0.5</f>
        <v>8.8034647878440106E-2</v>
      </c>
      <c r="E27" s="65">
        <f>+E20*0.5</f>
        <v>4.5829102681806198E-2</v>
      </c>
      <c r="F27" s="65">
        <f>+F20*0.5</f>
        <v>8.5707630339306728E-2</v>
      </c>
    </row>
    <row r="28" spans="1:10" x14ac:dyDescent="0.25">
      <c r="A28" t="s">
        <v>173</v>
      </c>
      <c r="C28" s="65">
        <f>+C24*0.5</f>
        <v>0.24943138741470811</v>
      </c>
      <c r="D28" s="65">
        <f t="shared" ref="D28:F28" si="4">+D24*0.5</f>
        <v>0.23047763457164519</v>
      </c>
      <c r="E28" s="65">
        <f t="shared" si="4"/>
        <v>1.6679302501895376E-2</v>
      </c>
      <c r="F28" s="65">
        <f t="shared" si="4"/>
        <v>3.4116755117513269E-3</v>
      </c>
    </row>
    <row r="29" spans="1:10" x14ac:dyDescent="0.25">
      <c r="A29" s="127" t="s">
        <v>50</v>
      </c>
      <c r="B29" s="127"/>
      <c r="C29" s="128">
        <f>+C27+C28</f>
        <v>0.52986000651515508</v>
      </c>
      <c r="D29" s="128">
        <f t="shared" ref="D29:F29" si="5">+D27+D28</f>
        <v>0.31851228245008528</v>
      </c>
      <c r="E29" s="128">
        <f t="shared" si="5"/>
        <v>6.2508405183701571E-2</v>
      </c>
      <c r="F29" s="128">
        <f t="shared" si="5"/>
        <v>8.9119305851058053E-2</v>
      </c>
      <c r="G29" s="129">
        <f>SUM(C29:F29)</f>
        <v>1</v>
      </c>
    </row>
  </sheetData>
  <pageMargins left="0.7" right="0.7" top="0.75" bottom="0.75" header="0.3" footer="0.3"/>
  <pageSetup orientation="landscape" r:id="rId1"/>
  <headerFooter>
    <oddFooter>&amp;C&amp;Z&amp;F&amp;R&amp;D&amp;T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5AFB9-636C-40A3-BD64-6D90B8A225A6}">
  <dimension ref="A1:J29"/>
  <sheetViews>
    <sheetView workbookViewId="0">
      <selection activeCell="C19" sqref="C19"/>
    </sheetView>
  </sheetViews>
  <sheetFormatPr defaultRowHeight="15" x14ac:dyDescent="0.25"/>
  <cols>
    <col min="1" max="1" width="26.28515625" customWidth="1"/>
    <col min="2" max="2" width="13.28515625" bestFit="1" customWidth="1"/>
    <col min="3" max="4" width="14.28515625" bestFit="1" customWidth="1"/>
    <col min="5" max="6" width="13.28515625" bestFit="1" customWidth="1"/>
    <col min="7" max="7" width="14.28515625" bestFit="1" customWidth="1"/>
    <col min="9" max="9" width="13.28515625" bestFit="1" customWidth="1"/>
  </cols>
  <sheetData>
    <row r="1" spans="1:10" x14ac:dyDescent="0.25">
      <c r="A1" s="119" t="s">
        <v>166</v>
      </c>
    </row>
    <row r="2" spans="1:10" x14ac:dyDescent="0.25">
      <c r="A2" s="179">
        <v>44926</v>
      </c>
      <c r="B2" t="s">
        <v>167</v>
      </c>
      <c r="C2" t="s">
        <v>33</v>
      </c>
      <c r="D2" t="s">
        <v>168</v>
      </c>
      <c r="E2" t="s">
        <v>169</v>
      </c>
      <c r="F2" t="s">
        <v>122</v>
      </c>
      <c r="G2" t="s">
        <v>50</v>
      </c>
    </row>
    <row r="3" spans="1:10" x14ac:dyDescent="0.25">
      <c r="A3" t="s">
        <v>218</v>
      </c>
      <c r="B3" s="102">
        <v>977100</v>
      </c>
      <c r="C3" s="103">
        <f>+G19</f>
        <v>14893376</v>
      </c>
      <c r="D3" s="102">
        <f>1737573+127210</f>
        <v>1864783</v>
      </c>
      <c r="E3" s="134">
        <f>3388099+2860744</f>
        <v>6248843</v>
      </c>
      <c r="F3" s="102">
        <f>565000+488305</f>
        <v>1053305</v>
      </c>
      <c r="G3" s="103">
        <f>SUM(B3:F3)</f>
        <v>25037407</v>
      </c>
      <c r="I3" s="102"/>
      <c r="J3" s="81"/>
    </row>
    <row r="4" spans="1:10" x14ac:dyDescent="0.25">
      <c r="A4" t="s">
        <v>219</v>
      </c>
      <c r="B4" s="102"/>
      <c r="C4" s="102">
        <f>+C3</f>
        <v>14893376</v>
      </c>
      <c r="D4" s="102">
        <f t="shared" ref="D4:F4" si="0">+D3</f>
        <v>1864783</v>
      </c>
      <c r="E4" s="134">
        <f t="shared" si="0"/>
        <v>6248843</v>
      </c>
      <c r="F4" s="102">
        <f t="shared" si="0"/>
        <v>1053305</v>
      </c>
      <c r="G4" s="102">
        <f>SUM(B4:F4)</f>
        <v>24060307</v>
      </c>
    </row>
    <row r="5" spans="1:10" x14ac:dyDescent="0.25">
      <c r="A5" s="117" t="s">
        <v>170</v>
      </c>
      <c r="B5" s="102"/>
      <c r="C5" s="135">
        <f>+C4/$G$4</f>
        <v>0.61900191049100084</v>
      </c>
      <c r="D5" s="135">
        <f>+D4/$G$4</f>
        <v>7.7504538907171877E-2</v>
      </c>
      <c r="E5" s="235">
        <f>+E4/$G$4</f>
        <v>0.25971584651850038</v>
      </c>
      <c r="F5" s="135">
        <f>+F4/$G$4</f>
        <v>4.377770408332695E-2</v>
      </c>
      <c r="G5" s="135">
        <f>SUM(C5:F5)</f>
        <v>1</v>
      </c>
    </row>
    <row r="6" spans="1:10" x14ac:dyDescent="0.25">
      <c r="B6" s="102"/>
      <c r="C6" s="102"/>
      <c r="D6" s="102"/>
      <c r="E6" s="134"/>
      <c r="F6" s="102"/>
      <c r="G6" s="102"/>
    </row>
    <row r="7" spans="1:10" x14ac:dyDescent="0.25">
      <c r="A7" s="16" t="s">
        <v>259</v>
      </c>
      <c r="B7" s="102"/>
      <c r="C7" s="102"/>
      <c r="D7" s="102"/>
      <c r="E7" s="134"/>
      <c r="F7" s="102"/>
      <c r="G7" s="102"/>
    </row>
    <row r="8" spans="1:10" x14ac:dyDescent="0.25">
      <c r="A8" t="s">
        <v>171</v>
      </c>
      <c r="C8" s="126">
        <f>+G23</f>
        <v>3887</v>
      </c>
      <c r="D8" s="118">
        <v>559</v>
      </c>
      <c r="E8" s="118">
        <v>701</v>
      </c>
      <c r="F8" s="118">
        <v>4</v>
      </c>
      <c r="G8" s="118">
        <f>SUM(C8:F8)</f>
        <v>5151</v>
      </c>
      <c r="I8" s="118"/>
      <c r="J8" s="81"/>
    </row>
    <row r="9" spans="1:10" x14ac:dyDescent="0.25">
      <c r="C9" s="125">
        <f>+C8/$G$8</f>
        <v>0.75461075519316634</v>
      </c>
      <c r="D9" s="125">
        <f t="shared" ref="D9:F9" si="1">+D8/$G$8</f>
        <v>0.10852261696757912</v>
      </c>
      <c r="E9" s="125">
        <f t="shared" si="1"/>
        <v>0.1360900795961949</v>
      </c>
      <c r="F9" s="125">
        <f t="shared" si="1"/>
        <v>7.7654824305960007E-4</v>
      </c>
      <c r="G9" s="65">
        <f>SUM(C9:F9)</f>
        <v>1</v>
      </c>
    </row>
    <row r="10" spans="1:10" ht="15.75" thickBot="1" x14ac:dyDescent="0.3">
      <c r="A10" t="s">
        <v>172</v>
      </c>
      <c r="C10" s="118">
        <v>3580</v>
      </c>
      <c r="D10" s="118">
        <v>558</v>
      </c>
      <c r="E10" s="118">
        <v>163</v>
      </c>
      <c r="F10" s="118">
        <v>3</v>
      </c>
      <c r="G10" s="118"/>
    </row>
    <row r="11" spans="1:10" x14ac:dyDescent="0.25">
      <c r="A11" s="138" t="s">
        <v>180</v>
      </c>
      <c r="B11" s="139"/>
      <c r="C11" s="139"/>
      <c r="D11" s="139"/>
      <c r="E11" s="139"/>
      <c r="F11" s="139"/>
      <c r="G11" s="139"/>
      <c r="H11" s="140"/>
    </row>
    <row r="12" spans="1:10" x14ac:dyDescent="0.25">
      <c r="A12" s="141" t="s">
        <v>220</v>
      </c>
      <c r="C12" s="142">
        <f>+C5*0.5</f>
        <v>0.30950095524550042</v>
      </c>
      <c r="D12" s="142">
        <f>+D5*0.5</f>
        <v>3.8752269453585939E-2</v>
      </c>
      <c r="E12" s="142">
        <f>+E5*0.5</f>
        <v>0.12985792325925019</v>
      </c>
      <c r="F12" s="142">
        <f>+F5*0.5</f>
        <v>2.1888852041663475E-2</v>
      </c>
      <c r="H12" s="143"/>
    </row>
    <row r="13" spans="1:10" x14ac:dyDescent="0.25">
      <c r="A13" s="141" t="s">
        <v>173</v>
      </c>
      <c r="C13" s="142">
        <f>+C9*0.5</f>
        <v>0.37730537759658317</v>
      </c>
      <c r="D13" s="142">
        <f t="shared" ref="D13:F13" si="2">+D9*0.5</f>
        <v>5.4261308483789558E-2</v>
      </c>
      <c r="E13" s="142">
        <f t="shared" si="2"/>
        <v>6.8045039798097451E-2</v>
      </c>
      <c r="F13" s="142">
        <f t="shared" si="2"/>
        <v>3.8827412152980003E-4</v>
      </c>
      <c r="H13" s="143"/>
    </row>
    <row r="14" spans="1:10" x14ac:dyDescent="0.25">
      <c r="A14" s="144" t="s">
        <v>50</v>
      </c>
      <c r="B14" s="127"/>
      <c r="C14" s="145">
        <f>+C12+C13</f>
        <v>0.68680633284208359</v>
      </c>
      <c r="D14" s="145">
        <f t="shared" ref="D14:F14" si="3">+D12+D13</f>
        <v>9.3013577937375497E-2</v>
      </c>
      <c r="E14" s="145">
        <f t="shared" si="3"/>
        <v>0.19790296305734764</v>
      </c>
      <c r="F14" s="145">
        <f t="shared" si="3"/>
        <v>2.2277126163193276E-2</v>
      </c>
      <c r="G14" s="129">
        <f>SUM(C14:F14)</f>
        <v>1</v>
      </c>
      <c r="H14" s="143"/>
    </row>
    <row r="15" spans="1:10" ht="15.75" thickBot="1" x14ac:dyDescent="0.3">
      <c r="A15" s="146"/>
      <c r="B15" s="147"/>
      <c r="C15" s="147"/>
      <c r="D15" s="147"/>
      <c r="E15" s="147"/>
      <c r="F15" s="147"/>
      <c r="G15" s="147"/>
      <c r="H15" s="148"/>
    </row>
    <row r="17" spans="1:10" x14ac:dyDescent="0.25">
      <c r="A17" s="119" t="s">
        <v>166</v>
      </c>
    </row>
    <row r="18" spans="1:10" x14ac:dyDescent="0.25">
      <c r="A18" s="179">
        <f>+A2</f>
        <v>44926</v>
      </c>
      <c r="C18" t="s">
        <v>33</v>
      </c>
      <c r="D18" t="s">
        <v>34</v>
      </c>
      <c r="E18" t="s">
        <v>35</v>
      </c>
      <c r="F18" t="s">
        <v>178</v>
      </c>
      <c r="G18" t="s">
        <v>50</v>
      </c>
    </row>
    <row r="19" spans="1:10" x14ac:dyDescent="0.25">
      <c r="A19" t="s">
        <v>221</v>
      </c>
      <c r="B19" s="102"/>
      <c r="C19" s="102">
        <f>5547916+2715939</f>
        <v>8263855</v>
      </c>
      <c r="D19" s="102">
        <f>1739615+875397</f>
        <v>2615012</v>
      </c>
      <c r="E19" s="102">
        <f>378422+623809+378100</f>
        <v>1380331</v>
      </c>
      <c r="F19" s="102">
        <f>51876+321665+2260637</f>
        <v>2634178</v>
      </c>
      <c r="G19" s="103">
        <f>SUM(B19:F19)</f>
        <v>14893376</v>
      </c>
      <c r="I19" s="102"/>
      <c r="J19" s="81"/>
    </row>
    <row r="20" spans="1:10" x14ac:dyDescent="0.25">
      <c r="A20" s="117" t="s">
        <v>170</v>
      </c>
      <c r="B20" s="102"/>
      <c r="C20" s="65">
        <f>+C19/$G$19</f>
        <v>0.55486781506087002</v>
      </c>
      <c r="D20" s="65">
        <f>+D19/$G$19</f>
        <v>0.17558221856481701</v>
      </c>
      <c r="E20" s="65">
        <f>+E19/$G$19</f>
        <v>9.2680866984087423E-2</v>
      </c>
      <c r="F20" s="65">
        <f>+F19/$G$19</f>
        <v>0.17686909939022555</v>
      </c>
      <c r="G20" s="65">
        <f>SUM(C20:F20)</f>
        <v>1</v>
      </c>
    </row>
    <row r="22" spans="1:10" x14ac:dyDescent="0.25">
      <c r="A22" t="s">
        <v>259</v>
      </c>
      <c r="B22" s="102"/>
      <c r="C22" s="102"/>
      <c r="D22" s="102"/>
      <c r="E22" s="102"/>
      <c r="F22" s="102"/>
      <c r="G22" s="102"/>
    </row>
    <row r="23" spans="1:10" x14ac:dyDescent="0.25">
      <c r="A23" t="s">
        <v>171</v>
      </c>
      <c r="C23" s="137">
        <v>1933</v>
      </c>
      <c r="D23" s="137">
        <v>1799</v>
      </c>
      <c r="E23" s="137">
        <v>132</v>
      </c>
      <c r="F23" s="137">
        <v>23</v>
      </c>
      <c r="G23" s="126">
        <f>SUM(C23:F23)</f>
        <v>3887</v>
      </c>
      <c r="I23" s="118"/>
      <c r="J23" s="81"/>
    </row>
    <row r="24" spans="1:10" x14ac:dyDescent="0.25">
      <c r="C24" s="125">
        <f>+C23/$G$23</f>
        <v>0.49729868793413945</v>
      </c>
      <c r="D24" s="125">
        <f>+D23/$G$23</f>
        <v>0.46282480061744274</v>
      </c>
      <c r="E24" s="125">
        <f>+E23/$G$23</f>
        <v>3.3959351685104194E-2</v>
      </c>
      <c r="F24" s="125">
        <f>+F23/$G$23</f>
        <v>5.9171597633136093E-3</v>
      </c>
      <c r="G24" s="65">
        <f>SUM(C24:F24)</f>
        <v>1</v>
      </c>
    </row>
    <row r="25" spans="1:10" x14ac:dyDescent="0.25">
      <c r="A25" s="130" t="s">
        <v>180</v>
      </c>
      <c r="C25" s="118"/>
      <c r="D25" s="118"/>
      <c r="E25" s="118"/>
      <c r="F25" s="118"/>
      <c r="G25" s="118"/>
    </row>
    <row r="26" spans="1:10" x14ac:dyDescent="0.25">
      <c r="A26" t="s">
        <v>179</v>
      </c>
    </row>
    <row r="27" spans="1:10" x14ac:dyDescent="0.25">
      <c r="A27" t="s">
        <v>220</v>
      </c>
      <c r="C27" s="65">
        <f>+C20*0.5</f>
        <v>0.27743390753043501</v>
      </c>
      <c r="D27" s="65">
        <f>+D20*0.5</f>
        <v>8.7791109282408505E-2</v>
      </c>
      <c r="E27" s="65">
        <f>+E20*0.5</f>
        <v>4.6340433492043712E-2</v>
      </c>
      <c r="F27" s="65">
        <f>+F20*0.5</f>
        <v>8.8434549695112774E-2</v>
      </c>
    </row>
    <row r="28" spans="1:10" x14ac:dyDescent="0.25">
      <c r="A28" t="s">
        <v>173</v>
      </c>
      <c r="C28" s="65">
        <f>+C24*0.5</f>
        <v>0.24864934396706972</v>
      </c>
      <c r="D28" s="65">
        <f t="shared" ref="D28:F28" si="4">+D24*0.5</f>
        <v>0.23141240030872137</v>
      </c>
      <c r="E28" s="65">
        <f t="shared" si="4"/>
        <v>1.6979675842552097E-2</v>
      </c>
      <c r="F28" s="65">
        <f t="shared" si="4"/>
        <v>2.9585798816568047E-3</v>
      </c>
    </row>
    <row r="29" spans="1:10" x14ac:dyDescent="0.25">
      <c r="A29" s="127" t="s">
        <v>50</v>
      </c>
      <c r="B29" s="127"/>
      <c r="C29" s="128">
        <f>+C27+C28</f>
        <v>0.52608325149750468</v>
      </c>
      <c r="D29" s="128">
        <f t="shared" ref="D29:F29" si="5">+D27+D28</f>
        <v>0.31920350959112986</v>
      </c>
      <c r="E29" s="128">
        <f t="shared" si="5"/>
        <v>6.3320109334595809E-2</v>
      </c>
      <c r="F29" s="128">
        <f t="shared" si="5"/>
        <v>9.139312957676958E-2</v>
      </c>
      <c r="G29" s="129">
        <f>SUM(C29:F29)</f>
        <v>1</v>
      </c>
    </row>
  </sheetData>
  <pageMargins left="0.7" right="0.7" top="0.75" bottom="0.75" header="0.3" footer="0.3"/>
  <pageSetup orientation="landscape" r:id="rId1"/>
  <headerFooter>
    <oddFooter>&amp;C&amp;Z&amp;F&amp;R&amp;D&amp;T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B46E8-D6E8-4AA9-AAC8-FD0A49F4A82C}">
  <dimension ref="A2:K27"/>
  <sheetViews>
    <sheetView zoomScale="80" zoomScaleNormal="80" workbookViewId="0">
      <selection activeCell="K24" sqref="K24"/>
    </sheetView>
  </sheetViews>
  <sheetFormatPr defaultRowHeight="15" x14ac:dyDescent="0.25"/>
  <cols>
    <col min="1" max="1" width="14.140625" customWidth="1"/>
    <col min="2" max="2" width="18.710937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23" max="23" width="12.28515625" bestFit="1" customWidth="1"/>
  </cols>
  <sheetData>
    <row r="2" spans="1:11" x14ac:dyDescent="0.25">
      <c r="A2" s="16" t="s">
        <v>271</v>
      </c>
    </row>
    <row r="3" spans="1:11" x14ac:dyDescent="0.25">
      <c r="D3" s="19" t="s">
        <v>54</v>
      </c>
      <c r="I3" s="21" t="s">
        <v>55</v>
      </c>
    </row>
    <row r="5" spans="1:11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1" x14ac:dyDescent="0.25">
      <c r="B6" s="10" t="s">
        <v>269</v>
      </c>
      <c r="C6" s="3" t="s">
        <v>45</v>
      </c>
      <c r="D6" s="3" t="s">
        <v>116</v>
      </c>
      <c r="E6" s="10"/>
      <c r="F6" s="10"/>
      <c r="G6" s="10"/>
      <c r="H6" s="3" t="s">
        <v>53</v>
      </c>
      <c r="I6" s="10"/>
      <c r="J6" s="10"/>
      <c r="K6" s="10" t="s">
        <v>50</v>
      </c>
    </row>
    <row r="7" spans="1:11" x14ac:dyDescent="0.25">
      <c r="B7" s="11"/>
      <c r="C7" s="1"/>
      <c r="D7" s="1"/>
      <c r="E7" s="11"/>
      <c r="F7" s="11"/>
      <c r="G7" s="11"/>
      <c r="H7" s="1"/>
    </row>
    <row r="8" spans="1:11" x14ac:dyDescent="0.25">
      <c r="A8" t="s">
        <v>46</v>
      </c>
      <c r="B8" s="192">
        <v>1058403.98</v>
      </c>
      <c r="C8" s="94">
        <f t="shared" ref="C8:C13" si="0">$D$25</f>
        <v>0.8023663641516483</v>
      </c>
      <c r="D8" s="95">
        <v>6.4699999999999994E-2</v>
      </c>
      <c r="E8" s="79">
        <f t="shared" ref="E8:E13" si="1">B8*C8*D8</f>
        <v>54945.035634384323</v>
      </c>
      <c r="F8" s="79">
        <f t="shared" ref="F8:F13" si="2">E8/12</f>
        <v>4578.7529695320272</v>
      </c>
      <c r="G8" s="79">
        <f t="shared" ref="G8:G13" si="3">B8</f>
        <v>1058403.98</v>
      </c>
      <c r="H8" s="13">
        <v>6</v>
      </c>
      <c r="I8" s="79">
        <f t="shared" ref="I8:I13" si="4">G8/H8</f>
        <v>176400.66333333333</v>
      </c>
      <c r="J8" s="79">
        <f t="shared" ref="J8:J13" si="5">I8/12</f>
        <v>14700.055277777778</v>
      </c>
      <c r="K8" s="79">
        <f>ROUNDUP(F8+J8,0)</f>
        <v>19279</v>
      </c>
    </row>
    <row r="9" spans="1:11" x14ac:dyDescent="0.25">
      <c r="A9" t="s">
        <v>32</v>
      </c>
      <c r="B9" s="192">
        <v>306568.88</v>
      </c>
      <c r="C9" s="94">
        <f t="shared" si="0"/>
        <v>0.8023663641516483</v>
      </c>
      <c r="D9" s="95">
        <v>6.4699999999999994E-2</v>
      </c>
      <c r="E9" s="79">
        <f t="shared" si="1"/>
        <v>15914.9420772145</v>
      </c>
      <c r="F9" s="79">
        <f t="shared" si="2"/>
        <v>1326.2451731012084</v>
      </c>
      <c r="G9" s="79">
        <f t="shared" si="3"/>
        <v>306568.88</v>
      </c>
      <c r="H9" s="13">
        <v>6</v>
      </c>
      <c r="I9" s="79">
        <f t="shared" si="4"/>
        <v>51094.813333333332</v>
      </c>
      <c r="J9" s="79">
        <f t="shared" si="5"/>
        <v>4257.9011111111113</v>
      </c>
      <c r="K9" s="79">
        <f t="shared" ref="K9:K13" si="6">ROUNDUP(F9+J9,0)</f>
        <v>5585</v>
      </c>
    </row>
    <row r="10" spans="1:11" x14ac:dyDescent="0.25">
      <c r="A10" t="s">
        <v>47</v>
      </c>
      <c r="B10" s="192">
        <v>705882.72</v>
      </c>
      <c r="C10" s="94">
        <f t="shared" si="0"/>
        <v>0.8023663641516483</v>
      </c>
      <c r="D10" s="95">
        <v>6.4699999999999994E-2</v>
      </c>
      <c r="E10" s="79">
        <f t="shared" si="1"/>
        <v>36644.562886182772</v>
      </c>
      <c r="F10" s="79">
        <f t="shared" si="2"/>
        <v>3053.7135738485645</v>
      </c>
      <c r="G10" s="79">
        <f t="shared" si="3"/>
        <v>705882.72</v>
      </c>
      <c r="H10" s="13">
        <v>10</v>
      </c>
      <c r="I10" s="79">
        <f t="shared" si="4"/>
        <v>70588.271999999997</v>
      </c>
      <c r="J10" s="79">
        <f t="shared" si="5"/>
        <v>5882.3559999999998</v>
      </c>
      <c r="K10" s="79">
        <f t="shared" si="6"/>
        <v>8937</v>
      </c>
    </row>
    <row r="11" spans="1:11" x14ac:dyDescent="0.25">
      <c r="A11" t="s">
        <v>48</v>
      </c>
      <c r="B11" s="192">
        <v>257154.88</v>
      </c>
      <c r="C11" s="94">
        <f t="shared" si="0"/>
        <v>0.8023663641516483</v>
      </c>
      <c r="D11" s="95">
        <v>6.4699999999999994E-2</v>
      </c>
      <c r="E11" s="79">
        <f t="shared" si="1"/>
        <v>13349.707967987635</v>
      </c>
      <c r="F11" s="79">
        <f t="shared" si="2"/>
        <v>1112.4756639989696</v>
      </c>
      <c r="G11" s="79">
        <f t="shared" si="3"/>
        <v>257154.88</v>
      </c>
      <c r="H11" s="13">
        <v>5</v>
      </c>
      <c r="I11" s="79">
        <f t="shared" si="4"/>
        <v>51430.976000000002</v>
      </c>
      <c r="J11" s="79">
        <f t="shared" si="5"/>
        <v>4285.9146666666666</v>
      </c>
      <c r="K11" s="79">
        <f t="shared" si="6"/>
        <v>5399</v>
      </c>
    </row>
    <row r="12" spans="1:11" x14ac:dyDescent="0.25">
      <c r="A12" t="s">
        <v>41</v>
      </c>
      <c r="B12" s="192">
        <v>205926.43</v>
      </c>
      <c r="C12" s="94">
        <f t="shared" si="0"/>
        <v>0.8023663641516483</v>
      </c>
      <c r="D12" s="95">
        <v>6.4699999999999994E-2</v>
      </c>
      <c r="E12" s="79">
        <f t="shared" si="1"/>
        <v>10690.280127642329</v>
      </c>
      <c r="F12" s="79">
        <f t="shared" si="2"/>
        <v>890.85667730352736</v>
      </c>
      <c r="G12" s="79">
        <f t="shared" si="3"/>
        <v>205926.43</v>
      </c>
      <c r="H12" s="13">
        <v>4</v>
      </c>
      <c r="I12" s="79">
        <f t="shared" si="4"/>
        <v>51481.607499999998</v>
      </c>
      <c r="J12" s="79">
        <f t="shared" si="5"/>
        <v>4290.1339583333329</v>
      </c>
      <c r="K12" s="79">
        <f t="shared" si="6"/>
        <v>5181</v>
      </c>
    </row>
    <row r="13" spans="1:11" x14ac:dyDescent="0.25">
      <c r="A13" t="s">
        <v>31</v>
      </c>
      <c r="B13" s="192">
        <v>1409956.18</v>
      </c>
      <c r="C13" s="94">
        <f t="shared" si="0"/>
        <v>0.8023663641516483</v>
      </c>
      <c r="D13" s="95">
        <v>6.4699999999999994E-2</v>
      </c>
      <c r="E13" s="79">
        <f t="shared" si="1"/>
        <v>73195.201470255619</v>
      </c>
      <c r="F13" s="79">
        <f t="shared" si="2"/>
        <v>6099.6001225213013</v>
      </c>
      <c r="G13" s="79">
        <f t="shared" si="3"/>
        <v>1409956.18</v>
      </c>
      <c r="H13" s="13">
        <v>10</v>
      </c>
      <c r="I13" s="79">
        <f t="shared" si="4"/>
        <v>140995.61799999999</v>
      </c>
      <c r="J13" s="79">
        <f t="shared" si="5"/>
        <v>11749.634833333332</v>
      </c>
      <c r="K13" s="79">
        <f t="shared" si="6"/>
        <v>17850</v>
      </c>
    </row>
    <row r="14" spans="1:11" x14ac:dyDescent="0.25">
      <c r="B14" s="120"/>
    </row>
    <row r="15" spans="1:11" x14ac:dyDescent="0.25">
      <c r="B15" s="121">
        <f>SUM(B8:B13)</f>
        <v>3943893.0700000003</v>
      </c>
      <c r="D15" s="180">
        <f>AVERAGE(D8:D13)</f>
        <v>6.4699999999999994E-2</v>
      </c>
      <c r="E15" s="14">
        <f>SUM(E8:E13)</f>
        <v>204739.73016366718</v>
      </c>
      <c r="F15" s="22">
        <f>SUM(F8:F13)</f>
        <v>17061.6441803056</v>
      </c>
      <c r="G15" s="14">
        <f>SUM(G8:G13)</f>
        <v>3943893.0700000003</v>
      </c>
      <c r="I15" s="14">
        <f>SUM(I8:I13)</f>
        <v>541991.95016666665</v>
      </c>
      <c r="J15" s="22">
        <f>SUM(J8:J13)</f>
        <v>45165.995847222221</v>
      </c>
      <c r="K15" s="22">
        <f>SUM(K8:K13)</f>
        <v>62231</v>
      </c>
    </row>
    <row r="19" spans="1:7" x14ac:dyDescent="0.25">
      <c r="A19" s="16" t="s">
        <v>238</v>
      </c>
    </row>
    <row r="22" spans="1:7" x14ac:dyDescent="0.25">
      <c r="C22" s="4" t="s">
        <v>44</v>
      </c>
    </row>
    <row r="23" spans="1:7" x14ac:dyDescent="0.25">
      <c r="C23" s="3" t="s">
        <v>45</v>
      </c>
    </row>
    <row r="24" spans="1:7" ht="15.75" thickBot="1" x14ac:dyDescent="0.3"/>
    <row r="25" spans="1:7" ht="15.75" thickBot="1" x14ac:dyDescent="0.3">
      <c r="A25" s="193"/>
      <c r="B25" s="194" t="s">
        <v>177</v>
      </c>
      <c r="C25" s="195">
        <f>591598+8648539+(1451020*0.5)</f>
        <v>9965647</v>
      </c>
      <c r="D25" s="196">
        <f>C25/C27</f>
        <v>0.8023663641516483</v>
      </c>
      <c r="E25" s="195" t="s">
        <v>270</v>
      </c>
      <c r="F25" s="195"/>
      <c r="G25" s="197"/>
    </row>
    <row r="26" spans="1:7" x14ac:dyDescent="0.25">
      <c r="A26" s="198"/>
      <c r="B26" s="199" t="s">
        <v>176</v>
      </c>
      <c r="C26" s="200">
        <v>2454673</v>
      </c>
      <c r="D26" s="201">
        <f>C26/C27</f>
        <v>0.19763363584835172</v>
      </c>
      <c r="E26" s="195" t="s">
        <v>270</v>
      </c>
      <c r="F26" s="200"/>
      <c r="G26" s="202"/>
    </row>
    <row r="27" spans="1:7" ht="15.75" thickBot="1" x14ac:dyDescent="0.3">
      <c r="A27" s="203"/>
      <c r="B27" s="204"/>
      <c r="C27" s="205">
        <f>C25+C26</f>
        <v>12420320</v>
      </c>
      <c r="D27" s="206"/>
      <c r="E27" s="204"/>
      <c r="F27" s="204"/>
      <c r="G27" s="207"/>
    </row>
  </sheetData>
  <pageMargins left="0.7" right="0.7" top="0.75" bottom="0.75" header="0.3" footer="0.3"/>
  <pageSetup scale="75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2570D-3DD8-4906-BEB7-A366277CC9F0}">
  <sheetPr>
    <pageSetUpPr fitToPage="1"/>
  </sheetPr>
  <dimension ref="A2:M22"/>
  <sheetViews>
    <sheetView zoomScale="90" zoomScaleNormal="90" workbookViewId="0">
      <selection activeCell="K16" sqref="K16"/>
    </sheetView>
  </sheetViews>
  <sheetFormatPr defaultRowHeight="15" x14ac:dyDescent="0.25"/>
  <cols>
    <col min="1" max="1" width="14.140625" customWidth="1"/>
    <col min="2" max="2" width="14.28515625" style="8" customWidth="1"/>
    <col min="3" max="3" width="18.42578125" customWidth="1"/>
    <col min="4" max="4" width="13.42578125" customWidth="1"/>
    <col min="5" max="6" width="11.7109375" style="8" customWidth="1"/>
    <col min="7" max="7" width="14.28515625" style="8" customWidth="1"/>
    <col min="8" max="8" width="8.85546875" customWidth="1"/>
    <col min="9" max="10" width="11.7109375" style="8" customWidth="1"/>
    <col min="11" max="11" width="11.7109375" style="6" customWidth="1"/>
    <col min="12" max="12" width="12.140625" customWidth="1"/>
  </cols>
  <sheetData>
    <row r="2" spans="1:13" x14ac:dyDescent="0.25">
      <c r="A2" s="16" t="s">
        <v>58</v>
      </c>
    </row>
    <row r="3" spans="1:13" x14ac:dyDescent="0.25">
      <c r="D3" s="19" t="s">
        <v>54</v>
      </c>
      <c r="I3" s="21" t="s">
        <v>55</v>
      </c>
    </row>
    <row r="5" spans="1:13" x14ac:dyDescent="0.25">
      <c r="B5" s="9" t="s">
        <v>42</v>
      </c>
      <c r="C5" s="4" t="s">
        <v>44</v>
      </c>
      <c r="D5" s="4" t="s">
        <v>43</v>
      </c>
      <c r="E5" s="9" t="s">
        <v>50</v>
      </c>
      <c r="F5" s="9" t="s">
        <v>51</v>
      </c>
      <c r="G5" s="9" t="s">
        <v>42</v>
      </c>
      <c r="H5" s="4" t="s">
        <v>49</v>
      </c>
      <c r="I5" s="9" t="s">
        <v>50</v>
      </c>
      <c r="J5" s="9" t="s">
        <v>51</v>
      </c>
      <c r="K5" s="9" t="s">
        <v>52</v>
      </c>
    </row>
    <row r="6" spans="1:13" x14ac:dyDescent="0.25">
      <c r="B6" s="10"/>
      <c r="C6" s="3" t="s">
        <v>45</v>
      </c>
      <c r="D6" s="3" t="s">
        <v>116</v>
      </c>
      <c r="E6" s="10" t="s">
        <v>144</v>
      </c>
      <c r="F6" s="10" t="s">
        <v>144</v>
      </c>
      <c r="G6" s="10" t="s">
        <v>61</v>
      </c>
      <c r="H6" s="3" t="s">
        <v>53</v>
      </c>
      <c r="I6" s="10"/>
      <c r="J6" s="10"/>
      <c r="K6" s="10" t="s">
        <v>50</v>
      </c>
    </row>
    <row r="7" spans="1:13" x14ac:dyDescent="0.25">
      <c r="B7" s="11"/>
      <c r="C7" s="1"/>
      <c r="D7" s="1"/>
      <c r="E7" s="11"/>
      <c r="F7" s="11"/>
      <c r="G7" s="11"/>
      <c r="H7" s="1"/>
    </row>
    <row r="8" spans="1:13" x14ac:dyDescent="0.25">
      <c r="A8" t="s">
        <v>57</v>
      </c>
      <c r="B8" s="12">
        <f>574557.91+713455.91</f>
        <v>1288013.82</v>
      </c>
      <c r="C8" s="94">
        <f>'2024 NUC Rent'!D25</f>
        <v>0.8023663641516483</v>
      </c>
      <c r="D8" s="95">
        <v>6.54E-2</v>
      </c>
      <c r="E8" s="79">
        <f>B8*C8*D8</f>
        <v>67588.216358773105</v>
      </c>
      <c r="F8" s="79">
        <f>E8/12</f>
        <v>5632.3513632310924</v>
      </c>
      <c r="G8" s="79">
        <f>B8-574557.91</f>
        <v>713455.91</v>
      </c>
      <c r="H8" s="13">
        <v>20</v>
      </c>
      <c r="I8" s="79">
        <f>G8/H8</f>
        <v>35672.7955</v>
      </c>
      <c r="J8" s="79">
        <f>I8/12</f>
        <v>2972.7329583333335</v>
      </c>
      <c r="K8" s="79">
        <f>ROUNDUP(F8+J8,0)</f>
        <v>8606</v>
      </c>
    </row>
    <row r="9" spans="1:13" x14ac:dyDescent="0.25">
      <c r="M9" s="6"/>
    </row>
    <row r="10" spans="1:13" x14ac:dyDescent="0.25">
      <c r="B10" s="14">
        <f>SUM(B8:B8)</f>
        <v>1288013.82</v>
      </c>
      <c r="E10" s="14">
        <f>SUM(E8:E8)</f>
        <v>67588.216358773105</v>
      </c>
      <c r="F10" s="22">
        <f>SUM(F8:F8)</f>
        <v>5632.3513632310924</v>
      </c>
      <c r="G10" s="14">
        <f>SUM(G8:G8)</f>
        <v>713455.91</v>
      </c>
      <c r="I10" s="14">
        <f>SUM(I8:I8)</f>
        <v>35672.7955</v>
      </c>
      <c r="J10" s="22">
        <f>SUM(J8:J8)</f>
        <v>2972.7329583333335</v>
      </c>
      <c r="K10" s="22">
        <f>SUM(K8:K8)</f>
        <v>8606</v>
      </c>
    </row>
    <row r="12" spans="1:13" x14ac:dyDescent="0.25">
      <c r="H12" s="209" t="s">
        <v>209</v>
      </c>
    </row>
    <row r="13" spans="1:13" x14ac:dyDescent="0.25">
      <c r="I13"/>
      <c r="J13" t="s">
        <v>185</v>
      </c>
      <c r="K13" s="8" t="s">
        <v>51</v>
      </c>
      <c r="L13" t="s">
        <v>165</v>
      </c>
    </row>
    <row r="14" spans="1:13" x14ac:dyDescent="0.25">
      <c r="B14" s="24"/>
      <c r="I14" s="11" t="s">
        <v>12</v>
      </c>
      <c r="J14" s="232">
        <f>+'2023 Allocation Source'!E14</f>
        <v>0.19790296305734764</v>
      </c>
      <c r="K14" s="210">
        <f>ROUNDUP(J14*K$10,0)</f>
        <v>1704</v>
      </c>
      <c r="L14" s="211">
        <f>+K14*12</f>
        <v>20448</v>
      </c>
    </row>
    <row r="15" spans="1:13" x14ac:dyDescent="0.25">
      <c r="B15" s="11"/>
      <c r="D15" s="25"/>
      <c r="I15" s="11" t="s">
        <v>11</v>
      </c>
      <c r="J15" s="232">
        <f>+'2023 Allocation Source'!D14</f>
        <v>9.3013577937375497E-2</v>
      </c>
      <c r="K15" s="210">
        <f t="shared" ref="K15:K17" si="0">ROUNDUP(J15*K$10,0)</f>
        <v>801</v>
      </c>
      <c r="L15" s="211">
        <f t="shared" ref="L15:L18" si="1">+K15*12</f>
        <v>9612</v>
      </c>
    </row>
    <row r="16" spans="1:13" x14ac:dyDescent="0.25">
      <c r="B16" s="11"/>
      <c r="D16" s="25"/>
      <c r="I16" s="11" t="s">
        <v>10</v>
      </c>
      <c r="J16" s="232">
        <f>+'2023 Allocation Source'!C14</f>
        <v>0.68680633284208359</v>
      </c>
      <c r="K16" s="210">
        <f t="shared" si="0"/>
        <v>5911</v>
      </c>
      <c r="L16" s="211">
        <f t="shared" si="1"/>
        <v>70932</v>
      </c>
    </row>
    <row r="17" spans="2:12" x14ac:dyDescent="0.25">
      <c r="B17" s="11"/>
      <c r="D17" s="25"/>
      <c r="I17" s="11" t="s">
        <v>122</v>
      </c>
      <c r="J17" s="232">
        <f>+'2023 Allocation Source'!F14</f>
        <v>2.2277126163193276E-2</v>
      </c>
      <c r="K17" s="210">
        <f t="shared" si="0"/>
        <v>192</v>
      </c>
      <c r="L17" s="211">
        <f t="shared" si="1"/>
        <v>2304</v>
      </c>
    </row>
    <row r="18" spans="2:12" x14ac:dyDescent="0.25">
      <c r="B18" s="11"/>
      <c r="D18" s="25"/>
      <c r="H18" s="8"/>
      <c r="I18" s="80"/>
      <c r="J18" s="5">
        <f>SUM(J14:J17)</f>
        <v>1</v>
      </c>
      <c r="K18" s="121">
        <f>SUM(K14:K17)</f>
        <v>8608</v>
      </c>
      <c r="L18" s="106">
        <f t="shared" si="1"/>
        <v>103296</v>
      </c>
    </row>
    <row r="22" spans="2:12" x14ac:dyDescent="0.25">
      <c r="J22" s="25"/>
      <c r="K22" s="136"/>
      <c r="L22" s="136"/>
    </row>
  </sheetData>
  <pageMargins left="0.7" right="0.7" top="0.75" bottom="0.75" header="0.3" footer="0.3"/>
  <pageSetup scale="49" orientation="landscape" r:id="rId1"/>
  <headerFooter>
    <oddFooter>&amp;L&amp;Z&amp;F&amp;R&amp;D&amp;T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1FAD-534D-4A38-93FF-0C8A903FDE87}">
  <sheetPr>
    <pageSetUpPr fitToPage="1"/>
  </sheetPr>
  <dimension ref="C2:AA18"/>
  <sheetViews>
    <sheetView zoomScale="95" zoomScaleNormal="95" workbookViewId="0">
      <selection activeCell="Z16" sqref="Z16"/>
    </sheetView>
  </sheetViews>
  <sheetFormatPr defaultRowHeight="15" x14ac:dyDescent="0.25"/>
  <cols>
    <col min="1" max="2" width="1.42578125" customWidth="1"/>
    <col min="3" max="3" width="14.140625" customWidth="1"/>
    <col min="4" max="5" width="1.42578125" customWidth="1"/>
    <col min="6" max="6" width="14.28515625" style="8" customWidth="1"/>
    <col min="7" max="7" width="1.42578125" customWidth="1"/>
    <col min="8" max="8" width="18.42578125" customWidth="1"/>
    <col min="9" max="9" width="1.42578125" customWidth="1"/>
    <col min="10" max="10" width="13.42578125" customWidth="1"/>
    <col min="11" max="11" width="1.42578125" customWidth="1"/>
    <col min="12" max="12" width="11.7109375" style="8" customWidth="1"/>
    <col min="13" max="13" width="1.42578125" customWidth="1"/>
    <col min="14" max="14" width="11.7109375" style="8" customWidth="1"/>
    <col min="15" max="17" width="1.42578125" customWidth="1"/>
    <col min="18" max="18" width="14.28515625" style="8" customWidth="1"/>
    <col min="19" max="19" width="1.42578125" customWidth="1"/>
    <col min="20" max="20" width="8.85546875" customWidth="1"/>
    <col min="21" max="21" width="1.42578125" customWidth="1"/>
    <col min="22" max="22" width="11.7109375" style="8" customWidth="1"/>
    <col min="23" max="23" width="1.42578125" customWidth="1"/>
    <col min="24" max="24" width="11.7109375" style="8" customWidth="1"/>
    <col min="25" max="25" width="1.42578125" customWidth="1"/>
    <col min="26" max="26" width="11.7109375" style="6" customWidth="1"/>
    <col min="27" max="27" width="13.7109375" customWidth="1"/>
  </cols>
  <sheetData>
    <row r="2" spans="3:27" x14ac:dyDescent="0.25">
      <c r="C2" s="16" t="s">
        <v>59</v>
      </c>
    </row>
    <row r="3" spans="3:27" x14ac:dyDescent="0.25">
      <c r="J3" s="19" t="s">
        <v>54</v>
      </c>
      <c r="V3" s="21" t="s">
        <v>55</v>
      </c>
    </row>
    <row r="5" spans="3:27" x14ac:dyDescent="0.25">
      <c r="E5" s="4"/>
      <c r="F5" s="9" t="s">
        <v>42</v>
      </c>
      <c r="G5" s="4"/>
      <c r="H5" s="4" t="s">
        <v>44</v>
      </c>
      <c r="I5" s="4"/>
      <c r="J5" s="4" t="s">
        <v>43</v>
      </c>
      <c r="K5" s="4"/>
      <c r="L5" s="9" t="s">
        <v>50</v>
      </c>
      <c r="M5" s="4"/>
      <c r="N5" s="9" t="s">
        <v>51</v>
      </c>
      <c r="O5" s="4"/>
      <c r="Q5" s="4"/>
      <c r="R5" s="9" t="s">
        <v>42</v>
      </c>
      <c r="S5" s="4"/>
      <c r="T5" s="4" t="s">
        <v>49</v>
      </c>
      <c r="U5" s="4"/>
      <c r="V5" s="9" t="s">
        <v>50</v>
      </c>
      <c r="W5" s="4"/>
      <c r="X5" s="9" t="s">
        <v>51</v>
      </c>
      <c r="Z5" s="9" t="s">
        <v>52</v>
      </c>
    </row>
    <row r="6" spans="3:27" x14ac:dyDescent="0.25">
      <c r="E6" s="3"/>
      <c r="F6" s="10"/>
      <c r="G6" s="3"/>
      <c r="H6" s="3" t="s">
        <v>45</v>
      </c>
      <c r="I6" s="3"/>
      <c r="J6" s="3" t="s">
        <v>116</v>
      </c>
      <c r="K6" s="3"/>
      <c r="L6" s="10" t="s">
        <v>144</v>
      </c>
      <c r="M6" s="3"/>
      <c r="N6" s="10" t="s">
        <v>144</v>
      </c>
      <c r="O6" s="3"/>
      <c r="Q6" s="3"/>
      <c r="R6" s="10" t="s">
        <v>61</v>
      </c>
      <c r="S6" s="3"/>
      <c r="T6" s="3" t="s">
        <v>53</v>
      </c>
      <c r="U6" s="3"/>
      <c r="V6" s="10"/>
      <c r="W6" s="3"/>
      <c r="X6" s="10"/>
      <c r="Z6" s="10" t="s">
        <v>50</v>
      </c>
    </row>
    <row r="7" spans="3:27" x14ac:dyDescent="0.25">
      <c r="E7" s="1"/>
      <c r="F7" s="11"/>
      <c r="G7" s="1"/>
      <c r="H7" s="1"/>
      <c r="I7" s="1"/>
      <c r="J7" s="1"/>
      <c r="K7" s="1"/>
      <c r="L7" s="11"/>
      <c r="M7" s="1"/>
      <c r="N7" s="11"/>
      <c r="O7" s="1"/>
      <c r="Q7" s="1"/>
      <c r="R7" s="11"/>
      <c r="S7" s="1"/>
      <c r="T7" s="1"/>
      <c r="U7" s="1"/>
      <c r="W7" s="1"/>
    </row>
    <row r="8" spans="3:27" x14ac:dyDescent="0.25">
      <c r="C8" t="s">
        <v>60</v>
      </c>
      <c r="F8" s="12">
        <v>654101.36</v>
      </c>
      <c r="H8" s="94">
        <f>+'2024 NUC Rent'!$D$25</f>
        <v>0.8023663641516483</v>
      </c>
      <c r="J8" s="95">
        <v>6.54E-2</v>
      </c>
      <c r="L8" s="79">
        <f>F8*H8*J8</f>
        <v>34323.812022644088</v>
      </c>
      <c r="N8" s="79">
        <f>L8/12</f>
        <v>2860.3176685536741</v>
      </c>
      <c r="R8" s="79">
        <f>F8-40000</f>
        <v>614101.36</v>
      </c>
      <c r="T8" s="13">
        <v>20</v>
      </c>
      <c r="V8" s="79">
        <f>R8/T8</f>
        <v>30705.067999999999</v>
      </c>
      <c r="X8" s="79">
        <f>V8/12</f>
        <v>2558.7556666666665</v>
      </c>
      <c r="Z8" s="79">
        <f>ROUND(N8+X8,0)</f>
        <v>5419</v>
      </c>
    </row>
    <row r="10" spans="3:27" x14ac:dyDescent="0.25">
      <c r="F10" s="14">
        <f>SUM(F8:F8)</f>
        <v>654101.36</v>
      </c>
      <c r="L10" s="14">
        <f>SUM(L8:L8)</f>
        <v>34323.812022644088</v>
      </c>
      <c r="N10" s="22">
        <f>SUM(N8:N8)</f>
        <v>2860.3176685536741</v>
      </c>
      <c r="R10" s="14">
        <f>SUM(R8:R8)</f>
        <v>614101.36</v>
      </c>
      <c r="V10" s="14">
        <f>SUM(V8:V8)</f>
        <v>30705.067999999999</v>
      </c>
      <c r="X10" s="22">
        <f>SUM(X8:X8)</f>
        <v>2558.7556666666665</v>
      </c>
      <c r="Z10" s="22">
        <f>SUM(Z8:Z8)</f>
        <v>5419</v>
      </c>
    </row>
    <row r="13" spans="3:27" x14ac:dyDescent="0.25">
      <c r="C13" t="s">
        <v>60</v>
      </c>
      <c r="F13" s="8" t="s">
        <v>264</v>
      </c>
      <c r="T13" s="24" t="s">
        <v>232</v>
      </c>
      <c r="V13"/>
      <c r="X13"/>
      <c r="Z13" s="8" t="s">
        <v>51</v>
      </c>
      <c r="AA13" t="s">
        <v>165</v>
      </c>
    </row>
    <row r="14" spans="3:27" x14ac:dyDescent="0.25">
      <c r="F14" s="24"/>
      <c r="T14" s="11" t="s">
        <v>12</v>
      </c>
      <c r="V14" s="122">
        <f>+'2024 Allocation Source'!E14</f>
        <v>0.19679984490856831</v>
      </c>
      <c r="W14" s="81"/>
      <c r="X14" s="81"/>
      <c r="Z14" s="208">
        <f>ROUNDUP($Z$10*V14,0)</f>
        <v>1067</v>
      </c>
      <c r="AA14" s="236">
        <f>+Z14*12</f>
        <v>12804</v>
      </c>
    </row>
    <row r="15" spans="3:27" x14ac:dyDescent="0.25">
      <c r="F15" s="11"/>
      <c r="J15" s="25"/>
      <c r="T15" s="11" t="s">
        <v>11</v>
      </c>
      <c r="V15" s="122">
        <f>+'2024 Allocation Source'!D14</f>
        <v>9.189559761882099E-2</v>
      </c>
      <c r="W15" s="81"/>
      <c r="X15" s="81"/>
      <c r="Z15" s="208">
        <f t="shared" ref="Z15:Z17" si="0">ROUNDUP($Z$10*V15,0)</f>
        <v>498</v>
      </c>
      <c r="AA15" s="236">
        <f t="shared" ref="AA15:AA17" si="1">+Z15*12</f>
        <v>5976</v>
      </c>
    </row>
    <row r="16" spans="3:27" x14ac:dyDescent="0.25">
      <c r="F16" s="11"/>
      <c r="J16" s="25"/>
      <c r="T16" s="11" t="s">
        <v>10</v>
      </c>
      <c r="V16" s="122">
        <f>+'2024 Allocation Source'!C14</f>
        <v>0.68943970448085323</v>
      </c>
      <c r="W16" s="81"/>
      <c r="X16" s="81"/>
      <c r="Z16" s="8">
        <f t="shared" si="0"/>
        <v>3737</v>
      </c>
      <c r="AA16" s="237">
        <f t="shared" si="1"/>
        <v>44844</v>
      </c>
    </row>
    <row r="17" spans="6:27" x14ac:dyDescent="0.25">
      <c r="F17" s="11"/>
      <c r="J17" s="25"/>
      <c r="T17" s="11" t="s">
        <v>122</v>
      </c>
      <c r="V17" s="123">
        <f>+'2024 Allocation Source'!F14</f>
        <v>2.1864852991757482E-2</v>
      </c>
      <c r="W17" s="81"/>
      <c r="X17" s="81"/>
      <c r="Z17" s="208">
        <f t="shared" si="0"/>
        <v>119</v>
      </c>
      <c r="AA17" s="236">
        <f t="shared" si="1"/>
        <v>1428</v>
      </c>
    </row>
    <row r="18" spans="6:27" x14ac:dyDescent="0.25">
      <c r="F18" s="11"/>
      <c r="J18" s="25"/>
      <c r="T18" s="8"/>
      <c r="V18" s="82">
        <f>SUM(V14:V17)</f>
        <v>1</v>
      </c>
      <c r="W18" s="81"/>
      <c r="X18" s="81"/>
      <c r="Z18" s="14">
        <f>SUM(Z14:Z17)</f>
        <v>5421</v>
      </c>
      <c r="AA18" s="71">
        <f>SUM(AA14:AA17)</f>
        <v>65052</v>
      </c>
    </row>
  </sheetData>
  <pageMargins left="0.7" right="0.7" top="0.75" bottom="0.75" header="0.3" footer="0.3"/>
  <pageSetup scale="45" orientation="landscape" horizontalDpi="4294967295" verticalDpi="4294967295" r:id="rId1"/>
  <headerFooter>
    <oddFooter>&amp;L&amp;Z&amp;F&amp;R&amp;D&amp;T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4"/>
  <sheetViews>
    <sheetView topLeftCell="A10" zoomScaleNormal="100" workbookViewId="0">
      <selection activeCell="F20" sqref="F20"/>
    </sheetView>
  </sheetViews>
  <sheetFormatPr defaultRowHeight="15" x14ac:dyDescent="0.25"/>
  <cols>
    <col min="1" max="3" width="1.42578125" customWidth="1"/>
    <col min="4" max="4" width="26.5703125" customWidth="1"/>
    <col min="5" max="5" width="1.42578125" customWidth="1"/>
    <col min="6" max="6" width="13.28515625" customWidth="1"/>
    <col min="7" max="7" width="1.42578125" customWidth="1"/>
    <col min="8" max="8" width="13.28515625" customWidth="1"/>
    <col min="9" max="9" width="1.42578125" customWidth="1"/>
    <col min="10" max="10" width="13.28515625" customWidth="1"/>
    <col min="11" max="11" width="1.42578125" customWidth="1"/>
    <col min="12" max="12" width="13.28515625" customWidth="1"/>
    <col min="13" max="13" width="1.42578125" customWidth="1"/>
    <col min="14" max="14" width="13.28515625" customWidth="1"/>
    <col min="15" max="15" width="3.5703125" customWidth="1"/>
    <col min="18" max="18" width="11.140625" customWidth="1"/>
    <col min="19" max="19" width="10.28515625" bestFit="1" customWidth="1"/>
    <col min="20" max="20" width="11.7109375" customWidth="1"/>
    <col min="21" max="21" width="9.140625" customWidth="1"/>
    <col min="22" max="22" width="11.85546875" customWidth="1"/>
    <col min="24" max="24" width="11.7109375" bestFit="1" customWidth="1"/>
    <col min="25" max="25" width="11.5703125" bestFit="1" customWidth="1"/>
  </cols>
  <sheetData>
    <row r="1" spans="1:21" x14ac:dyDescent="0.25">
      <c r="A1" s="16" t="s">
        <v>94</v>
      </c>
      <c r="F1" s="20" t="str">
        <f>+'Commodity OK'!H2</f>
        <v>Data Input Nov 24 billing =Nov invoices = Oct Flow  data= Oct Sales Volume</v>
      </c>
      <c r="G1" s="16"/>
      <c r="H1" s="16"/>
      <c r="I1" s="16"/>
      <c r="J1" s="16"/>
      <c r="K1" s="16"/>
      <c r="L1" s="16"/>
    </row>
    <row r="2" spans="1:21" x14ac:dyDescent="0.25">
      <c r="H2" s="18"/>
      <c r="I2" s="18"/>
      <c r="J2" s="17" t="s">
        <v>9</v>
      </c>
      <c r="K2" s="18"/>
      <c r="L2" s="18"/>
      <c r="M2" s="18"/>
      <c r="N2" s="18"/>
      <c r="O2" s="16"/>
      <c r="Q2" s="77" t="s">
        <v>143</v>
      </c>
    </row>
    <row r="3" spans="1:21" x14ac:dyDescent="0.25">
      <c r="A3" s="16" t="s">
        <v>96</v>
      </c>
      <c r="H3" s="19" t="s">
        <v>12</v>
      </c>
      <c r="I3" s="19"/>
      <c r="J3" s="19" t="s">
        <v>11</v>
      </c>
      <c r="K3" s="19"/>
      <c r="L3" s="19" t="s">
        <v>10</v>
      </c>
      <c r="M3" s="19"/>
      <c r="N3" s="19" t="s">
        <v>122</v>
      </c>
      <c r="O3" s="19"/>
      <c r="P3" s="2" t="s">
        <v>260</v>
      </c>
      <c r="Q3" s="2"/>
      <c r="R3" s="2"/>
    </row>
    <row r="4" spans="1:21" x14ac:dyDescent="0.25">
      <c r="F4" s="17" t="s">
        <v>8</v>
      </c>
      <c r="H4" s="1"/>
      <c r="J4" s="1"/>
      <c r="L4" s="1"/>
      <c r="N4" s="1"/>
      <c r="P4" s="242" t="s">
        <v>12</v>
      </c>
      <c r="Q4" s="242"/>
      <c r="R4" s="150">
        <f>'2024 Allocation Source'!E14</f>
        <v>0.19679984490856831</v>
      </c>
      <c r="S4" s="150"/>
      <c r="T4" s="150"/>
    </row>
    <row r="5" spans="1:21" x14ac:dyDescent="0.25">
      <c r="P5" s="241" t="s">
        <v>11</v>
      </c>
      <c r="Q5" s="241"/>
      <c r="R5" s="150">
        <f>'2024 Allocation Source'!D14</f>
        <v>9.189559761882099E-2</v>
      </c>
      <c r="S5" s="7"/>
      <c r="T5" s="150"/>
    </row>
    <row r="6" spans="1:21" x14ac:dyDescent="0.25">
      <c r="B6" s="54" t="s">
        <v>13</v>
      </c>
      <c r="C6" s="54"/>
      <c r="D6" s="54"/>
      <c r="F6" s="112">
        <v>0</v>
      </c>
      <c r="G6" s="8"/>
      <c r="H6" s="79">
        <f>F6*R$4</f>
        <v>0</v>
      </c>
      <c r="I6" s="8"/>
      <c r="J6" s="79">
        <f>F6*R$5</f>
        <v>0</v>
      </c>
      <c r="K6" s="8"/>
      <c r="L6" s="79">
        <f>F6*R$6</f>
        <v>0</v>
      </c>
      <c r="M6" s="8"/>
      <c r="N6" s="79">
        <f>F6*R$7</f>
        <v>0</v>
      </c>
      <c r="O6" s="8"/>
      <c r="P6" s="241" t="s">
        <v>10</v>
      </c>
      <c r="Q6" s="241"/>
      <c r="R6" s="150">
        <f>'2024 Allocation Source'!C14</f>
        <v>0.68943970448085323</v>
      </c>
      <c r="S6" s="7"/>
      <c r="T6" s="150"/>
    </row>
    <row r="7" spans="1:21" x14ac:dyDescent="0.25">
      <c r="B7" t="s">
        <v>17</v>
      </c>
      <c r="F7" s="112">
        <f>11903.85-SUM('Direct Charges'!F25:F28)</f>
        <v>9912.0400000000009</v>
      </c>
      <c r="G7" s="8"/>
      <c r="H7" s="79">
        <f>F7*R$4</f>
        <v>1950.6879347275255</v>
      </c>
      <c r="I7" s="8"/>
      <c r="J7" s="79">
        <f>F7*R$5</f>
        <v>910.87283942165845</v>
      </c>
      <c r="K7" s="8"/>
      <c r="L7" s="79">
        <f>F7*R$6</f>
        <v>6833.7539284023969</v>
      </c>
      <c r="M7" s="8"/>
      <c r="N7" s="79">
        <f>F7*R$7</f>
        <v>216.72529744841987</v>
      </c>
      <c r="O7" s="8"/>
      <c r="P7" s="241" t="s">
        <v>122</v>
      </c>
      <c r="Q7" s="241"/>
      <c r="R7" s="151">
        <f>'2024 Allocation Source'!F14</f>
        <v>2.1864852991757482E-2</v>
      </c>
      <c r="S7" s="7"/>
      <c r="T7" s="150"/>
    </row>
    <row r="8" spans="1:21" x14ac:dyDescent="0.25">
      <c r="B8" s="54" t="s">
        <v>15</v>
      </c>
      <c r="C8" s="54"/>
      <c r="D8" s="54"/>
      <c r="F8" s="112">
        <v>15477.4</v>
      </c>
      <c r="G8" s="8"/>
      <c r="H8" s="79">
        <f t="shared" ref="H8:H19" si="0">F8*R$4</f>
        <v>3045.9499195878752</v>
      </c>
      <c r="I8" s="8"/>
      <c r="J8" s="79">
        <f>F8*R$5</f>
        <v>1422.30492258554</v>
      </c>
      <c r="K8" s="8"/>
      <c r="L8" s="79">
        <f>F8*R$6</f>
        <v>10670.734082131958</v>
      </c>
      <c r="M8" s="8"/>
      <c r="N8" s="79">
        <f>F8*R$7</f>
        <v>338.41107569462724</v>
      </c>
      <c r="O8" s="8"/>
      <c r="R8" s="150">
        <f>SUM(R4:R7)</f>
        <v>1</v>
      </c>
      <c r="S8" s="7"/>
      <c r="T8" s="150"/>
      <c r="U8" s="73"/>
    </row>
    <row r="9" spans="1:21" x14ac:dyDescent="0.25">
      <c r="B9" t="s">
        <v>18</v>
      </c>
      <c r="F9" s="112">
        <v>0</v>
      </c>
      <c r="G9" s="8"/>
      <c r="H9" s="79">
        <f t="shared" si="0"/>
        <v>0</v>
      </c>
      <c r="I9" s="8"/>
      <c r="J9" s="79">
        <f>F9*R$5</f>
        <v>0</v>
      </c>
      <c r="K9" s="8"/>
      <c r="L9" s="79">
        <f>F9*R$6</f>
        <v>0</v>
      </c>
      <c r="M9" s="8"/>
      <c r="N9" s="79">
        <f>F9*R$7</f>
        <v>0</v>
      </c>
      <c r="O9" s="8"/>
      <c r="U9" s="73"/>
    </row>
    <row r="10" spans="1:21" x14ac:dyDescent="0.25">
      <c r="B10" s="54" t="s">
        <v>19</v>
      </c>
      <c r="C10" s="54"/>
      <c r="D10" s="54"/>
      <c r="F10" s="112">
        <v>101261.36</v>
      </c>
      <c r="G10" s="8"/>
      <c r="H10" s="79">
        <f>IF(N10=2000,(F10-N10)*(R4/(R8-R7)),(F10*R4))</f>
        <v>19928.219943230702</v>
      </c>
      <c r="I10" s="8"/>
      <c r="J10" s="83">
        <f>IF(N10=2000,(F10-N10)*(R5/(R8-R7)),(F10*R5))</f>
        <v>9305.4731928945748</v>
      </c>
      <c r="K10" s="8"/>
      <c r="L10" s="83">
        <f>IF(N10=2000,(F10-N10)*(R6/(R8-R7)),(F10*R6))</f>
        <v>69813.602113729299</v>
      </c>
      <c r="M10" s="8"/>
      <c r="N10" s="83">
        <f>IF((F10*R$7&lt;2000),(2000),F10*R$7)</f>
        <v>2214.0647501454314</v>
      </c>
      <c r="O10" s="8"/>
      <c r="P10" s="8"/>
      <c r="Q10" s="8"/>
      <c r="U10" s="73"/>
    </row>
    <row r="11" spans="1:21" x14ac:dyDescent="0.25">
      <c r="B11" t="s">
        <v>20</v>
      </c>
      <c r="F11" s="112">
        <f>10594.81-SUM('Direct Charges'!F34:F39)</f>
        <v>6923.7799999999988</v>
      </c>
      <c r="G11" s="8"/>
      <c r="H11" s="79">
        <f t="shared" si="0"/>
        <v>1362.5988301810469</v>
      </c>
      <c r="I11" s="8"/>
      <c r="J11" s="79">
        <f>F11*R$5</f>
        <v>636.26490088124024</v>
      </c>
      <c r="K11" s="8"/>
      <c r="L11" s="79">
        <f>F11*R$6</f>
        <v>4773.5288370904409</v>
      </c>
      <c r="M11" s="8"/>
      <c r="N11" s="79">
        <f>F11*R$7</f>
        <v>151.38743184727059</v>
      </c>
      <c r="O11" s="8"/>
      <c r="U11" s="73"/>
    </row>
    <row r="12" spans="1:21" x14ac:dyDescent="0.25">
      <c r="B12" t="s">
        <v>21</v>
      </c>
      <c r="F12" s="155">
        <f>49046.45-SUM('Direct Charges'!F42:F45)</f>
        <v>4234.4700000000012</v>
      </c>
      <c r="G12" s="8"/>
      <c r="H12" s="79">
        <f t="shared" si="0"/>
        <v>833.34303926998541</v>
      </c>
      <c r="I12" s="8"/>
      <c r="J12" s="79">
        <f>F12*R$5</f>
        <v>389.12915124896904</v>
      </c>
      <c r="K12" s="8"/>
      <c r="L12" s="79">
        <f>F12*R$6</f>
        <v>2919.4117454330394</v>
      </c>
      <c r="M12" s="8"/>
      <c r="N12" s="79">
        <f>F12*R$7</f>
        <v>92.58606404800733</v>
      </c>
      <c r="O12" s="8"/>
    </row>
    <row r="13" spans="1:21" x14ac:dyDescent="0.25">
      <c r="B13" t="s">
        <v>25</v>
      </c>
      <c r="F13" s="112">
        <v>20501.68</v>
      </c>
      <c r="G13" s="8"/>
      <c r="H13" s="79">
        <f t="shared" si="0"/>
        <v>4034.7274443650967</v>
      </c>
      <c r="I13" s="8"/>
      <c r="J13" s="79">
        <f>F13*R$5</f>
        <v>1884.0141357898299</v>
      </c>
      <c r="K13" s="8"/>
      <c r="L13" s="79">
        <f>F13*R$6</f>
        <v>14134.672200561019</v>
      </c>
      <c r="M13" s="8"/>
      <c r="N13" s="79">
        <f>F13*R$7</f>
        <v>448.26621928405456</v>
      </c>
      <c r="O13" s="8"/>
    </row>
    <row r="14" spans="1:21" x14ac:dyDescent="0.25">
      <c r="B14" t="s">
        <v>26</v>
      </c>
      <c r="F14" s="112">
        <v>0</v>
      </c>
      <c r="G14" s="8"/>
      <c r="H14" s="79">
        <f>F14*R$4</f>
        <v>0</v>
      </c>
      <c r="I14" s="8"/>
      <c r="J14" s="79">
        <f>F14*R$5</f>
        <v>0</v>
      </c>
      <c r="K14" s="8"/>
      <c r="L14" s="79">
        <f>F14*R$6</f>
        <v>0</v>
      </c>
      <c r="M14" s="8"/>
      <c r="N14" s="79">
        <f>F14*R$7</f>
        <v>0</v>
      </c>
      <c r="O14" s="8"/>
    </row>
    <row r="15" spans="1:21" x14ac:dyDescent="0.25">
      <c r="B15" t="s">
        <v>27</v>
      </c>
      <c r="F15" s="112">
        <v>21162.12</v>
      </c>
      <c r="G15" s="8"/>
      <c r="H15" s="79">
        <f>IF(N15=1000,(F15-N15)*(R4/(R8-R7)),(F15*R4))</f>
        <v>4056.5990304758025</v>
      </c>
      <c r="I15" s="8"/>
      <c r="J15" s="83">
        <f>IF(N15=1000,(F15-N15)*(R5/(R8-R7)),(F15*R5))</f>
        <v>1894.2270629262746</v>
      </c>
      <c r="K15" s="8"/>
      <c r="L15" s="83">
        <f>IF(N15=1000,(F15-N15)*(R6/(R8-R7)),(F15*R6))</f>
        <v>14211.293906597923</v>
      </c>
      <c r="M15" s="8"/>
      <c r="N15" s="83">
        <f>IF((F15*R$7&lt;1000),(1000),F15*R$7)</f>
        <v>1000</v>
      </c>
      <c r="O15" s="8"/>
      <c r="Q15" s="8"/>
    </row>
    <row r="16" spans="1:21" x14ac:dyDescent="0.25">
      <c r="B16" t="s">
        <v>194</v>
      </c>
      <c r="F16" s="112">
        <v>2276.0100000000002</v>
      </c>
      <c r="G16" s="8"/>
      <c r="H16" s="79">
        <v>0</v>
      </c>
      <c r="I16" s="8"/>
      <c r="J16" s="79">
        <v>0</v>
      </c>
      <c r="K16" s="8"/>
      <c r="L16" s="79">
        <f>+F16</f>
        <v>2276.0100000000002</v>
      </c>
      <c r="M16" s="8"/>
      <c r="N16" s="79">
        <v>0</v>
      </c>
      <c r="O16" s="8"/>
    </row>
    <row r="17" spans="1:19" x14ac:dyDescent="0.25">
      <c r="B17" t="s">
        <v>28</v>
      </c>
      <c r="F17" s="102">
        <v>0</v>
      </c>
      <c r="G17" s="8"/>
      <c r="H17" s="79">
        <f t="shared" si="0"/>
        <v>0</v>
      </c>
      <c r="I17" s="8"/>
      <c r="J17" s="79">
        <f>F17*R$5</f>
        <v>0</v>
      </c>
      <c r="K17" s="8"/>
      <c r="L17" s="79">
        <f>F17*R$6</f>
        <v>0</v>
      </c>
      <c r="M17" s="8"/>
      <c r="N17" s="79">
        <f>F17*R$7</f>
        <v>0</v>
      </c>
      <c r="O17" s="8"/>
    </row>
    <row r="18" spans="1:19" x14ac:dyDescent="0.25">
      <c r="B18" t="s">
        <v>29</v>
      </c>
      <c r="F18" s="112">
        <v>3645.74</v>
      </c>
      <c r="G18" s="8"/>
      <c r="H18" s="79">
        <f t="shared" si="0"/>
        <v>717.48106657696383</v>
      </c>
      <c r="I18" s="8"/>
      <c r="J18" s="79">
        <f>F18*R$5</f>
        <v>335.02745606284043</v>
      </c>
      <c r="K18" s="8"/>
      <c r="L18" s="79">
        <f>F18*R$6</f>
        <v>2513.5179082140257</v>
      </c>
      <c r="M18" s="8"/>
      <c r="N18" s="79">
        <f>F18*R$7</f>
        <v>79.713569146169917</v>
      </c>
      <c r="O18" s="8"/>
    </row>
    <row r="19" spans="1:19" x14ac:dyDescent="0.25">
      <c r="B19" t="s">
        <v>30</v>
      </c>
      <c r="F19" s="112">
        <v>3107.53</v>
      </c>
      <c r="G19" s="8"/>
      <c r="H19" s="79">
        <f t="shared" si="0"/>
        <v>611.56142204872333</v>
      </c>
      <c r="I19" s="8"/>
      <c r="J19" s="79">
        <f>F19*R$5</f>
        <v>285.5683264684148</v>
      </c>
      <c r="K19" s="8"/>
      <c r="L19" s="79">
        <f>F19*R$6</f>
        <v>2142.4545648653861</v>
      </c>
      <c r="M19" s="8"/>
      <c r="N19" s="79">
        <f>F19*R$7</f>
        <v>67.945686617476127</v>
      </c>
      <c r="O19" s="8"/>
      <c r="R19" t="s">
        <v>186</v>
      </c>
      <c r="S19" t="s">
        <v>184</v>
      </c>
    </row>
    <row r="20" spans="1:19" x14ac:dyDescent="0.25">
      <c r="F20" s="8"/>
      <c r="G20" s="8"/>
      <c r="H20" s="8"/>
      <c r="I20" s="8"/>
      <c r="J20" s="8"/>
      <c r="K20" s="8"/>
      <c r="L20" s="8"/>
      <c r="M20" s="8"/>
      <c r="N20" s="8"/>
      <c r="O20" s="8"/>
      <c r="P20" s="242" t="s">
        <v>12</v>
      </c>
      <c r="Q20" s="242"/>
      <c r="R20" s="149">
        <f>+F21*R4</f>
        <v>37097.189948934785</v>
      </c>
      <c r="S20" s="55">
        <f>+H21-R20</f>
        <v>-556.02131847106648</v>
      </c>
    </row>
    <row r="21" spans="1:19" x14ac:dyDescent="0.25">
      <c r="F21" s="84">
        <f>SUM(F6:F19)</f>
        <v>188502.13</v>
      </c>
      <c r="G21" s="23"/>
      <c r="H21" s="84">
        <f>SUM(H6:H19)</f>
        <v>36541.168630463719</v>
      </c>
      <c r="I21" s="23"/>
      <c r="J21" s="84">
        <f>SUM(J6:J19)</f>
        <v>17062.881988279343</v>
      </c>
      <c r="K21" s="23"/>
      <c r="L21" s="84">
        <f>SUM(L6:L19)</f>
        <v>130288.97928702549</v>
      </c>
      <c r="M21" s="23"/>
      <c r="N21" s="84">
        <f>SUM(N6:N19)</f>
        <v>4609.1000942314558</v>
      </c>
      <c r="O21" s="23"/>
      <c r="P21" s="241" t="s">
        <v>11</v>
      </c>
      <c r="Q21" s="241"/>
      <c r="R21" s="149">
        <f>+F21*R5</f>
        <v>17322.515888770686</v>
      </c>
      <c r="S21" s="55">
        <f>+J21-R21</f>
        <v>-259.6339004913425</v>
      </c>
    </row>
    <row r="22" spans="1:19" x14ac:dyDescent="0.25">
      <c r="F22" s="6"/>
      <c r="G22" s="6"/>
      <c r="H22" s="6"/>
      <c r="I22" s="6"/>
      <c r="J22" s="6"/>
      <c r="K22" s="6"/>
      <c r="L22" s="6"/>
      <c r="M22" s="6"/>
      <c r="N22" s="6"/>
      <c r="O22" s="6"/>
      <c r="P22" s="241" t="s">
        <v>10</v>
      </c>
      <c r="Q22" s="241"/>
      <c r="R22" s="149">
        <f>+F21*R6</f>
        <v>129960.85280121138</v>
      </c>
      <c r="S22" s="55">
        <f>+L21-R22</f>
        <v>328.12648581410758</v>
      </c>
    </row>
    <row r="23" spans="1:19" x14ac:dyDescent="0.25">
      <c r="F23" s="6"/>
      <c r="G23" s="6"/>
      <c r="H23" s="6"/>
      <c r="I23" s="6"/>
      <c r="J23" s="6"/>
      <c r="K23" s="6"/>
      <c r="L23" s="6"/>
      <c r="M23" s="6"/>
      <c r="N23" s="6"/>
      <c r="O23" s="6"/>
      <c r="P23" s="241" t="s">
        <v>122</v>
      </c>
      <c r="Q23" s="241"/>
      <c r="R23" s="149">
        <f>+F21*R7</f>
        <v>4121.5713610831581</v>
      </c>
      <c r="S23" s="55">
        <f>+N21-R23</f>
        <v>487.52873314829776</v>
      </c>
    </row>
    <row r="24" spans="1:19" ht="15.75" thickBot="1" x14ac:dyDescent="0.3">
      <c r="F24" s="6"/>
      <c r="G24" s="6"/>
      <c r="H24" s="6"/>
      <c r="I24" s="6"/>
      <c r="J24" s="6"/>
      <c r="K24" s="6"/>
      <c r="L24" s="6"/>
      <c r="M24" s="6"/>
      <c r="N24" s="6"/>
      <c r="O24" s="6"/>
      <c r="R24" s="152">
        <f>SUM(R20:R23)</f>
        <v>188502.13</v>
      </c>
      <c r="S24" s="152">
        <f>SUM(S20:S23)</f>
        <v>-3.637978807091713E-12</v>
      </c>
    </row>
    <row r="25" spans="1:19" ht="15.75" thickTop="1" x14ac:dyDescent="0.25">
      <c r="F25" s="6"/>
      <c r="G25" s="6"/>
      <c r="H25" s="6"/>
      <c r="I25" s="6"/>
      <c r="J25" s="6"/>
      <c r="K25" s="6"/>
      <c r="L25" s="6"/>
      <c r="M25" s="6"/>
      <c r="N25" s="6"/>
      <c r="O25" s="6"/>
      <c r="R25" s="149"/>
    </row>
    <row r="26" spans="1:19" x14ac:dyDescent="0.25">
      <c r="A26" s="16" t="s">
        <v>97</v>
      </c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9" x14ac:dyDescent="0.25">
      <c r="B27" t="s">
        <v>46</v>
      </c>
      <c r="F27" s="79">
        <f>'2024 NUC Rent'!K8</f>
        <v>19279</v>
      </c>
      <c r="G27" s="6"/>
      <c r="H27" s="79">
        <f t="shared" ref="H27:H29" si="1">F27*R$4</f>
        <v>3794.1042099922884</v>
      </c>
      <c r="I27" s="8"/>
      <c r="J27" s="85">
        <f t="shared" ref="J27:J29" si="2">F27*R$5</f>
        <v>1771.6552264932498</v>
      </c>
      <c r="K27" s="8"/>
      <c r="L27" s="79">
        <f t="shared" ref="L27:L29" si="3">F27*R$6</f>
        <v>13291.70806268637</v>
      </c>
      <c r="M27" s="8"/>
      <c r="N27" s="79">
        <f t="shared" ref="N27:N29" si="4">F27*R$7</f>
        <v>421.53250082809251</v>
      </c>
      <c r="O27" s="8"/>
    </row>
    <row r="28" spans="1:19" x14ac:dyDescent="0.25">
      <c r="B28" t="s">
        <v>32</v>
      </c>
      <c r="F28" s="79">
        <f>'2024 NUC Rent'!K9</f>
        <v>5585</v>
      </c>
      <c r="G28" s="6"/>
      <c r="H28" s="79">
        <f t="shared" si="1"/>
        <v>1099.127133814354</v>
      </c>
      <c r="I28" s="8"/>
      <c r="J28" s="85">
        <f t="shared" si="2"/>
        <v>513.23691270111522</v>
      </c>
      <c r="K28" s="8"/>
      <c r="L28" s="79">
        <f t="shared" si="3"/>
        <v>3850.5207495255654</v>
      </c>
      <c r="M28" s="8"/>
      <c r="N28" s="79">
        <f t="shared" si="4"/>
        <v>122.11520395896554</v>
      </c>
      <c r="O28" s="8"/>
    </row>
    <row r="29" spans="1:19" x14ac:dyDescent="0.25">
      <c r="B29" t="s">
        <v>47</v>
      </c>
      <c r="F29" s="79">
        <f>'2024 NUC Rent'!K10</f>
        <v>8937</v>
      </c>
      <c r="G29" s="6"/>
      <c r="H29" s="79">
        <f t="shared" si="1"/>
        <v>1758.8002139478749</v>
      </c>
      <c r="I29" s="8"/>
      <c r="J29" s="85">
        <f t="shared" si="2"/>
        <v>821.27095591940315</v>
      </c>
      <c r="K29" s="8"/>
      <c r="L29" s="79">
        <f t="shared" si="3"/>
        <v>6161.5226389453856</v>
      </c>
      <c r="M29" s="8"/>
      <c r="N29" s="79">
        <f t="shared" si="4"/>
        <v>195.40619118733662</v>
      </c>
      <c r="O29" s="8"/>
    </row>
    <row r="30" spans="1:19" x14ac:dyDescent="0.25">
      <c r="B30" t="s">
        <v>48</v>
      </c>
      <c r="F30" s="79">
        <f>'2024 NUC Rent'!K11</f>
        <v>5399</v>
      </c>
      <c r="G30" s="6"/>
      <c r="H30" s="79">
        <f>F30*R$4</f>
        <v>1062.5223626613604</v>
      </c>
      <c r="I30" s="8"/>
      <c r="J30" s="85">
        <f>F30*R$5</f>
        <v>496.14433154401451</v>
      </c>
      <c r="K30" s="8"/>
      <c r="L30" s="79">
        <f>F30*R$6</f>
        <v>3722.2849644921266</v>
      </c>
      <c r="M30" s="8"/>
      <c r="N30" s="79">
        <f>F30*R$7</f>
        <v>118.04834130249864</v>
      </c>
      <c r="O30" s="8"/>
    </row>
    <row r="31" spans="1:19" x14ac:dyDescent="0.25">
      <c r="B31" t="s">
        <v>41</v>
      </c>
      <c r="F31" s="79">
        <f>'2024 NUC Rent'!K12</f>
        <v>5181</v>
      </c>
      <c r="G31" s="6"/>
      <c r="H31" s="79">
        <f>F31*R$4</f>
        <v>1019.6199964712924</v>
      </c>
      <c r="I31" s="8"/>
      <c r="J31" s="79">
        <f>F31*R$5</f>
        <v>476.11109126311158</v>
      </c>
      <c r="K31" s="8"/>
      <c r="L31" s="79">
        <f>F31*R$6</f>
        <v>3571.9871089153007</v>
      </c>
      <c r="M31" s="8"/>
      <c r="N31" s="79">
        <f>F31*R$7</f>
        <v>113.28180335029552</v>
      </c>
      <c r="O31" s="8"/>
    </row>
    <row r="32" spans="1:19" x14ac:dyDescent="0.25">
      <c r="B32" t="s">
        <v>31</v>
      </c>
      <c r="F32" s="79">
        <f>'2024 NUC Rent'!K13</f>
        <v>17850</v>
      </c>
      <c r="G32" s="6"/>
      <c r="H32" s="79">
        <f>F32*R$4</f>
        <v>3512.8772316179443</v>
      </c>
      <c r="I32" s="8"/>
      <c r="J32" s="79">
        <f>F32*R$5</f>
        <v>1640.3364174959547</v>
      </c>
      <c r="K32" s="8"/>
      <c r="L32" s="79">
        <f>F32*R$6</f>
        <v>12306.49872498323</v>
      </c>
      <c r="M32" s="8"/>
      <c r="N32" s="79">
        <f>F32*R$7</f>
        <v>390.28762590287107</v>
      </c>
      <c r="O32" s="8"/>
    </row>
    <row r="33" spans="6:15" x14ac:dyDescent="0.25">
      <c r="F33" s="6"/>
      <c r="G33" s="6"/>
      <c r="H33" s="8"/>
      <c r="I33" s="8"/>
      <c r="J33" s="8"/>
      <c r="K33" s="8"/>
      <c r="L33" s="8"/>
      <c r="M33" s="8"/>
      <c r="N33" s="8"/>
      <c r="O33" s="8"/>
    </row>
    <row r="34" spans="6:15" x14ac:dyDescent="0.25">
      <c r="F34" s="84">
        <f>SUM(F27:F32)</f>
        <v>62231</v>
      </c>
      <c r="G34" s="20"/>
      <c r="H34" s="84">
        <f>SUM(H27:H32)</f>
        <v>12247.051148505114</v>
      </c>
      <c r="I34" s="23"/>
      <c r="J34" s="84">
        <f>SUM(J27:J32)</f>
        <v>5718.7549354168495</v>
      </c>
      <c r="K34" s="23"/>
      <c r="L34" s="84">
        <f>SUM(L27:L32)</f>
        <v>42904.522249547983</v>
      </c>
      <c r="M34" s="23"/>
      <c r="N34" s="84">
        <f>SUM(N27:N32)</f>
        <v>1360.6716665300598</v>
      </c>
      <c r="O34" s="23"/>
    </row>
  </sheetData>
  <mergeCells count="8">
    <mergeCell ref="P21:Q21"/>
    <mergeCell ref="P22:Q22"/>
    <mergeCell ref="P23:Q23"/>
    <mergeCell ref="P4:Q4"/>
    <mergeCell ref="P5:Q5"/>
    <mergeCell ref="P6:Q6"/>
    <mergeCell ref="P7:Q7"/>
    <mergeCell ref="P20:Q20"/>
  </mergeCells>
  <pageMargins left="0.7" right="0.7" top="0.75" bottom="0.75" header="0.3" footer="0.3"/>
  <pageSetup scale="65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9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Q29" sqref="Q29"/>
    </sheetView>
  </sheetViews>
  <sheetFormatPr defaultRowHeight="15" x14ac:dyDescent="0.25"/>
  <cols>
    <col min="1" max="3" width="1.42578125" customWidth="1"/>
    <col min="4" max="4" width="29.140625" customWidth="1"/>
    <col min="5" max="5" width="2.85546875" customWidth="1"/>
    <col min="6" max="6" width="19.85546875" customWidth="1"/>
    <col min="7" max="7" width="2.85546875" customWidth="1"/>
    <col min="8" max="8" width="12.7109375" customWidth="1"/>
    <col min="9" max="9" width="2.85546875" customWidth="1"/>
    <col min="10" max="10" width="15.28515625" customWidth="1"/>
    <col min="11" max="11" width="2.85546875" customWidth="1"/>
    <col min="12" max="12" width="11.85546875" customWidth="1"/>
    <col min="13" max="13" width="2.85546875" customWidth="1"/>
    <col min="14" max="14" width="13.5703125" customWidth="1"/>
    <col min="15" max="15" width="2.85546875" customWidth="1"/>
    <col min="16" max="16" width="9.7109375" customWidth="1"/>
    <col min="17" max="17" width="10.5703125" customWidth="1"/>
    <col min="18" max="18" width="10.140625" customWidth="1"/>
    <col min="19" max="19" width="4.140625" customWidth="1"/>
    <col min="20" max="23" width="9.28515625" customWidth="1"/>
  </cols>
  <sheetData>
    <row r="1" spans="1:22" x14ac:dyDescent="0.25">
      <c r="A1" s="16" t="s">
        <v>114</v>
      </c>
      <c r="F1" s="6" t="str">
        <f>+'Commodity OK'!H2</f>
        <v>Data Input Nov 24 billing =Nov invoices = Oct Flow  data= Oct Sales Volume</v>
      </c>
    </row>
    <row r="2" spans="1:22" x14ac:dyDescent="0.25">
      <c r="H2" s="18"/>
      <c r="I2" s="18"/>
      <c r="J2" s="17" t="s">
        <v>9</v>
      </c>
      <c r="K2" s="18"/>
      <c r="L2" s="18"/>
      <c r="M2" s="18"/>
      <c r="N2" s="18"/>
      <c r="Q2" s="1" t="s">
        <v>40</v>
      </c>
    </row>
    <row r="3" spans="1:22" x14ac:dyDescent="0.25">
      <c r="A3" s="16" t="s">
        <v>98</v>
      </c>
      <c r="H3" s="19" t="s">
        <v>33</v>
      </c>
      <c r="I3" s="19"/>
      <c r="J3" s="19" t="s">
        <v>36</v>
      </c>
      <c r="K3" s="19"/>
      <c r="L3" s="19" t="s">
        <v>35</v>
      </c>
      <c r="M3" s="19"/>
      <c r="N3" s="19" t="s">
        <v>109</v>
      </c>
      <c r="P3" s="2" t="s">
        <v>260</v>
      </c>
      <c r="Q3" s="2"/>
      <c r="R3" s="2"/>
    </row>
    <row r="4" spans="1:22" x14ac:dyDescent="0.25">
      <c r="F4" s="17" t="s">
        <v>8</v>
      </c>
      <c r="H4" s="1"/>
      <c r="J4" s="1"/>
      <c r="L4" s="1"/>
      <c r="N4" s="1"/>
      <c r="P4" s="1" t="s">
        <v>33</v>
      </c>
      <c r="Q4" s="131">
        <f>+'2023 Allocation Source'!C29</f>
        <v>0.52608325149750468</v>
      </c>
      <c r="R4" s="131">
        <f>Q4/Q8</f>
        <v>0.52608325149750468</v>
      </c>
    </row>
    <row r="5" spans="1:22" x14ac:dyDescent="0.25">
      <c r="P5" s="1" t="s">
        <v>34</v>
      </c>
      <c r="Q5" s="131">
        <f>+'2023 Allocation Source'!D29</f>
        <v>0.31920350959112986</v>
      </c>
      <c r="R5" s="131">
        <f>Q5/Q8</f>
        <v>0.31920350959112986</v>
      </c>
    </row>
    <row r="6" spans="1:22" x14ac:dyDescent="0.25">
      <c r="B6" t="s">
        <v>0</v>
      </c>
      <c r="F6" s="85">
        <f>'Direct Charges'!L10</f>
        <v>113448.41</v>
      </c>
      <c r="G6" s="60"/>
      <c r="H6" s="85">
        <f>ROUNDUP(IF(N6=2500,(F6-L6-N6)*(Q4/(Q8-Q6-Q7)),(F6*R4)),0)</f>
        <v>59684</v>
      </c>
      <c r="I6" s="60"/>
      <c r="J6" s="222">
        <f>ROUNDUP(IF(SUM(H6,L6,N6,F6*R5)&gt;F6,((F6-L6-N6)*(Q5/(Q8-Q6-Q7))),(F6*R5)),0)</f>
        <v>36213</v>
      </c>
      <c r="K6" s="60"/>
      <c r="L6" s="85">
        <f>ROUNDUP(IF((F6*R$6&lt;2500),(2500),F6*R$6),0)</f>
        <v>7184</v>
      </c>
      <c r="M6" s="60"/>
      <c r="N6" s="85">
        <f>ROUNDUP(IF((F6*R$7&lt;2500),(2500),F6*R$7),0)</f>
        <v>10369</v>
      </c>
      <c r="O6" s="6"/>
      <c r="P6" s="1" t="s">
        <v>35</v>
      </c>
      <c r="Q6" s="131">
        <f>+'2023 Allocation Source'!E29</f>
        <v>6.3320109334595809E-2</v>
      </c>
      <c r="R6" s="131">
        <f>Q6/Q8</f>
        <v>6.3320109334595809E-2</v>
      </c>
    </row>
    <row r="7" spans="1:22" x14ac:dyDescent="0.25">
      <c r="B7" t="s">
        <v>4</v>
      </c>
      <c r="F7" s="85">
        <f>'Direct Charges'!L16</f>
        <v>18909.12</v>
      </c>
      <c r="G7" s="60"/>
      <c r="H7" s="85">
        <f>ROUNDUP(F7*R$4,0)</f>
        <v>9948</v>
      </c>
      <c r="I7" s="60"/>
      <c r="J7" s="222">
        <f>ROUNDUP(F7*R$5,0)</f>
        <v>6036</v>
      </c>
      <c r="K7" s="60"/>
      <c r="L7" s="85">
        <f>ROUNDUP(F7*R$6,0)</f>
        <v>1198</v>
      </c>
      <c r="M7" s="60"/>
      <c r="N7" s="85">
        <f>ROUNDUP(F7*R$7,0)</f>
        <v>1729</v>
      </c>
      <c r="P7" s="1" t="s">
        <v>112</v>
      </c>
      <c r="Q7" s="131">
        <f>+'2023 Allocation Source'!F29</f>
        <v>9.139312957676958E-2</v>
      </c>
      <c r="R7" s="215">
        <f>Q7/Q8</f>
        <v>9.139312957676958E-2</v>
      </c>
    </row>
    <row r="8" spans="1:22" x14ac:dyDescent="0.25">
      <c r="B8" t="s">
        <v>13</v>
      </c>
      <c r="F8" s="85">
        <f>'Allocation Charges'!L6</f>
        <v>0</v>
      </c>
      <c r="G8" s="60"/>
      <c r="H8" s="85">
        <f>ROUNDUP(F8*R$4,0)</f>
        <v>0</v>
      </c>
      <c r="I8" s="60"/>
      <c r="J8" s="222">
        <f>ROUNDUP(F8*R$5,0)</f>
        <v>0</v>
      </c>
      <c r="K8" s="60"/>
      <c r="L8" s="85">
        <f>ROUNDUP(F8*R$6,0)</f>
        <v>0</v>
      </c>
      <c r="M8" s="60"/>
      <c r="N8" s="85">
        <f>ROUNDUP(F8*R$7,0)</f>
        <v>0</v>
      </c>
      <c r="P8" s="1"/>
      <c r="Q8" s="78">
        <f>SUM(Q4:Q7)</f>
        <v>1</v>
      </c>
      <c r="R8" s="5">
        <f>SUM(R4:R7)</f>
        <v>1</v>
      </c>
    </row>
    <row r="9" spans="1:22" x14ac:dyDescent="0.25">
      <c r="B9" t="s">
        <v>14</v>
      </c>
      <c r="F9" s="85">
        <f>'Direct Charges'!L18</f>
        <v>15024.59</v>
      </c>
      <c r="G9" s="60"/>
      <c r="H9" s="85">
        <v>0</v>
      </c>
      <c r="I9" s="60"/>
      <c r="J9" s="222">
        <v>0</v>
      </c>
      <c r="K9" s="60"/>
      <c r="L9" s="85">
        <f>ROUNDUP(F9,0)</f>
        <v>15025</v>
      </c>
      <c r="M9" s="60"/>
      <c r="N9" s="85">
        <v>0</v>
      </c>
      <c r="P9" s="1"/>
      <c r="Q9" s="1"/>
      <c r="R9" s="5"/>
    </row>
    <row r="10" spans="1:22" x14ac:dyDescent="0.25">
      <c r="B10" t="s">
        <v>17</v>
      </c>
      <c r="F10" s="6"/>
      <c r="G10" s="60"/>
      <c r="H10" s="6"/>
      <c r="I10" s="60"/>
      <c r="J10" s="120"/>
      <c r="K10" s="60"/>
      <c r="L10" s="6"/>
      <c r="M10" s="60"/>
      <c r="N10" s="60"/>
      <c r="Q10" s="1"/>
    </row>
    <row r="11" spans="1:22" x14ac:dyDescent="0.25">
      <c r="C11" t="s">
        <v>37</v>
      </c>
      <c r="F11" s="6">
        <f>'Direct Charges'!L28</f>
        <v>1562.56</v>
      </c>
      <c r="G11" s="60"/>
      <c r="H11" s="6"/>
      <c r="I11" s="60"/>
      <c r="J11" s="120"/>
      <c r="K11" s="60"/>
      <c r="L11" s="6"/>
      <c r="M11" s="60"/>
      <c r="N11" s="60"/>
      <c r="Q11" s="1"/>
    </row>
    <row r="12" spans="1:22" x14ac:dyDescent="0.25">
      <c r="C12" t="s">
        <v>38</v>
      </c>
      <c r="F12" s="6">
        <f>'Allocation Charges'!L7</f>
        <v>6833.7539284023969</v>
      </c>
      <c r="G12" s="60"/>
      <c r="H12" s="6"/>
      <c r="I12" s="60"/>
      <c r="J12" s="120"/>
      <c r="K12" s="60"/>
      <c r="L12" s="6"/>
      <c r="M12" s="60"/>
      <c r="N12" s="60"/>
      <c r="P12" s="6"/>
      <c r="Q12" s="52"/>
      <c r="R12" s="60"/>
    </row>
    <row r="13" spans="1:22" x14ac:dyDescent="0.25">
      <c r="F13" s="224">
        <f>F12+F11</f>
        <v>8396.3139284023964</v>
      </c>
      <c r="G13" s="60"/>
      <c r="H13" s="85">
        <f>ROUNDUP(F13*R$4,0)</f>
        <v>4418</v>
      </c>
      <c r="I13" s="60"/>
      <c r="J13" s="222">
        <f>ROUNDUP(F13*R$5,0)</f>
        <v>2681</v>
      </c>
      <c r="K13" s="60"/>
      <c r="L13" s="85">
        <f>ROUNDUP(F13*R$6,0)</f>
        <v>532</v>
      </c>
      <c r="M13" s="60"/>
      <c r="N13" s="85">
        <f>ROUNDUP(F13*R$7,0)</f>
        <v>768</v>
      </c>
      <c r="Q13" s="52"/>
      <c r="S13" s="6"/>
    </row>
    <row r="14" spans="1:22" x14ac:dyDescent="0.25">
      <c r="B14" t="s">
        <v>15</v>
      </c>
      <c r="F14" s="6"/>
      <c r="G14" s="60"/>
      <c r="H14" s="6"/>
      <c r="I14" s="60"/>
      <c r="J14" s="120"/>
      <c r="K14" s="60"/>
      <c r="L14" s="6"/>
      <c r="M14" s="60"/>
      <c r="N14" s="6"/>
      <c r="Q14" s="6"/>
      <c r="S14" s="6"/>
      <c r="T14" s="60"/>
    </row>
    <row r="15" spans="1:22" x14ac:dyDescent="0.25">
      <c r="C15" t="s">
        <v>37</v>
      </c>
      <c r="F15" s="6">
        <f>'Direct Charges'!L31</f>
        <v>4641.62</v>
      </c>
      <c r="G15" s="60"/>
      <c r="H15" s="6"/>
      <c r="I15" s="60"/>
      <c r="J15" s="120"/>
      <c r="K15" s="60"/>
      <c r="L15" s="6"/>
      <c r="M15" s="60"/>
      <c r="N15" s="6"/>
      <c r="Q15" s="60"/>
      <c r="R15" s="60"/>
      <c r="S15" s="60"/>
      <c r="T15" s="60"/>
      <c r="V15" s="60"/>
    </row>
    <row r="16" spans="1:22" x14ac:dyDescent="0.25">
      <c r="C16" t="s">
        <v>38</v>
      </c>
      <c r="F16" s="6">
        <f>'Allocation Charges'!L8</f>
        <v>10670.734082131958</v>
      </c>
      <c r="G16" s="60"/>
      <c r="H16" s="6"/>
      <c r="I16" s="60"/>
      <c r="J16" s="120"/>
      <c r="K16" s="60"/>
      <c r="L16" s="6"/>
      <c r="M16" s="60"/>
      <c r="N16" s="6"/>
      <c r="S16" s="6"/>
      <c r="T16" s="6"/>
    </row>
    <row r="17" spans="2:22" x14ac:dyDescent="0.25">
      <c r="D17" s="7" t="s">
        <v>39</v>
      </c>
      <c r="F17" s="224">
        <f>F16+F15</f>
        <v>15312.354082131958</v>
      </c>
      <c r="G17" s="60"/>
      <c r="H17" s="85">
        <f>ROUNDUP(F17*R$4,0)</f>
        <v>8056</v>
      </c>
      <c r="I17" s="60"/>
      <c r="J17" s="222">
        <f>ROUNDUP(F17*R$5,0)</f>
        <v>4888</v>
      </c>
      <c r="K17" s="60"/>
      <c r="L17" s="85">
        <f>ROUNDUP(F17*R$6,0)</f>
        <v>970</v>
      </c>
      <c r="M17" s="60"/>
      <c r="N17" s="85">
        <f>ROUNDUP(F17*R$7,0)</f>
        <v>1400</v>
      </c>
      <c r="S17" s="65"/>
      <c r="T17" s="6"/>
      <c r="V17" s="6"/>
    </row>
    <row r="18" spans="2:22" x14ac:dyDescent="0.25">
      <c r="B18" t="s">
        <v>18</v>
      </c>
      <c r="F18" s="85">
        <f>'Allocation Charges'!L9</f>
        <v>0</v>
      </c>
      <c r="G18" s="60"/>
      <c r="H18" s="85">
        <f>ROUNDUP(F18*R$4,0)</f>
        <v>0</v>
      </c>
      <c r="I18" s="60"/>
      <c r="J18" s="222">
        <f>ROUNDUP(F18*R$5,0)</f>
        <v>0</v>
      </c>
      <c r="K18" s="60"/>
      <c r="L18" s="85">
        <f>ROUNDUP(F18*R$6,0)</f>
        <v>0</v>
      </c>
      <c r="M18" s="60"/>
      <c r="N18" s="85">
        <f>ROUNDUP(F18*R$7,0)</f>
        <v>0</v>
      </c>
      <c r="S18" s="66"/>
    </row>
    <row r="19" spans="2:22" x14ac:dyDescent="0.25">
      <c r="B19" t="s">
        <v>19</v>
      </c>
      <c r="F19" s="85">
        <f>'Allocation Charges'!L10</f>
        <v>69813.602113729299</v>
      </c>
      <c r="G19" s="60"/>
      <c r="H19" s="85">
        <f>ROUNDUP(F19*R$4,0)</f>
        <v>36728</v>
      </c>
      <c r="I19" s="60"/>
      <c r="J19" s="222">
        <f>ROUNDUP(F19*R$5,0)</f>
        <v>22285</v>
      </c>
      <c r="K19" s="60"/>
      <c r="L19" s="85">
        <f>ROUNDUP(F19*R$6,0)</f>
        <v>4421</v>
      </c>
      <c r="M19" s="60"/>
      <c r="N19" s="85">
        <f>ROUNDUP(F19*R$7,0)</f>
        <v>6381</v>
      </c>
    </row>
    <row r="20" spans="2:22" x14ac:dyDescent="0.25">
      <c r="B20" t="s">
        <v>20</v>
      </c>
      <c r="F20" s="6"/>
      <c r="G20" s="60"/>
      <c r="H20" s="6"/>
      <c r="I20" s="60"/>
      <c r="J20" s="120"/>
      <c r="K20" s="60"/>
      <c r="L20" s="6"/>
      <c r="M20" s="60"/>
      <c r="N20" s="6"/>
    </row>
    <row r="21" spans="2:22" x14ac:dyDescent="0.25">
      <c r="C21" t="s">
        <v>37</v>
      </c>
      <c r="F21" s="6">
        <f>'Direct Charges'!L39</f>
        <v>2445.61</v>
      </c>
      <c r="G21" s="60"/>
      <c r="H21" s="6"/>
      <c r="I21" s="60"/>
      <c r="J21" s="120"/>
      <c r="K21" s="60"/>
      <c r="L21" s="6"/>
      <c r="M21" s="60"/>
      <c r="N21" s="6"/>
      <c r="S21" s="6"/>
    </row>
    <row r="22" spans="2:22" x14ac:dyDescent="0.25">
      <c r="C22" t="s">
        <v>38</v>
      </c>
      <c r="F22" s="6">
        <f>'Allocation Charges'!L11</f>
        <v>4773.5288370904409</v>
      </c>
      <c r="G22" s="60"/>
      <c r="H22" s="6"/>
      <c r="I22" s="60"/>
      <c r="J22" s="120"/>
      <c r="K22" s="60"/>
      <c r="L22" s="6"/>
      <c r="M22" s="60"/>
      <c r="N22" s="6"/>
    </row>
    <row r="23" spans="2:22" x14ac:dyDescent="0.25">
      <c r="F23" s="224">
        <f>F22+F21</f>
        <v>7219.1388370904406</v>
      </c>
      <c r="G23" s="60"/>
      <c r="H23" s="85">
        <f>ROUNDUP(F23*R$4,0)</f>
        <v>3798</v>
      </c>
      <c r="I23" s="60"/>
      <c r="J23" s="222">
        <f>ROUNDUP(F23*R$5,0)</f>
        <v>2305</v>
      </c>
      <c r="K23" s="60"/>
      <c r="L23" s="85">
        <f>ROUNDUP(F23*R$6,0)</f>
        <v>458</v>
      </c>
      <c r="M23" s="60"/>
      <c r="N23" s="85">
        <f>ROUNDUP(F23*R$7,0)</f>
        <v>660</v>
      </c>
    </row>
    <row r="24" spans="2:22" x14ac:dyDescent="0.25">
      <c r="B24" t="s">
        <v>21</v>
      </c>
      <c r="F24" s="6"/>
      <c r="G24" s="60"/>
      <c r="H24" s="6"/>
      <c r="I24" s="60"/>
      <c r="J24" s="120"/>
      <c r="K24" s="60"/>
      <c r="L24" s="6"/>
      <c r="M24" s="60"/>
      <c r="N24" s="6"/>
    </row>
    <row r="25" spans="2:22" x14ac:dyDescent="0.25">
      <c r="C25" t="s">
        <v>37</v>
      </c>
      <c r="F25" s="6">
        <f>'Direct Charges'!L45</f>
        <v>19655.03</v>
      </c>
      <c r="G25" s="60"/>
      <c r="H25" s="6"/>
      <c r="I25" s="60"/>
      <c r="J25" s="120"/>
      <c r="K25" s="60"/>
      <c r="L25" s="6"/>
      <c r="M25" s="60"/>
      <c r="N25" s="6"/>
    </row>
    <row r="26" spans="2:22" x14ac:dyDescent="0.25">
      <c r="C26" t="s">
        <v>38</v>
      </c>
      <c r="F26" s="6">
        <f>'Allocation Charges'!L12</f>
        <v>2919.4117454330394</v>
      </c>
      <c r="G26" s="60"/>
      <c r="H26" s="6"/>
      <c r="I26" s="60"/>
      <c r="J26" s="120"/>
      <c r="K26" s="60"/>
      <c r="L26" s="6"/>
      <c r="M26" s="60"/>
      <c r="N26" s="6"/>
    </row>
    <row r="27" spans="2:22" x14ac:dyDescent="0.25">
      <c r="D27" s="7" t="s">
        <v>39</v>
      </c>
      <c r="F27" s="224">
        <f>F26+F25</f>
        <v>22574.44174543304</v>
      </c>
      <c r="G27" s="60"/>
      <c r="H27" s="85">
        <f>ROUNDUP(F27*R$4,0)</f>
        <v>11877</v>
      </c>
      <c r="I27" s="60"/>
      <c r="J27" s="222">
        <f>ROUNDUP(F27*R$5,0)</f>
        <v>7206</v>
      </c>
      <c r="K27" s="60"/>
      <c r="L27" s="85">
        <f>ROUNDUP(F27*R$6,0)</f>
        <v>1430</v>
      </c>
      <c r="M27" s="60"/>
      <c r="N27" s="85">
        <f>ROUNDUP(F27*R$7,0)</f>
        <v>2064</v>
      </c>
    </row>
    <row r="28" spans="2:22" x14ac:dyDescent="0.25">
      <c r="B28" t="s">
        <v>25</v>
      </c>
      <c r="F28" s="85">
        <f>'Allocation Charges'!L13</f>
        <v>14134.672200561019</v>
      </c>
      <c r="G28" s="60"/>
      <c r="H28" s="85">
        <f>ROUNDUP(F28*R$4,0)</f>
        <v>7437</v>
      </c>
      <c r="I28" s="60"/>
      <c r="J28" s="222">
        <f>ROUNDUP(F28*R$5,0)</f>
        <v>4512</v>
      </c>
      <c r="K28" s="60"/>
      <c r="L28" s="85">
        <f>ROUNDUP(F28*R$6,0)</f>
        <v>896</v>
      </c>
      <c r="M28" s="60"/>
      <c r="N28" s="85">
        <f>ROUNDUP(F28*R$7,0)</f>
        <v>1292</v>
      </c>
    </row>
    <row r="29" spans="2:22" x14ac:dyDescent="0.25">
      <c r="B29" t="s">
        <v>26</v>
      </c>
      <c r="G29" s="60"/>
    </row>
    <row r="30" spans="2:22" x14ac:dyDescent="0.25">
      <c r="C30" t="s">
        <v>37</v>
      </c>
      <c r="F30" s="6">
        <f>+'Direct Charges'!L51</f>
        <v>360</v>
      </c>
      <c r="G30" s="60"/>
      <c r="H30" s="6"/>
      <c r="I30" s="60"/>
      <c r="J30" s="120"/>
      <c r="K30" s="60"/>
      <c r="L30" s="6"/>
      <c r="M30" s="60"/>
      <c r="N30" s="6"/>
    </row>
    <row r="31" spans="2:22" x14ac:dyDescent="0.25">
      <c r="C31" t="s">
        <v>38</v>
      </c>
      <c r="F31" s="6">
        <f>'Allocation Charges'!L14</f>
        <v>0</v>
      </c>
      <c r="G31" s="60"/>
      <c r="H31" s="6"/>
      <c r="I31" s="60"/>
      <c r="J31" s="120"/>
      <c r="K31" s="60"/>
      <c r="L31" s="6"/>
      <c r="M31" s="60"/>
      <c r="N31" s="6"/>
    </row>
    <row r="32" spans="2:22" x14ac:dyDescent="0.25">
      <c r="D32" s="7" t="s">
        <v>39</v>
      </c>
      <c r="F32" s="224">
        <f>+F31+F30</f>
        <v>360</v>
      </c>
      <c r="G32" s="60"/>
      <c r="H32" s="85">
        <f>ROUNDUP(F32*R$4,0)</f>
        <v>190</v>
      </c>
      <c r="I32" s="60"/>
      <c r="J32" s="222">
        <f>ROUNDUP(F32*R$5,0)</f>
        <v>115</v>
      </c>
      <c r="K32" s="60"/>
      <c r="L32" s="85">
        <f>ROUNDUP(F32*R$6,0)</f>
        <v>23</v>
      </c>
      <c r="M32" s="60"/>
      <c r="N32" s="85">
        <f>ROUNDUP(F32*R$7,0)</f>
        <v>33</v>
      </c>
    </row>
    <row r="33" spans="1:17" x14ac:dyDescent="0.25">
      <c r="B33" t="s">
        <v>27</v>
      </c>
      <c r="F33" s="6"/>
      <c r="G33" s="60"/>
      <c r="H33" s="6"/>
      <c r="I33" s="60"/>
      <c r="J33" s="120"/>
      <c r="K33" s="60"/>
      <c r="L33" s="6"/>
      <c r="M33" s="60"/>
      <c r="N33" s="6"/>
    </row>
    <row r="34" spans="1:17" x14ac:dyDescent="0.25">
      <c r="C34" t="s">
        <v>37</v>
      </c>
      <c r="F34" s="6">
        <f>+'Direct Charges'!L57</f>
        <v>26200.13</v>
      </c>
      <c r="G34" s="60"/>
      <c r="H34" s="6"/>
      <c r="I34" s="60"/>
      <c r="J34" s="120"/>
      <c r="K34" s="60"/>
      <c r="L34" s="6"/>
      <c r="M34" s="60"/>
      <c r="N34" s="6"/>
    </row>
    <row r="35" spans="1:17" x14ac:dyDescent="0.25">
      <c r="C35" t="s">
        <v>38</v>
      </c>
      <c r="F35" s="6">
        <f>'Allocation Charges'!L15</f>
        <v>14211.293906597923</v>
      </c>
      <c r="G35" s="60"/>
      <c r="H35" s="6"/>
      <c r="I35" s="60"/>
      <c r="J35" s="120"/>
      <c r="K35" s="60"/>
      <c r="L35" s="6"/>
      <c r="M35" s="60"/>
      <c r="N35" s="6"/>
    </row>
    <row r="36" spans="1:17" x14ac:dyDescent="0.25">
      <c r="D36" s="7" t="s">
        <v>39</v>
      </c>
      <c r="F36" s="224">
        <f>F35+F34</f>
        <v>40411.42390659792</v>
      </c>
      <c r="G36" s="60"/>
      <c r="H36" s="85">
        <f>ROUNDUP(F36*R$4,0)</f>
        <v>21260</v>
      </c>
      <c r="I36" s="60"/>
      <c r="J36" s="222">
        <f>ROUNDUP(F36*R$5,0)</f>
        <v>12900</v>
      </c>
      <c r="K36" s="60"/>
      <c r="L36" s="85">
        <f>ROUNDUP(F36*R$6,0)</f>
        <v>2559</v>
      </c>
      <c r="M36" s="60"/>
      <c r="N36" s="85">
        <f>ROUNDUP(F36*R$7,0)</f>
        <v>3694</v>
      </c>
    </row>
    <row r="37" spans="1:17" x14ac:dyDescent="0.25">
      <c r="B37" t="s">
        <v>194</v>
      </c>
      <c r="F37" s="85">
        <f>'Allocation Charges'!L16</f>
        <v>2276.0100000000002</v>
      </c>
      <c r="G37" s="60"/>
      <c r="H37" s="85">
        <f>ROUNDUP(F37*R$4,0)</f>
        <v>1198</v>
      </c>
      <c r="I37" s="60"/>
      <c r="J37" s="222">
        <f>ROUNDUP(F37*R$5,0)</f>
        <v>727</v>
      </c>
      <c r="K37" s="60"/>
      <c r="L37" s="85">
        <f>ROUNDUP(F37*R$6,0)</f>
        <v>145</v>
      </c>
      <c r="M37" s="60"/>
      <c r="N37" s="85">
        <f>ROUNDUP(F37*R$7,0)</f>
        <v>209</v>
      </c>
    </row>
    <row r="38" spans="1:17" x14ac:dyDescent="0.25">
      <c r="B38" t="s">
        <v>28</v>
      </c>
      <c r="F38" s="85">
        <f>'Allocation Charges'!L17</f>
        <v>0</v>
      </c>
      <c r="G38" s="60"/>
      <c r="H38" s="85">
        <f>ROUNDUP(F38*R$4,0)</f>
        <v>0</v>
      </c>
      <c r="I38" s="60"/>
      <c r="J38" s="222">
        <f>ROUNDUP(F38*R$5,0)</f>
        <v>0</v>
      </c>
      <c r="K38" s="60"/>
      <c r="L38" s="85">
        <f>ROUNDUP(F38*R$6,0)</f>
        <v>0</v>
      </c>
      <c r="M38" s="60"/>
      <c r="N38" s="85">
        <f>ROUNDUP(F38*R$7,0)</f>
        <v>0</v>
      </c>
    </row>
    <row r="39" spans="1:17" x14ac:dyDescent="0.25">
      <c r="B39" t="s">
        <v>29</v>
      </c>
      <c r="F39" s="85">
        <f>'Allocation Charges'!L18</f>
        <v>2513.5179082140257</v>
      </c>
      <c r="G39" s="60"/>
      <c r="H39" s="85">
        <f>ROUNDUP(F39*R$4,0)</f>
        <v>1323</v>
      </c>
      <c r="I39" s="60"/>
      <c r="J39" s="222">
        <f>ROUNDUP(F39*R$5,0)</f>
        <v>803</v>
      </c>
      <c r="K39" s="60"/>
      <c r="L39" s="85">
        <f>ROUNDUP(F39*R$6,0)</f>
        <v>160</v>
      </c>
      <c r="M39" s="60"/>
      <c r="N39" s="85">
        <f>ROUNDUP(F39*R$7,0)</f>
        <v>230</v>
      </c>
    </row>
    <row r="40" spans="1:17" x14ac:dyDescent="0.25">
      <c r="B40" t="s">
        <v>30</v>
      </c>
      <c r="F40" s="85">
        <f>'Allocation Charges'!L19</f>
        <v>2142.4545648653861</v>
      </c>
      <c r="G40" s="60"/>
      <c r="H40" s="85">
        <f>ROUNDUP(F40*R$4,0)</f>
        <v>1128</v>
      </c>
      <c r="I40" s="60"/>
      <c r="J40" s="222">
        <f>ROUNDUP(F40*R$5,0)</f>
        <v>684</v>
      </c>
      <c r="K40" s="60"/>
      <c r="L40" s="85">
        <f>ROUNDUP(F40*R$6,0)</f>
        <v>136</v>
      </c>
      <c r="M40" s="60"/>
      <c r="N40" s="85">
        <f>ROUNDUP(F40*R$7,0)</f>
        <v>196</v>
      </c>
    </row>
    <row r="41" spans="1:17" x14ac:dyDescent="0.25">
      <c r="F41" s="6"/>
      <c r="G41" s="60"/>
      <c r="H41" s="6"/>
      <c r="I41" s="60"/>
      <c r="J41" s="120"/>
      <c r="K41" s="60"/>
      <c r="L41" s="6"/>
      <c r="M41" s="60"/>
      <c r="N41" s="6"/>
      <c r="Q41" s="6"/>
    </row>
    <row r="42" spans="1:17" x14ac:dyDescent="0.25">
      <c r="F42" s="219">
        <f>F6+F7+F8+F9+F13+F17+F18+F19+F23+F27+F28+F32++F37+F38+F39+F40+F36</f>
        <v>332536.04928702547</v>
      </c>
      <c r="G42" s="60"/>
      <c r="H42" s="219">
        <f>SUM(H6:H41)</f>
        <v>167045</v>
      </c>
      <c r="I42" s="60"/>
      <c r="J42" s="219">
        <f>SUM(J6:J41)</f>
        <v>101355</v>
      </c>
      <c r="K42" s="60"/>
      <c r="L42" s="219">
        <f>SUM(L6:L41)</f>
        <v>35137</v>
      </c>
      <c r="M42" s="60"/>
      <c r="N42" s="219">
        <f>SUM(N6:N41)</f>
        <v>29025</v>
      </c>
    </row>
    <row r="43" spans="1:17" x14ac:dyDescent="0.25">
      <c r="F43" s="6"/>
      <c r="G43" s="6"/>
      <c r="H43" s="6"/>
      <c r="I43" s="6"/>
      <c r="J43" s="120"/>
      <c r="K43" s="6"/>
      <c r="L43" s="6"/>
      <c r="M43" s="6"/>
      <c r="N43" s="6"/>
    </row>
    <row r="44" spans="1:17" x14ac:dyDescent="0.25">
      <c r="A44" s="16" t="s">
        <v>99</v>
      </c>
      <c r="F44" s="6"/>
      <c r="G44" s="6"/>
      <c r="H44" s="6"/>
      <c r="I44" s="6"/>
      <c r="J44" s="120"/>
      <c r="K44" s="6"/>
      <c r="L44" s="6"/>
      <c r="M44" s="6"/>
      <c r="N44" s="6"/>
    </row>
    <row r="45" spans="1:17" x14ac:dyDescent="0.25">
      <c r="F45" s="6"/>
      <c r="G45" s="6"/>
      <c r="H45" s="6"/>
      <c r="I45" s="6"/>
      <c r="J45" s="120"/>
      <c r="K45" s="6"/>
      <c r="L45" s="6"/>
      <c r="M45" s="6"/>
      <c r="N45" s="6"/>
    </row>
    <row r="46" spans="1:17" x14ac:dyDescent="0.25">
      <c r="B46" t="s">
        <v>100</v>
      </c>
      <c r="F46" s="85">
        <f>'Allocation Charges'!L27</f>
        <v>13291.70806268637</v>
      </c>
      <c r="G46" s="8"/>
      <c r="H46" s="85">
        <f t="shared" ref="H46:H51" si="0">ROUNDUP(F46*R$4,0)</f>
        <v>6993</v>
      </c>
      <c r="I46" s="8"/>
      <c r="J46" s="222">
        <f t="shared" ref="J46:J51" si="1">ROUNDUP(F46*R$5,0)</f>
        <v>4243</v>
      </c>
      <c r="K46" s="8"/>
      <c r="L46" s="85">
        <f t="shared" ref="L46:L51" si="2">ROUNDUP(F46*R$6,0)</f>
        <v>842</v>
      </c>
      <c r="M46" s="8"/>
      <c r="N46" s="85">
        <f t="shared" ref="N46:N51" si="3">ROUNDUP(F46*R$7,0)</f>
        <v>1215</v>
      </c>
    </row>
    <row r="47" spans="1:17" x14ac:dyDescent="0.25">
      <c r="B47" t="s">
        <v>101</v>
      </c>
      <c r="F47" s="85">
        <f>'Allocation Charges'!L28</f>
        <v>3850.5207495255654</v>
      </c>
      <c r="G47" s="8"/>
      <c r="H47" s="85">
        <f t="shared" si="0"/>
        <v>2026</v>
      </c>
      <c r="I47" s="8"/>
      <c r="J47" s="222">
        <f t="shared" si="1"/>
        <v>1230</v>
      </c>
      <c r="K47" s="8"/>
      <c r="L47" s="85">
        <f t="shared" si="2"/>
        <v>244</v>
      </c>
      <c r="M47" s="8"/>
      <c r="N47" s="85">
        <f t="shared" si="3"/>
        <v>352</v>
      </c>
    </row>
    <row r="48" spans="1:17" x14ac:dyDescent="0.25">
      <c r="B48" t="s">
        <v>102</v>
      </c>
      <c r="F48" s="85">
        <f>'Allocation Charges'!L29</f>
        <v>6161.5226389453856</v>
      </c>
      <c r="G48" s="8"/>
      <c r="H48" s="85">
        <f t="shared" si="0"/>
        <v>3242</v>
      </c>
      <c r="I48" s="8"/>
      <c r="J48" s="222">
        <f t="shared" si="1"/>
        <v>1967</v>
      </c>
      <c r="K48" s="8"/>
      <c r="L48" s="85">
        <f t="shared" si="2"/>
        <v>391</v>
      </c>
      <c r="M48" s="8"/>
      <c r="N48" s="85">
        <f t="shared" si="3"/>
        <v>564</v>
      </c>
    </row>
    <row r="49" spans="1:14" x14ac:dyDescent="0.25">
      <c r="B49" t="s">
        <v>103</v>
      </c>
      <c r="F49" s="85">
        <f>'Allocation Charges'!L30</f>
        <v>3722.2849644921266</v>
      </c>
      <c r="G49" s="8"/>
      <c r="H49" s="85">
        <f t="shared" si="0"/>
        <v>1959</v>
      </c>
      <c r="I49" s="8"/>
      <c r="J49" s="222">
        <f t="shared" si="1"/>
        <v>1189</v>
      </c>
      <c r="K49" s="8"/>
      <c r="L49" s="85">
        <f t="shared" si="2"/>
        <v>236</v>
      </c>
      <c r="M49" s="8"/>
      <c r="N49" s="85">
        <f t="shared" si="3"/>
        <v>341</v>
      </c>
    </row>
    <row r="50" spans="1:14" x14ac:dyDescent="0.25">
      <c r="B50" t="s">
        <v>104</v>
      </c>
      <c r="F50" s="85">
        <f>'Allocation Charges'!L31</f>
        <v>3571.9871089153007</v>
      </c>
      <c r="G50" s="8"/>
      <c r="H50" s="85">
        <f t="shared" si="0"/>
        <v>1880</v>
      </c>
      <c r="I50" s="8"/>
      <c r="J50" s="222">
        <f t="shared" si="1"/>
        <v>1141</v>
      </c>
      <c r="K50" s="8"/>
      <c r="L50" s="85">
        <f t="shared" si="2"/>
        <v>227</v>
      </c>
      <c r="M50" s="8"/>
      <c r="N50" s="85">
        <f t="shared" si="3"/>
        <v>327</v>
      </c>
    </row>
    <row r="51" spans="1:14" x14ac:dyDescent="0.25">
      <c r="B51" t="s">
        <v>105</v>
      </c>
      <c r="F51" s="85">
        <f>'Allocation Charges'!L32</f>
        <v>12306.49872498323</v>
      </c>
      <c r="G51" s="8"/>
      <c r="H51" s="85">
        <f t="shared" si="0"/>
        <v>6475</v>
      </c>
      <c r="I51" s="8"/>
      <c r="J51" s="222">
        <f t="shared" si="1"/>
        <v>3929</v>
      </c>
      <c r="K51" s="8"/>
      <c r="L51" s="85">
        <f t="shared" si="2"/>
        <v>780</v>
      </c>
      <c r="M51" s="8"/>
      <c r="N51" s="85">
        <f t="shared" si="3"/>
        <v>1125</v>
      </c>
    </row>
    <row r="52" spans="1:14" x14ac:dyDescent="0.25">
      <c r="F52" s="6"/>
      <c r="G52" s="8"/>
      <c r="H52" s="6"/>
      <c r="I52" s="8"/>
      <c r="J52" s="120"/>
      <c r="K52" s="8"/>
      <c r="L52" s="6"/>
      <c r="M52" s="8"/>
      <c r="N52" s="6"/>
    </row>
    <row r="53" spans="1:14" x14ac:dyDescent="0.25">
      <c r="F53" s="219">
        <f>SUM(F46:F51)</f>
        <v>42904.522249547983</v>
      </c>
      <c r="G53" s="8"/>
      <c r="H53" s="219">
        <f>SUM(H46:H51)</f>
        <v>22575</v>
      </c>
      <c r="I53" s="8"/>
      <c r="J53" s="220">
        <f>SUM(J46:J51)</f>
        <v>13699</v>
      </c>
      <c r="K53" s="8"/>
      <c r="L53" s="219">
        <f>SUM(L46:L51)</f>
        <v>2720</v>
      </c>
      <c r="M53" s="8"/>
      <c r="N53" s="219">
        <f>SUM(N46:N51)</f>
        <v>3924</v>
      </c>
    </row>
    <row r="54" spans="1:14" x14ac:dyDescent="0.25">
      <c r="F54" s="6"/>
      <c r="H54" s="6"/>
      <c r="J54" s="120"/>
    </row>
    <row r="55" spans="1:14" x14ac:dyDescent="0.25">
      <c r="A55" s="16" t="s">
        <v>83</v>
      </c>
      <c r="F55" s="20"/>
      <c r="G55" s="16"/>
      <c r="H55" s="20"/>
      <c r="I55" s="16"/>
      <c r="J55" s="221"/>
      <c r="K55" s="16"/>
      <c r="L55" s="20"/>
      <c r="M55" s="16"/>
      <c r="N55" s="20"/>
    </row>
    <row r="56" spans="1:14" x14ac:dyDescent="0.25">
      <c r="A56" s="16"/>
      <c r="F56" s="20"/>
      <c r="G56" s="16"/>
      <c r="H56" s="20"/>
      <c r="I56" s="16"/>
      <c r="J56" s="221"/>
      <c r="K56" s="16"/>
      <c r="L56" s="20"/>
      <c r="M56" s="16"/>
      <c r="N56" s="20"/>
    </row>
    <row r="57" spans="1:14" x14ac:dyDescent="0.25">
      <c r="A57" s="16"/>
      <c r="B57" t="s">
        <v>106</v>
      </c>
      <c r="F57" s="85">
        <f>SUM(H57:N57)</f>
        <v>12740</v>
      </c>
      <c r="G57" s="8"/>
      <c r="H57" s="85">
        <v>0</v>
      </c>
      <c r="I57" s="8"/>
      <c r="J57" s="222">
        <f>ROUNDUP('Commodity OK'!F25+'Commodity OK'!F26+'Commodity OK'!F27,0)</f>
        <v>12740</v>
      </c>
      <c r="K57" s="8"/>
      <c r="L57" s="79">
        <v>0</v>
      </c>
      <c r="M57" s="8"/>
      <c r="N57" s="79">
        <v>0</v>
      </c>
    </row>
    <row r="58" spans="1:14" x14ac:dyDescent="0.25">
      <c r="A58" s="16"/>
      <c r="B58" t="s">
        <v>107</v>
      </c>
      <c r="F58" s="85">
        <f>SUM(H58:N58)</f>
        <v>118867</v>
      </c>
      <c r="G58" s="120"/>
      <c r="H58" s="85">
        <f>ROUNDUP('Commodity OK'!Q6-H59,0)</f>
        <v>57911</v>
      </c>
      <c r="I58" s="120"/>
      <c r="J58" s="222">
        <f>ROUNDUP('Commodity OK'!Q8-J59-J57,0)</f>
        <v>25211</v>
      </c>
      <c r="K58" s="120"/>
      <c r="L58" s="222">
        <f>ROUNDUP('Commodity OK'!Q7-L59,0)</f>
        <v>1653</v>
      </c>
      <c r="M58" s="120"/>
      <c r="N58" s="222">
        <f>ROUNDUP('Commodity OK'!Q9-N59-N60,0)</f>
        <v>34092</v>
      </c>
    </row>
    <row r="59" spans="1:14" x14ac:dyDescent="0.25">
      <c r="A59" s="16"/>
      <c r="B59" t="s">
        <v>108</v>
      </c>
      <c r="F59" s="85">
        <f>SUM(H59:N59)</f>
        <v>8142</v>
      </c>
      <c r="G59" s="120"/>
      <c r="H59" s="85">
        <f>ROUNDUP(('Commodity OK'!F44-'Commodity OK'!F41)*'Commodity OK'!O6,0)</f>
        <v>3581</v>
      </c>
      <c r="I59" s="120"/>
      <c r="J59" s="222">
        <f>ROUNDUP(('Commodity OK'!F44-'Commodity OK'!F41)*'Commodity OK'!O8,0)</f>
        <v>2347</v>
      </c>
      <c r="K59" s="120"/>
      <c r="L59" s="222">
        <f>ROUNDUP(('Commodity OK'!F44-'Commodity OK'!F41)*'Commodity OK'!O7,0)</f>
        <v>103</v>
      </c>
      <c r="M59" s="120"/>
      <c r="N59" s="222">
        <f>ROUNDUP(('Commodity OK'!F44-'Commodity OK'!F41)*'Commodity OK'!O9,0)</f>
        <v>2111</v>
      </c>
    </row>
    <row r="60" spans="1:14" x14ac:dyDescent="0.25">
      <c r="A60" s="16"/>
      <c r="B60" t="s">
        <v>113</v>
      </c>
      <c r="F60" s="85">
        <f>SUM(H60:N60)</f>
        <v>40</v>
      </c>
      <c r="G60" s="120"/>
      <c r="H60" s="85">
        <v>0</v>
      </c>
      <c r="I60" s="120"/>
      <c r="J60" s="222">
        <v>0</v>
      </c>
      <c r="K60" s="120"/>
      <c r="L60" s="222">
        <v>0</v>
      </c>
      <c r="M60" s="120"/>
      <c r="N60" s="222">
        <f>ROUNDUP('Commodity OK'!F41,0)</f>
        <v>40</v>
      </c>
    </row>
    <row r="61" spans="1:14" x14ac:dyDescent="0.25">
      <c r="A61" s="16"/>
      <c r="F61" s="20"/>
      <c r="G61" s="23"/>
      <c r="H61" s="20"/>
      <c r="I61" s="23"/>
      <c r="J61" s="221"/>
      <c r="K61" s="23"/>
      <c r="L61" s="23"/>
      <c r="M61" s="23"/>
      <c r="N61" s="23"/>
    </row>
    <row r="62" spans="1:14" x14ac:dyDescent="0.25">
      <c r="A62" s="16"/>
      <c r="F62" s="219">
        <f>SUM(F57:F60)</f>
        <v>139789</v>
      </c>
      <c r="G62" s="221"/>
      <c r="H62" s="219">
        <f>SUM(H57:H60)</f>
        <v>61492</v>
      </c>
      <c r="I62" s="221"/>
      <c r="J62" s="219">
        <f>SUM(J57:J60)</f>
        <v>40298</v>
      </c>
      <c r="K62" s="221"/>
      <c r="L62" s="219">
        <f>SUM(L57:L60)</f>
        <v>1756</v>
      </c>
      <c r="M62" s="221"/>
      <c r="N62" s="220">
        <f>SUM(N57:N60)</f>
        <v>36243</v>
      </c>
    </row>
    <row r="63" spans="1:14" ht="7.5" customHeight="1" x14ac:dyDescent="0.25">
      <c r="A63" s="16"/>
      <c r="F63" s="20"/>
      <c r="G63" s="23"/>
      <c r="H63" s="20"/>
      <c r="I63" s="23"/>
      <c r="J63" s="221"/>
      <c r="K63" s="23"/>
      <c r="L63" s="23"/>
      <c r="M63" s="23"/>
      <c r="N63" s="23"/>
    </row>
    <row r="64" spans="1:14" x14ac:dyDescent="0.25">
      <c r="A64" s="34"/>
      <c r="B64" s="35"/>
      <c r="C64" s="35"/>
      <c r="D64" s="35"/>
      <c r="E64" s="35"/>
      <c r="F64" s="223"/>
      <c r="G64" s="58"/>
      <c r="H64" s="223"/>
      <c r="I64" s="58"/>
      <c r="J64" s="225"/>
      <c r="K64" s="58"/>
      <c r="L64" s="58"/>
      <c r="M64" s="58"/>
      <c r="N64" s="58"/>
    </row>
    <row r="65" spans="4:14" x14ac:dyDescent="0.25">
      <c r="F65" s="6"/>
      <c r="G65" s="8"/>
      <c r="H65" s="6"/>
      <c r="I65" s="8"/>
      <c r="J65" s="120"/>
      <c r="K65" s="8"/>
      <c r="L65" s="8"/>
      <c r="M65" s="8"/>
      <c r="N65" s="8"/>
    </row>
    <row r="66" spans="4:14" x14ac:dyDescent="0.25">
      <c r="D66" s="15" t="s">
        <v>56</v>
      </c>
      <c r="F66" s="219">
        <f>F53+F42+F62</f>
        <v>515229.57153657346</v>
      </c>
      <c r="G66" s="120"/>
      <c r="H66" s="219">
        <f>H53+H42+H62</f>
        <v>251112</v>
      </c>
      <c r="I66" s="120"/>
      <c r="J66" s="220">
        <f>J53+J42+J62</f>
        <v>155352</v>
      </c>
      <c r="K66" s="120"/>
      <c r="L66" s="220">
        <f>L53+L42+L62</f>
        <v>39613</v>
      </c>
      <c r="M66" s="120"/>
      <c r="N66" s="220">
        <f>N53+N42+N62</f>
        <v>69192</v>
      </c>
    </row>
    <row r="68" spans="4:14" x14ac:dyDescent="0.25">
      <c r="F68" s="6">
        <f>SUM(H66:N66)</f>
        <v>515269</v>
      </c>
      <c r="H68" s="102"/>
      <c r="J68" s="102"/>
      <c r="N68" s="8"/>
    </row>
    <row r="69" spans="4:14" x14ac:dyDescent="0.25">
      <c r="H69" s="6"/>
      <c r="J69" s="6"/>
    </row>
  </sheetData>
  <pageMargins left="0.25" right="0.25" top="0.75" bottom="0.75" header="0.3" footer="0.3"/>
  <pageSetup scale="66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X69"/>
  <sheetViews>
    <sheetView tabSelected="1" zoomScaleNormal="100" workbookViewId="0">
      <selection activeCell="C46" sqref="C46"/>
    </sheetView>
  </sheetViews>
  <sheetFormatPr defaultRowHeight="15" x14ac:dyDescent="0.25"/>
  <cols>
    <col min="1" max="2" width="1.42578125" customWidth="1"/>
    <col min="3" max="3" width="24.7109375" customWidth="1"/>
    <col min="4" max="4" width="12.85546875" customWidth="1"/>
    <col min="5" max="5" width="1.42578125" customWidth="1"/>
    <col min="6" max="6" width="19.28515625" style="6" customWidth="1"/>
    <col min="7" max="7" width="1.42578125" style="6" customWidth="1"/>
    <col min="8" max="8" width="16.28515625" style="6" customWidth="1"/>
    <col min="9" max="9" width="1.42578125" style="6" customWidth="1"/>
    <col min="10" max="10" width="42.7109375" customWidth="1"/>
    <col min="11" max="11" width="10.5703125" customWidth="1"/>
    <col min="12" max="12" width="1.42578125" customWidth="1"/>
    <col min="13" max="13" width="11.85546875" customWidth="1"/>
    <col min="14" max="14" width="1.42578125" customWidth="1"/>
    <col min="15" max="15" width="10.5703125" customWidth="1"/>
    <col min="16" max="16" width="1.42578125" customWidth="1"/>
    <col min="17" max="17" width="16.140625" customWidth="1"/>
    <col min="18" max="18" width="1.42578125" customWidth="1"/>
    <col min="19" max="19" width="12.7109375" customWidth="1"/>
    <col min="20" max="20" width="1.42578125" customWidth="1"/>
    <col min="22" max="22" width="9.85546875" bestFit="1" customWidth="1"/>
    <col min="23" max="24" width="10.5703125" customWidth="1"/>
  </cols>
  <sheetData>
    <row r="2" spans="2:21" ht="17.25" x14ac:dyDescent="0.4">
      <c r="B2" s="16" t="s">
        <v>62</v>
      </c>
      <c r="F2" s="96" t="s">
        <v>277</v>
      </c>
      <c r="G2" s="97"/>
      <c r="H2" s="97" t="s">
        <v>278</v>
      </c>
      <c r="I2" s="99"/>
      <c r="J2" s="54"/>
    </row>
    <row r="3" spans="2:21" x14ac:dyDescent="0.25">
      <c r="M3" s="101" t="s">
        <v>279</v>
      </c>
    </row>
    <row r="4" spans="2:21" x14ac:dyDescent="0.25">
      <c r="C4" s="16" t="s">
        <v>71</v>
      </c>
      <c r="D4" s="26" t="s">
        <v>74</v>
      </c>
      <c r="E4" s="26"/>
      <c r="F4" s="29" t="s">
        <v>72</v>
      </c>
      <c r="G4" s="29"/>
      <c r="H4" s="29" t="s">
        <v>73</v>
      </c>
      <c r="I4" s="29"/>
      <c r="J4" s="19" t="s">
        <v>140</v>
      </c>
      <c r="K4" s="19" t="s">
        <v>77</v>
      </c>
      <c r="L4" s="19"/>
      <c r="M4" s="159" t="s">
        <v>280</v>
      </c>
      <c r="N4" s="19"/>
      <c r="O4" s="19" t="s">
        <v>78</v>
      </c>
      <c r="P4" s="19"/>
      <c r="Q4" s="19" t="s">
        <v>79</v>
      </c>
      <c r="R4" s="19"/>
      <c r="S4" s="176" t="s">
        <v>281</v>
      </c>
    </row>
    <row r="5" spans="2:21" x14ac:dyDescent="0.25">
      <c r="M5" s="19" t="s">
        <v>130</v>
      </c>
      <c r="S5" s="19" t="s">
        <v>130</v>
      </c>
    </row>
    <row r="6" spans="2:21" x14ac:dyDescent="0.25">
      <c r="C6" s="127" t="s">
        <v>262</v>
      </c>
      <c r="D6" s="88">
        <v>176</v>
      </c>
      <c r="E6" s="27"/>
      <c r="F6" s="214">
        <v>51.31</v>
      </c>
      <c r="H6" s="6">
        <f t="shared" ref="H6:H17" si="0">F6/D6</f>
        <v>0.29153409090909094</v>
      </c>
      <c r="K6" t="s">
        <v>33</v>
      </c>
      <c r="M6" s="132">
        <v>159922</v>
      </c>
      <c r="O6" s="25">
        <f>+M6/$M$11</f>
        <v>0.43989481386124452</v>
      </c>
      <c r="Q6" s="6">
        <f>O6*F46</f>
        <v>61491.563148377383</v>
      </c>
      <c r="S6" s="132">
        <v>117526</v>
      </c>
      <c r="U6" s="110" t="s">
        <v>152</v>
      </c>
    </row>
    <row r="7" spans="2:21" x14ac:dyDescent="0.25">
      <c r="C7" s="127" t="s">
        <v>141</v>
      </c>
      <c r="D7" s="88">
        <f>6519+313</f>
        <v>6832</v>
      </c>
      <c r="E7" s="27"/>
      <c r="F7" s="214">
        <f>4886+5774</f>
        <v>10660</v>
      </c>
      <c r="H7" s="6">
        <f t="shared" si="0"/>
        <v>1.560304449648712</v>
      </c>
      <c r="K7" t="s">
        <v>81</v>
      </c>
      <c r="M7" s="132">
        <v>4566</v>
      </c>
      <c r="O7" s="25">
        <f t="shared" ref="O7:O9" si="1">+M7/$M$11</f>
        <v>1.255962106583486E-2</v>
      </c>
      <c r="Q7" s="6">
        <f>O7*F46</f>
        <v>1755.671373141226</v>
      </c>
      <c r="S7" s="132">
        <v>26480</v>
      </c>
    </row>
    <row r="8" spans="2:21" x14ac:dyDescent="0.25">
      <c r="C8" s="127" t="s">
        <v>164</v>
      </c>
      <c r="D8" s="88">
        <f>131+626</f>
        <v>757</v>
      </c>
      <c r="E8" s="27"/>
      <c r="F8" s="214">
        <f>545.55+1328.69</f>
        <v>1874.24</v>
      </c>
      <c r="H8" s="6">
        <f t="shared" si="0"/>
        <v>2.4758784676354031</v>
      </c>
      <c r="K8" t="s">
        <v>82</v>
      </c>
      <c r="M8" s="132">
        <v>104802</v>
      </c>
      <c r="O8" s="25">
        <f t="shared" si="1"/>
        <v>0.28827713686851181</v>
      </c>
      <c r="Q8" s="6">
        <f>O8*F46</f>
        <v>40297.387483124563</v>
      </c>
      <c r="S8" s="132">
        <v>69298</v>
      </c>
    </row>
    <row r="9" spans="2:21" x14ac:dyDescent="0.25">
      <c r="C9" s="127" t="s">
        <v>63</v>
      </c>
      <c r="D9" s="88">
        <v>8077</v>
      </c>
      <c r="E9" s="27"/>
      <c r="F9" s="214">
        <v>20692.189999999999</v>
      </c>
      <c r="H9" s="6">
        <f t="shared" si="0"/>
        <v>2.5618657917543639</v>
      </c>
      <c r="K9" t="s">
        <v>109</v>
      </c>
      <c r="M9" s="132">
        <v>94256</v>
      </c>
      <c r="O9" s="25">
        <f t="shared" si="1"/>
        <v>0.25926842820440882</v>
      </c>
      <c r="Q9" s="6">
        <f>O9*F46</f>
        <v>36242.34799535686</v>
      </c>
      <c r="S9" s="132">
        <v>71586</v>
      </c>
    </row>
    <row r="10" spans="2:21" x14ac:dyDescent="0.25">
      <c r="C10" s="127" t="s">
        <v>64</v>
      </c>
      <c r="D10" s="88">
        <v>251</v>
      </c>
      <c r="E10" s="27"/>
      <c r="F10" s="214">
        <v>3142.73</v>
      </c>
      <c r="H10" s="6">
        <f t="shared" si="0"/>
        <v>12.520836653386453</v>
      </c>
    </row>
    <row r="11" spans="2:21" x14ac:dyDescent="0.25">
      <c r="C11" s="127" t="s">
        <v>65</v>
      </c>
      <c r="D11" s="88">
        <v>479</v>
      </c>
      <c r="E11" s="27"/>
      <c r="F11" s="214">
        <v>1031.01</v>
      </c>
      <c r="H11" s="6">
        <f t="shared" si="0"/>
        <v>2.152421711899791</v>
      </c>
      <c r="M11" s="28">
        <f>SUM(M6:M10)</f>
        <v>363546</v>
      </c>
      <c r="N11" s="32"/>
      <c r="O11" s="33">
        <f>SUM(O6:O9)</f>
        <v>1</v>
      </c>
      <c r="P11" s="32"/>
      <c r="Q11" s="30">
        <f>SUM(Q6:Q9)</f>
        <v>139786.97000000003</v>
      </c>
      <c r="R11" s="32"/>
      <c r="S11" s="28">
        <f>SUM(S6:S10)</f>
        <v>284890</v>
      </c>
    </row>
    <row r="12" spans="2:21" x14ac:dyDescent="0.25">
      <c r="C12" s="127" t="s">
        <v>66</v>
      </c>
      <c r="D12" s="88">
        <v>527</v>
      </c>
      <c r="E12" s="27"/>
      <c r="F12" s="214">
        <v>893.28</v>
      </c>
      <c r="H12" s="6">
        <f t="shared" si="0"/>
        <v>1.6950284629981025</v>
      </c>
      <c r="K12" s="217"/>
    </row>
    <row r="13" spans="2:21" x14ac:dyDescent="0.25">
      <c r="C13" s="127" t="s">
        <v>67</v>
      </c>
      <c r="D13" s="88">
        <v>36</v>
      </c>
      <c r="E13" s="27"/>
      <c r="F13" s="214">
        <v>156.88999999999999</v>
      </c>
      <c r="H13" s="6">
        <f t="shared" si="0"/>
        <v>4.3580555555555556</v>
      </c>
      <c r="M13" t="s">
        <v>196</v>
      </c>
      <c r="Q13" s="6"/>
    </row>
    <row r="14" spans="2:21" x14ac:dyDescent="0.25">
      <c r="C14" s="127" t="s">
        <v>68</v>
      </c>
      <c r="D14" s="88">
        <v>22</v>
      </c>
      <c r="E14" s="27"/>
      <c r="F14" s="214">
        <v>162.96</v>
      </c>
      <c r="H14" s="6">
        <f t="shared" si="0"/>
        <v>7.4072727272727272</v>
      </c>
      <c r="O14" t="s">
        <v>205</v>
      </c>
    </row>
    <row r="15" spans="2:21" x14ac:dyDescent="0.25">
      <c r="C15" s="127" t="s">
        <v>69</v>
      </c>
      <c r="D15" s="88">
        <v>433</v>
      </c>
      <c r="E15" s="27"/>
      <c r="F15" s="214">
        <v>465.88</v>
      </c>
      <c r="H15" s="6">
        <f t="shared" si="0"/>
        <v>1.0759353348729792</v>
      </c>
      <c r="O15" s="7" t="s">
        <v>201</v>
      </c>
      <c r="Q15" s="134">
        <v>87212.41</v>
      </c>
      <c r="S15" t="s">
        <v>212</v>
      </c>
    </row>
    <row r="16" spans="2:21" x14ac:dyDescent="0.25">
      <c r="C16" s="127" t="s">
        <v>70</v>
      </c>
      <c r="D16" s="88">
        <v>1901</v>
      </c>
      <c r="E16" s="27"/>
      <c r="F16" s="214">
        <v>2325.9699999999998</v>
      </c>
      <c r="H16" s="6">
        <f t="shared" si="0"/>
        <v>1.2235507627564439</v>
      </c>
      <c r="O16" s="7" t="s">
        <v>203</v>
      </c>
      <c r="Q16" s="102">
        <v>6249.26</v>
      </c>
      <c r="S16" t="s">
        <v>212</v>
      </c>
    </row>
    <row r="17" spans="3:24" x14ac:dyDescent="0.25">
      <c r="C17" s="127" t="s">
        <v>272</v>
      </c>
      <c r="D17" s="88">
        <v>112</v>
      </c>
      <c r="E17" s="27"/>
      <c r="F17" s="214">
        <v>602.22</v>
      </c>
      <c r="H17" s="6">
        <f t="shared" si="0"/>
        <v>5.3769642857142861</v>
      </c>
      <c r="J17" s="6"/>
      <c r="O17" s="7" t="s">
        <v>204</v>
      </c>
      <c r="Q17" s="102">
        <v>2554.1999999999998</v>
      </c>
      <c r="S17" t="s">
        <v>212</v>
      </c>
    </row>
    <row r="18" spans="3:24" ht="15.75" thickBot="1" x14ac:dyDescent="0.3">
      <c r="C18" s="127" t="s">
        <v>175</v>
      </c>
      <c r="D18" s="88">
        <v>85</v>
      </c>
      <c r="E18" s="27"/>
      <c r="F18" s="214">
        <f>494.7+4.68</f>
        <v>499.38</v>
      </c>
      <c r="H18" s="6">
        <f>F18/D18</f>
        <v>5.8750588235294119</v>
      </c>
      <c r="I18" s="20"/>
      <c r="J18" s="6"/>
      <c r="M18" s="6"/>
      <c r="O18" s="6" t="s">
        <v>145</v>
      </c>
      <c r="Q18" s="104">
        <f>SUM(Q15:Q17)</f>
        <v>96015.87</v>
      </c>
      <c r="S18" t="s">
        <v>213</v>
      </c>
    </row>
    <row r="19" spans="3:24" ht="15.75" thickTop="1" x14ac:dyDescent="0.25">
      <c r="C19" s="16" t="s">
        <v>162</v>
      </c>
      <c r="D19" s="28">
        <f>SUM(D6:D18)</f>
        <v>19688</v>
      </c>
      <c r="E19" s="31"/>
      <c r="F19" s="30">
        <f>SUM(F6:F18)</f>
        <v>42558.06</v>
      </c>
      <c r="G19" s="20"/>
      <c r="H19" s="6">
        <f>F19/D19</f>
        <v>2.1616243396993089</v>
      </c>
      <c r="K19" s="6"/>
      <c r="M19" s="6"/>
      <c r="O19" s="6" t="s">
        <v>202</v>
      </c>
      <c r="Q19" s="6">
        <f>+F43</f>
        <v>3937.6000000000004</v>
      </c>
      <c r="S19" t="s">
        <v>213</v>
      </c>
      <c r="W19" s="6"/>
    </row>
    <row r="20" spans="3:24" x14ac:dyDescent="0.25">
      <c r="O20" s="6" t="s">
        <v>50</v>
      </c>
      <c r="Q20" s="173">
        <f>+Q18+Q19</f>
        <v>99953.47</v>
      </c>
      <c r="S20" t="s">
        <v>213</v>
      </c>
    </row>
    <row r="21" spans="3:24" x14ac:dyDescent="0.25">
      <c r="I21" s="29"/>
      <c r="Q21" s="6">
        <f>+Q20-Q11</f>
        <v>-39833.500000000029</v>
      </c>
      <c r="S21" t="s">
        <v>213</v>
      </c>
    </row>
    <row r="22" spans="3:24" x14ac:dyDescent="0.25">
      <c r="C22" s="16" t="s">
        <v>76</v>
      </c>
      <c r="D22" s="26" t="s">
        <v>74</v>
      </c>
      <c r="E22" s="26"/>
      <c r="F22" s="29" t="s">
        <v>72</v>
      </c>
      <c r="G22" s="29"/>
      <c r="H22" s="29" t="s">
        <v>73</v>
      </c>
      <c r="Q22" s="6"/>
      <c r="X22" s="6"/>
    </row>
    <row r="23" spans="3:24" x14ac:dyDescent="0.25">
      <c r="Q23" s="6"/>
    </row>
    <row r="24" spans="3:24" x14ac:dyDescent="0.25">
      <c r="C24" s="127" t="s">
        <v>206</v>
      </c>
      <c r="D24" s="88">
        <v>176</v>
      </c>
      <c r="F24" s="214">
        <v>582.16999999999996</v>
      </c>
      <c r="H24" s="6">
        <f t="shared" ref="H24:H27" si="2">F24/D24</f>
        <v>3.3077840909090908</v>
      </c>
      <c r="J24" t="s">
        <v>139</v>
      </c>
      <c r="Q24" s="6"/>
    </row>
    <row r="25" spans="3:24" x14ac:dyDescent="0.25">
      <c r="C25" t="s">
        <v>160</v>
      </c>
      <c r="D25" s="88"/>
      <c r="F25" s="63"/>
      <c r="H25" t="e">
        <f>F25/D25</f>
        <v>#DIV/0!</v>
      </c>
      <c r="Q25" s="6"/>
    </row>
    <row r="26" spans="3:24" x14ac:dyDescent="0.25">
      <c r="C26" t="s">
        <v>268</v>
      </c>
      <c r="D26" s="88">
        <v>798</v>
      </c>
      <c r="F26" s="63">
        <v>12740</v>
      </c>
      <c r="H26" s="6">
        <f t="shared" si="2"/>
        <v>15.964912280701755</v>
      </c>
      <c r="J26" t="s">
        <v>138</v>
      </c>
      <c r="S26" s="6"/>
    </row>
    <row r="27" spans="3:24" x14ac:dyDescent="0.25">
      <c r="C27" t="s">
        <v>237</v>
      </c>
      <c r="D27" s="88"/>
      <c r="F27" s="63"/>
      <c r="H27" s="6" t="e">
        <f t="shared" si="2"/>
        <v>#DIV/0!</v>
      </c>
      <c r="S27" s="6"/>
    </row>
    <row r="28" spans="3:24" x14ac:dyDescent="0.25">
      <c r="C28" s="127" t="s">
        <v>258</v>
      </c>
      <c r="D28" s="88">
        <v>7730</v>
      </c>
      <c r="F28" s="214">
        <v>22546.880000000001</v>
      </c>
      <c r="H28" s="6">
        <f>F30/D30</f>
        <v>2.8191935483870969</v>
      </c>
      <c r="S28" s="6"/>
    </row>
    <row r="29" spans="3:24" x14ac:dyDescent="0.25">
      <c r="C29" s="127" t="s">
        <v>256</v>
      </c>
      <c r="D29" s="88">
        <v>8055</v>
      </c>
      <c r="F29" s="214">
        <v>21237.9</v>
      </c>
      <c r="H29" s="6">
        <f>F29/D29</f>
        <v>2.636610800744879</v>
      </c>
      <c r="S29" s="6"/>
    </row>
    <row r="30" spans="3:24" x14ac:dyDescent="0.25">
      <c r="C30" s="127" t="s">
        <v>257</v>
      </c>
      <c r="D30" s="88">
        <v>310</v>
      </c>
      <c r="F30" s="214">
        <v>873.95</v>
      </c>
      <c r="H30" s="6">
        <f>F31/D31</f>
        <v>2.6750108459869848</v>
      </c>
      <c r="O30" s="6"/>
      <c r="Q30" s="6"/>
    </row>
    <row r="31" spans="3:24" x14ac:dyDescent="0.25">
      <c r="C31" s="127" t="s">
        <v>174</v>
      </c>
      <c r="D31" s="88">
        <v>1383</v>
      </c>
      <c r="F31" s="214">
        <v>3699.54</v>
      </c>
      <c r="H31" s="6">
        <f>F28/D28</f>
        <v>2.9168020698576975</v>
      </c>
    </row>
    <row r="32" spans="3:24" x14ac:dyDescent="0.25">
      <c r="C32" s="127" t="s">
        <v>261</v>
      </c>
      <c r="D32" s="88">
        <f>7+7+8+8</f>
        <v>30</v>
      </c>
      <c r="F32" s="214">
        <f>50.82+50.09+51.97+63.24</f>
        <v>216.12</v>
      </c>
      <c r="H32" s="6">
        <f>F32/D32</f>
        <v>7.2039999999999997</v>
      </c>
    </row>
    <row r="33" spans="3:22" x14ac:dyDescent="0.25">
      <c r="C33" s="127" t="s">
        <v>245</v>
      </c>
      <c r="D33" s="88"/>
      <c r="F33" s="214"/>
      <c r="H33" s="6" t="e">
        <f>F33/D33</f>
        <v>#DIV/0!</v>
      </c>
    </row>
    <row r="34" spans="3:22" x14ac:dyDescent="0.25">
      <c r="C34" s="127" t="s">
        <v>110</v>
      </c>
      <c r="D34" s="88">
        <v>3860</v>
      </c>
      <c r="F34" s="214">
        <v>19956.2</v>
      </c>
      <c r="H34" s="6">
        <f t="shared" ref="H34:H36" si="3">F34/D34</f>
        <v>5.17</v>
      </c>
    </row>
    <row r="35" spans="3:22" x14ac:dyDescent="0.25">
      <c r="C35" s="127" t="s">
        <v>244</v>
      </c>
      <c r="D35" s="88"/>
      <c r="F35" s="214"/>
      <c r="H35" s="6" t="e">
        <f t="shared" si="3"/>
        <v>#DIV/0!</v>
      </c>
      <c r="J35" s="6"/>
    </row>
    <row r="36" spans="3:22" x14ac:dyDescent="0.25">
      <c r="C36" t="s">
        <v>189</v>
      </c>
      <c r="D36" s="88"/>
      <c r="F36" s="214">
        <v>7198.08</v>
      </c>
      <c r="H36" s="6" t="e">
        <f t="shared" si="3"/>
        <v>#DIV/0!</v>
      </c>
      <c r="J36" s="6"/>
      <c r="K36" s="74" t="s">
        <v>131</v>
      </c>
      <c r="O36" s="55"/>
      <c r="Q36" s="55"/>
    </row>
    <row r="37" spans="3:22" x14ac:dyDescent="0.25">
      <c r="D37" s="28">
        <f>SUM(D24:D36)</f>
        <v>22342</v>
      </c>
      <c r="E37" s="16"/>
      <c r="F37" s="89">
        <f>SUM(F24:F36)</f>
        <v>89050.840000000011</v>
      </c>
      <c r="H37" s="6">
        <f>F37/D37</f>
        <v>3.9858043147435329</v>
      </c>
      <c r="K37" s="74" t="s">
        <v>132</v>
      </c>
    </row>
    <row r="38" spans="3:22" x14ac:dyDescent="0.25">
      <c r="K38" s="74" t="s">
        <v>133</v>
      </c>
    </row>
    <row r="39" spans="3:22" x14ac:dyDescent="0.25">
      <c r="J39" t="s">
        <v>233</v>
      </c>
      <c r="K39" s="74" t="s">
        <v>136</v>
      </c>
    </row>
    <row r="40" spans="3:22" x14ac:dyDescent="0.25">
      <c r="C40" t="s">
        <v>134</v>
      </c>
      <c r="F40" s="214">
        <v>657</v>
      </c>
      <c r="Q40" s="6"/>
      <c r="S40" s="6"/>
    </row>
    <row r="41" spans="3:22" ht="15.75" thickBot="1" x14ac:dyDescent="0.3">
      <c r="C41" t="s">
        <v>111</v>
      </c>
      <c r="F41" s="214">
        <v>39.630000000000003</v>
      </c>
      <c r="J41" s="76" t="s">
        <v>191</v>
      </c>
      <c r="K41" s="74"/>
      <c r="S41" s="54"/>
    </row>
    <row r="42" spans="3:22" ht="15.75" thickBot="1" x14ac:dyDescent="0.3">
      <c r="C42" t="s">
        <v>75</v>
      </c>
      <c r="F42" s="109">
        <f>+D19*0.18</f>
        <v>3543.8399999999997</v>
      </c>
      <c r="J42" s="76" t="s">
        <v>193</v>
      </c>
    </row>
    <row r="43" spans="3:22" x14ac:dyDescent="0.25">
      <c r="C43" t="s">
        <v>135</v>
      </c>
      <c r="F43" s="6">
        <f>D19*0.2</f>
        <v>3937.6000000000004</v>
      </c>
      <c r="J43" s="162" t="s">
        <v>162</v>
      </c>
      <c r="K43" s="165" t="s">
        <v>192</v>
      </c>
      <c r="L43" s="163"/>
      <c r="M43" s="164" t="s">
        <v>50</v>
      </c>
    </row>
    <row r="44" spans="3:22" ht="15.75" thickBot="1" x14ac:dyDescent="0.3">
      <c r="F44" s="30">
        <f>SUM(F40:F43)</f>
        <v>8178.07</v>
      </c>
      <c r="J44" s="160">
        <f>+D19</f>
        <v>19688</v>
      </c>
      <c r="K44" s="147">
        <v>0.18</v>
      </c>
      <c r="L44" s="147"/>
      <c r="M44" s="161">
        <f>+J44*K44</f>
        <v>3543.8399999999997</v>
      </c>
      <c r="S44" s="54"/>
      <c r="T44" s="54"/>
      <c r="U44" s="54"/>
      <c r="V44" s="169"/>
    </row>
    <row r="45" spans="3:22" x14ac:dyDescent="0.25">
      <c r="C45" s="102">
        <f>125107.45+7198.08</f>
        <v>132305.53</v>
      </c>
      <c r="D45" s="117" t="s">
        <v>214</v>
      </c>
    </row>
    <row r="46" spans="3:22" x14ac:dyDescent="0.25">
      <c r="C46" s="6">
        <f>+F19+F37+F40+F41</f>
        <v>132305.53000000003</v>
      </c>
      <c r="D46" s="15" t="s">
        <v>39</v>
      </c>
      <c r="E46" s="16"/>
      <c r="F46" s="173">
        <f>F19+F37+F44</f>
        <v>139786.97000000003</v>
      </c>
    </row>
    <row r="47" spans="3:22" x14ac:dyDescent="0.25">
      <c r="C47" s="6">
        <f>+C46-C45</f>
        <v>0</v>
      </c>
      <c r="F47" s="99">
        <f>F46-F43-F42</f>
        <v>132305.53000000003</v>
      </c>
      <c r="H47" s="177">
        <f>F47-F36</f>
        <v>125107.45000000003</v>
      </c>
      <c r="I47" s="177"/>
      <c r="J47" s="178" t="s">
        <v>207</v>
      </c>
    </row>
    <row r="48" spans="3:22" x14ac:dyDescent="0.25">
      <c r="F48"/>
      <c r="G48"/>
    </row>
    <row r="49" spans="4:7" x14ac:dyDescent="0.25">
      <c r="D49" s="168"/>
      <c r="E49" s="54"/>
      <c r="F49" s="54"/>
      <c r="G49" s="169">
        <v>44280</v>
      </c>
    </row>
    <row r="50" spans="4:7" x14ac:dyDescent="0.25">
      <c r="F50"/>
      <c r="G50"/>
    </row>
    <row r="51" spans="4:7" x14ac:dyDescent="0.25">
      <c r="F51"/>
      <c r="G51"/>
    </row>
    <row r="67" spans="19:19" x14ac:dyDescent="0.25">
      <c r="S67" s="102"/>
    </row>
    <row r="68" spans="19:19" x14ac:dyDescent="0.25">
      <c r="S68" s="102"/>
    </row>
    <row r="69" spans="19:19" x14ac:dyDescent="0.25">
      <c r="S69" s="102"/>
    </row>
  </sheetData>
  <pageMargins left="0.25" right="0.25" top="0.75" bottom="0.75" header="0.3" footer="0.3"/>
  <pageSetup scale="59" orientation="landscape" horizontalDpi="4294967295" verticalDpi="4294967295" r:id="rId1"/>
  <headerFooter>
    <oddFooter>&amp;L&amp;D&amp;T&amp;R&amp;Z&amp;F&amp;A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0"/>
  <sheetViews>
    <sheetView showWhiteSpace="0" view="pageLayout" topLeftCell="A30" zoomScaleNormal="100" workbookViewId="0">
      <selection activeCell="L55" sqref="L55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  <col min="16" max="16" width="13.7109375" customWidth="1"/>
  </cols>
  <sheetData>
    <row r="1" spans="1:16" x14ac:dyDescent="0.25">
      <c r="A1" s="16" t="s">
        <v>242</v>
      </c>
      <c r="F1" s="6" t="str">
        <f>+'Commodity OK'!H2</f>
        <v>Data Input Nov 24 billing =Nov invoices = Oct Flow  data= Oct Sales Volume</v>
      </c>
    </row>
    <row r="3" spans="1:16" x14ac:dyDescent="0.25">
      <c r="A3" s="16" t="s">
        <v>98</v>
      </c>
    </row>
    <row r="4" spans="1:16" x14ac:dyDescent="0.25">
      <c r="F4" s="17" t="s">
        <v>8</v>
      </c>
      <c r="I4" s="1"/>
      <c r="J4" s="1"/>
      <c r="K4" s="5"/>
    </row>
    <row r="5" spans="1:16" x14ac:dyDescent="0.25">
      <c r="I5" s="1"/>
      <c r="J5" s="1"/>
      <c r="K5" s="5"/>
    </row>
    <row r="6" spans="1:16" x14ac:dyDescent="0.25">
      <c r="B6" t="s">
        <v>0</v>
      </c>
      <c r="F6" s="85">
        <f>ROUNDUP('Direct Charges'!J8,0)</f>
        <v>11027</v>
      </c>
      <c r="I6" s="1"/>
      <c r="J6" s="1"/>
      <c r="K6" s="5"/>
    </row>
    <row r="7" spans="1:16" x14ac:dyDescent="0.25">
      <c r="B7" t="s">
        <v>4</v>
      </c>
      <c r="F7" s="85">
        <f>ROUNDUP('Direct Charges'!J14,0)</f>
        <v>376</v>
      </c>
      <c r="I7" s="1"/>
      <c r="J7" s="1"/>
      <c r="K7" s="5"/>
      <c r="P7" s="6"/>
    </row>
    <row r="8" spans="1:16" x14ac:dyDescent="0.25">
      <c r="B8" t="s">
        <v>13</v>
      </c>
      <c r="F8" s="85">
        <f>ROUNDUP('Allocation Charges'!J6,0)</f>
        <v>0</v>
      </c>
      <c r="I8" s="1"/>
      <c r="J8" s="1"/>
      <c r="K8" s="5"/>
    </row>
    <row r="9" spans="1:16" x14ac:dyDescent="0.25">
      <c r="B9" t="s">
        <v>14</v>
      </c>
      <c r="F9" s="85">
        <v>0</v>
      </c>
      <c r="I9" s="1"/>
      <c r="J9" s="1"/>
      <c r="K9" s="5"/>
    </row>
    <row r="10" spans="1:16" x14ac:dyDescent="0.25">
      <c r="B10" t="s">
        <v>17</v>
      </c>
      <c r="F10" s="6"/>
      <c r="G10" s="6"/>
      <c r="J10" s="1"/>
    </row>
    <row r="11" spans="1:16" x14ac:dyDescent="0.25">
      <c r="C11" t="s">
        <v>37</v>
      </c>
      <c r="F11" s="6">
        <f>'Direct Charges'!J26</f>
        <v>236.55</v>
      </c>
      <c r="G11" s="6"/>
      <c r="J11" s="1"/>
    </row>
    <row r="12" spans="1:16" x14ac:dyDescent="0.25">
      <c r="C12" t="s">
        <v>38</v>
      </c>
      <c r="F12" s="6">
        <f>'Allocation Charges'!J7</f>
        <v>910.87283942165845</v>
      </c>
      <c r="G12" s="6"/>
      <c r="J12" s="1"/>
    </row>
    <row r="13" spans="1:16" x14ac:dyDescent="0.25">
      <c r="D13" s="7" t="s">
        <v>39</v>
      </c>
      <c r="E13" s="36"/>
      <c r="F13" s="224">
        <f>ROUNDUP(F12+F11,0)</f>
        <v>1148</v>
      </c>
      <c r="G13" s="6"/>
      <c r="J13" s="1"/>
    </row>
    <row r="14" spans="1:16" x14ac:dyDescent="0.25">
      <c r="D14" s="7"/>
      <c r="F14" s="6"/>
      <c r="G14" s="6"/>
      <c r="J14" s="1"/>
    </row>
    <row r="15" spans="1:16" x14ac:dyDescent="0.25">
      <c r="B15" t="s">
        <v>15</v>
      </c>
      <c r="F15" s="85">
        <f>ROUNDUP('Allocation Charges'!J8,0)</f>
        <v>1423</v>
      </c>
      <c r="G15" s="6"/>
    </row>
    <row r="16" spans="1:16" x14ac:dyDescent="0.25">
      <c r="B16" t="s">
        <v>18</v>
      </c>
      <c r="F16" s="85">
        <f>ROUNDUP('Allocation Charges'!J9,0)</f>
        <v>0</v>
      </c>
      <c r="G16" s="6"/>
    </row>
    <row r="17" spans="2:7" x14ac:dyDescent="0.25">
      <c r="B17" t="s">
        <v>19</v>
      </c>
      <c r="F17" s="85">
        <f>ROUNDUP('Allocation Charges'!J10,0)</f>
        <v>9306</v>
      </c>
      <c r="G17" s="6"/>
    </row>
    <row r="18" spans="2:7" x14ac:dyDescent="0.25">
      <c r="B18" t="s">
        <v>20</v>
      </c>
      <c r="F18" s="6"/>
      <c r="G18" s="6"/>
    </row>
    <row r="19" spans="2:7" x14ac:dyDescent="0.25">
      <c r="C19" t="s">
        <v>37</v>
      </c>
      <c r="F19" s="6">
        <f>'Direct Charges'!J37</f>
        <v>194.98</v>
      </c>
      <c r="G19" s="6"/>
    </row>
    <row r="20" spans="2:7" x14ac:dyDescent="0.25">
      <c r="C20" t="s">
        <v>38</v>
      </c>
      <c r="F20" s="6">
        <f>'Allocation Charges'!J11</f>
        <v>636.26490088124024</v>
      </c>
      <c r="G20" s="6"/>
    </row>
    <row r="21" spans="2:7" x14ac:dyDescent="0.25">
      <c r="D21" s="7" t="s">
        <v>39</v>
      </c>
      <c r="E21" s="36"/>
      <c r="F21" s="224">
        <f>ROUNDUP(F20+F19,0)</f>
        <v>832</v>
      </c>
      <c r="G21" s="6"/>
    </row>
    <row r="22" spans="2:7" x14ac:dyDescent="0.25">
      <c r="B22" t="s">
        <v>21</v>
      </c>
      <c r="F22" s="6"/>
      <c r="G22" s="6"/>
    </row>
    <row r="23" spans="2:7" x14ac:dyDescent="0.25">
      <c r="C23" t="s">
        <v>37</v>
      </c>
      <c r="F23" s="6">
        <f>'Direct Charges'!J43</f>
        <v>244.08</v>
      </c>
      <c r="G23" s="6"/>
    </row>
    <row r="24" spans="2:7" x14ac:dyDescent="0.25">
      <c r="C24" t="s">
        <v>38</v>
      </c>
      <c r="F24" s="6">
        <f>'Allocation Charges'!J12</f>
        <v>389.12915124896904</v>
      </c>
      <c r="G24" s="6"/>
    </row>
    <row r="25" spans="2:7" x14ac:dyDescent="0.25">
      <c r="D25" s="7" t="s">
        <v>39</v>
      </c>
      <c r="E25" s="36"/>
      <c r="F25" s="224">
        <f>ROUNDUP(F24+F23,0)</f>
        <v>634</v>
      </c>
      <c r="G25" s="6"/>
    </row>
    <row r="26" spans="2:7" x14ac:dyDescent="0.25">
      <c r="B26" t="s">
        <v>25</v>
      </c>
      <c r="F26" s="85">
        <f>ROUNDUP('Allocation Charges'!J13,0)</f>
        <v>1885</v>
      </c>
      <c r="G26" s="6"/>
    </row>
    <row r="27" spans="2:7" x14ac:dyDescent="0.25">
      <c r="B27" t="s">
        <v>26</v>
      </c>
      <c r="G27" s="6"/>
    </row>
    <row r="28" spans="2:7" x14ac:dyDescent="0.25">
      <c r="C28" t="s">
        <v>37</v>
      </c>
      <c r="F28" s="6">
        <f>+'Direct Charges'!J49</f>
        <v>4560.96</v>
      </c>
      <c r="G28" s="6"/>
    </row>
    <row r="29" spans="2:7" x14ac:dyDescent="0.25">
      <c r="C29" t="s">
        <v>38</v>
      </c>
      <c r="F29" s="6">
        <f>'Allocation Charges'!J14</f>
        <v>0</v>
      </c>
      <c r="G29" s="6"/>
    </row>
    <row r="30" spans="2:7" x14ac:dyDescent="0.25">
      <c r="D30" s="7" t="s">
        <v>39</v>
      </c>
      <c r="E30" s="36"/>
      <c r="F30" s="224">
        <f>ROUNDUP(F29+F28,0)</f>
        <v>4561</v>
      </c>
      <c r="G30" s="6"/>
    </row>
    <row r="31" spans="2:7" x14ac:dyDescent="0.25">
      <c r="B31" t="s">
        <v>27</v>
      </c>
      <c r="G31" s="6"/>
    </row>
    <row r="32" spans="2:7" x14ac:dyDescent="0.25">
      <c r="C32" t="s">
        <v>37</v>
      </c>
      <c r="F32" s="6">
        <f>+'Direct Charges'!J55</f>
        <v>683.65</v>
      </c>
      <c r="G32" s="6"/>
    </row>
    <row r="33" spans="1:7" x14ac:dyDescent="0.25">
      <c r="C33" t="s">
        <v>38</v>
      </c>
      <c r="F33" s="6">
        <f>'Allocation Charges'!J15</f>
        <v>1894.2270629262746</v>
      </c>
      <c r="G33" s="6"/>
    </row>
    <row r="34" spans="1:7" x14ac:dyDescent="0.25">
      <c r="D34" s="7" t="s">
        <v>39</v>
      </c>
      <c r="E34" s="36"/>
      <c r="F34" s="224">
        <f>ROUNDUP(F33+F32,0)</f>
        <v>2578</v>
      </c>
      <c r="G34" s="6"/>
    </row>
    <row r="35" spans="1:7" x14ac:dyDescent="0.25">
      <c r="B35" t="s">
        <v>194</v>
      </c>
      <c r="F35" s="85">
        <f>ROUNDUP('Allocation Charges'!J16,0)</f>
        <v>0</v>
      </c>
      <c r="G35" s="6"/>
    </row>
    <row r="36" spans="1:7" x14ac:dyDescent="0.25">
      <c r="B36" t="s">
        <v>28</v>
      </c>
      <c r="F36" s="85">
        <f>ROUNDUP('Allocation Charges'!J17,0)</f>
        <v>0</v>
      </c>
      <c r="G36" s="6"/>
    </row>
    <row r="37" spans="1:7" x14ac:dyDescent="0.25">
      <c r="B37" t="s">
        <v>29</v>
      </c>
      <c r="F37" s="85">
        <f>ROUNDUP('Allocation Charges'!J18,0)</f>
        <v>336</v>
      </c>
      <c r="G37" s="6"/>
    </row>
    <row r="38" spans="1:7" x14ac:dyDescent="0.25">
      <c r="B38" t="s">
        <v>30</v>
      </c>
      <c r="F38" s="85">
        <f>ROUNDUP('Allocation Charges'!J19,0)</f>
        <v>286</v>
      </c>
      <c r="G38" s="6"/>
    </row>
    <row r="39" spans="1:7" x14ac:dyDescent="0.25">
      <c r="F39" s="6"/>
      <c r="G39" s="6"/>
    </row>
    <row r="40" spans="1:7" x14ac:dyDescent="0.25">
      <c r="F40" s="219">
        <f>F6+F7+F8+F9+F13+F15+F16+F17+F21+F25+F26+F30+F34+F35+F36+F37+F38</f>
        <v>34392</v>
      </c>
      <c r="G40" s="6"/>
    </row>
    <row r="41" spans="1:7" x14ac:dyDescent="0.25">
      <c r="A41" s="16" t="s">
        <v>99</v>
      </c>
      <c r="F41" s="6"/>
      <c r="G41" s="6"/>
    </row>
    <row r="42" spans="1:7" x14ac:dyDescent="0.25">
      <c r="F42" s="6"/>
      <c r="G42" s="6"/>
    </row>
    <row r="43" spans="1:7" x14ac:dyDescent="0.25">
      <c r="F43" s="124" t="s">
        <v>266</v>
      </c>
      <c r="G43" s="6"/>
    </row>
    <row r="44" spans="1:7" x14ac:dyDescent="0.25">
      <c r="B44" t="s">
        <v>46</v>
      </c>
      <c r="F44" s="85">
        <f>ROUNDUP('Allocation Charges'!J27,0)</f>
        <v>1772</v>
      </c>
      <c r="G44" s="6"/>
    </row>
    <row r="45" spans="1:7" x14ac:dyDescent="0.25">
      <c r="B45" t="s">
        <v>32</v>
      </c>
      <c r="F45" s="85">
        <f>ROUNDUP('Allocation Charges'!J28,0)</f>
        <v>514</v>
      </c>
      <c r="G45" s="6"/>
    </row>
    <row r="46" spans="1:7" x14ac:dyDescent="0.25">
      <c r="B46" t="s">
        <v>47</v>
      </c>
      <c r="F46" s="85">
        <f>ROUNDUP('Allocation Charges'!J29,0)</f>
        <v>822</v>
      </c>
      <c r="G46" s="6"/>
    </row>
    <row r="47" spans="1:7" x14ac:dyDescent="0.25">
      <c r="B47" t="s">
        <v>48</v>
      </c>
      <c r="F47" s="85">
        <f>ROUNDUP('Allocation Charges'!J30,0)</f>
        <v>497</v>
      </c>
      <c r="G47" s="6"/>
    </row>
    <row r="48" spans="1:7" x14ac:dyDescent="0.25">
      <c r="B48" t="s">
        <v>41</v>
      </c>
      <c r="F48" s="85">
        <f>ROUNDUP('Allocation Charges'!J31,0)</f>
        <v>477</v>
      </c>
      <c r="G48" s="6"/>
    </row>
    <row r="49" spans="1:8" x14ac:dyDescent="0.25">
      <c r="B49" t="s">
        <v>31</v>
      </c>
      <c r="F49" s="85">
        <f>ROUNDUP('Allocation Charges'!J32,0)</f>
        <v>1641</v>
      </c>
      <c r="G49" s="6"/>
    </row>
    <row r="50" spans="1:8" x14ac:dyDescent="0.25">
      <c r="F50" s="6"/>
    </row>
    <row r="51" spans="1:8" x14ac:dyDescent="0.25">
      <c r="F51" s="219">
        <f>SUM(F44:F49)</f>
        <v>5723</v>
      </c>
    </row>
    <row r="52" spans="1:8" x14ac:dyDescent="0.25">
      <c r="A52" s="16" t="s">
        <v>83</v>
      </c>
      <c r="F52" s="6"/>
      <c r="H52" t="s">
        <v>74</v>
      </c>
    </row>
    <row r="53" spans="1:8" x14ac:dyDescent="0.25">
      <c r="A53" s="16"/>
      <c r="B53" t="s">
        <v>239</v>
      </c>
      <c r="F53" s="6">
        <f>ROUNDUP('Commodity TN KY'!I20,0)</f>
        <v>942</v>
      </c>
      <c r="H53" s="106">
        <f>'Commodity TN KY'!E15*'Commodity TN KY'!G20</f>
        <v>291.06518444945311</v>
      </c>
    </row>
    <row r="54" spans="1:8" x14ac:dyDescent="0.25">
      <c r="A54" s="16"/>
      <c r="B54" t="s">
        <v>276</v>
      </c>
      <c r="F54" s="6">
        <f>ROUNDUP('Commodity TN KY'!I27+'Commodity TN KY'!I29,0)</f>
        <v>45912</v>
      </c>
      <c r="H54" s="106">
        <f>+'Commodity TN KY'!E27+'Commodity TN KY'!E29</f>
        <v>9364</v>
      </c>
    </row>
    <row r="55" spans="1:8" x14ac:dyDescent="0.25">
      <c r="A55" s="16"/>
      <c r="B55" t="s">
        <v>240</v>
      </c>
      <c r="F55" s="6">
        <f>ROUNDUP('Commodity TN KY'!I28,0)</f>
        <v>1163</v>
      </c>
      <c r="H55" s="106">
        <f>+'Commodity TN KY'!E28</f>
        <v>943</v>
      </c>
    </row>
    <row r="56" spans="1:8" x14ac:dyDescent="0.25">
      <c r="F56" s="218">
        <f>SUM(F53:F55)</f>
        <v>48017</v>
      </c>
    </row>
    <row r="57" spans="1:8" x14ac:dyDescent="0.25">
      <c r="F57" s="6"/>
    </row>
    <row r="58" spans="1:8" x14ac:dyDescent="0.25">
      <c r="A58" s="35"/>
      <c r="B58" s="35"/>
      <c r="C58" s="35"/>
      <c r="D58" s="35"/>
      <c r="E58" s="35"/>
      <c r="F58" s="231"/>
      <c r="G58" s="35"/>
    </row>
    <row r="59" spans="1:8" x14ac:dyDescent="0.25">
      <c r="F59" s="6"/>
    </row>
    <row r="60" spans="1:8" x14ac:dyDescent="0.25">
      <c r="D60" s="15" t="s">
        <v>56</v>
      </c>
      <c r="F60" s="219">
        <f>F40+F51+F56</f>
        <v>88132</v>
      </c>
    </row>
  </sheetData>
  <pageMargins left="0.7" right="0.7" top="0.75" bottom="0.75" header="0.3" footer="0.3"/>
  <pageSetup scale="76" orientation="portrait" horizontalDpi="4294967295" verticalDpi="4294967295" r:id="rId1"/>
  <headerFooter>
    <oddFooter>&amp;C&amp;Z&amp;F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7"/>
  <sheetViews>
    <sheetView topLeftCell="A25" zoomScaleNormal="100" workbookViewId="0">
      <selection activeCell="K56" sqref="K56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customWidth="1"/>
    <col min="7" max="7" width="1.42578125" customWidth="1"/>
  </cols>
  <sheetData>
    <row r="1" spans="1:11" x14ac:dyDescent="0.25">
      <c r="A1" s="16" t="s">
        <v>243</v>
      </c>
      <c r="F1" s="6" t="str">
        <f>+'Commodity OK'!H2</f>
        <v>Data Input Nov 24 billing =Nov invoices = Oct Flow  data= Oct Sales Volume</v>
      </c>
    </row>
    <row r="3" spans="1:11" x14ac:dyDescent="0.25">
      <c r="A3" s="16" t="s">
        <v>98</v>
      </c>
    </row>
    <row r="4" spans="1:11" x14ac:dyDescent="0.25">
      <c r="F4" s="17" t="s">
        <v>8</v>
      </c>
      <c r="I4" s="1"/>
      <c r="J4" s="1"/>
      <c r="K4" s="5"/>
    </row>
    <row r="5" spans="1:11" x14ac:dyDescent="0.25">
      <c r="I5" s="1"/>
      <c r="J5" s="1"/>
      <c r="K5" s="5"/>
    </row>
    <row r="6" spans="1:11" x14ac:dyDescent="0.25">
      <c r="B6" t="s">
        <v>0</v>
      </c>
      <c r="F6" s="83">
        <f>ROUNDUP('Direct Charges'!H7,0)</f>
        <v>14332</v>
      </c>
      <c r="I6" s="1"/>
      <c r="J6" s="1"/>
      <c r="K6" s="5"/>
    </row>
    <row r="7" spans="1:11" x14ac:dyDescent="0.25">
      <c r="B7" t="s">
        <v>4</v>
      </c>
      <c r="F7" s="83">
        <f>ROUNDUP('Direct Charges'!H13,0)</f>
        <v>3462</v>
      </c>
      <c r="I7" s="1"/>
      <c r="J7" s="1"/>
      <c r="K7" s="5"/>
    </row>
    <row r="8" spans="1:11" x14ac:dyDescent="0.25">
      <c r="B8" t="s">
        <v>13</v>
      </c>
      <c r="F8" s="83">
        <f>ROUNDUP('Allocation Charges'!H6,0)</f>
        <v>0</v>
      </c>
      <c r="I8" s="1"/>
      <c r="J8" s="1"/>
      <c r="K8" s="5"/>
    </row>
    <row r="9" spans="1:11" x14ac:dyDescent="0.25">
      <c r="B9" t="s">
        <v>14</v>
      </c>
      <c r="F9" s="83">
        <v>0</v>
      </c>
      <c r="I9" s="1"/>
      <c r="J9" s="1"/>
      <c r="K9" s="5"/>
    </row>
    <row r="10" spans="1:11" x14ac:dyDescent="0.25">
      <c r="B10" t="s">
        <v>17</v>
      </c>
      <c r="F10" s="60"/>
      <c r="G10" s="6"/>
      <c r="J10" s="1"/>
    </row>
    <row r="11" spans="1:11" x14ac:dyDescent="0.25">
      <c r="C11" t="s">
        <v>37</v>
      </c>
      <c r="F11" s="60">
        <f>'Direct Charges'!H25</f>
        <v>192.7</v>
      </c>
      <c r="G11" s="6"/>
      <c r="J11" s="1"/>
    </row>
    <row r="12" spans="1:11" x14ac:dyDescent="0.25">
      <c r="C12" t="s">
        <v>38</v>
      </c>
      <c r="F12" s="60">
        <f>'Allocation Charges'!H7</f>
        <v>1950.6879347275255</v>
      </c>
      <c r="G12" s="6"/>
      <c r="J12" s="1"/>
    </row>
    <row r="13" spans="1:11" x14ac:dyDescent="0.25">
      <c r="D13" s="7" t="s">
        <v>39</v>
      </c>
      <c r="F13" s="86">
        <f>ROUNDUP(F11+F12,0)</f>
        <v>2144</v>
      </c>
      <c r="G13" s="6"/>
      <c r="J13" s="1"/>
    </row>
    <row r="14" spans="1:11" x14ac:dyDescent="0.25">
      <c r="B14" t="s">
        <v>15</v>
      </c>
      <c r="F14" s="83">
        <f>ROUNDUP('Allocation Charges'!H8,0)</f>
        <v>3046</v>
      </c>
      <c r="G14" s="6"/>
    </row>
    <row r="15" spans="1:11" x14ac:dyDescent="0.25">
      <c r="B15" t="s">
        <v>18</v>
      </c>
      <c r="F15" s="83">
        <f>ROUNDUP('Allocation Charges'!H9,0)</f>
        <v>0</v>
      </c>
      <c r="G15" s="6"/>
    </row>
    <row r="16" spans="1:11" x14ac:dyDescent="0.25">
      <c r="B16" t="s">
        <v>19</v>
      </c>
      <c r="F16" s="83">
        <f>ROUNDUP('Allocation Charges'!H10,0)</f>
        <v>19929</v>
      </c>
      <c r="G16" s="6"/>
    </row>
    <row r="17" spans="2:7" x14ac:dyDescent="0.25">
      <c r="B17" t="s">
        <v>20</v>
      </c>
      <c r="F17" s="60"/>
      <c r="G17" s="6"/>
    </row>
    <row r="18" spans="2:7" x14ac:dyDescent="0.25">
      <c r="C18" t="s">
        <v>37</v>
      </c>
      <c r="F18" s="60">
        <f>'Direct Charges'!H36</f>
        <v>466.94</v>
      </c>
      <c r="G18" s="6"/>
    </row>
    <row r="19" spans="2:7" x14ac:dyDescent="0.25">
      <c r="C19" t="s">
        <v>38</v>
      </c>
      <c r="F19" s="60">
        <f>'Allocation Charges'!H11</f>
        <v>1362.5988301810469</v>
      </c>
      <c r="G19" s="6"/>
    </row>
    <row r="20" spans="2:7" x14ac:dyDescent="0.25">
      <c r="D20" s="7" t="s">
        <v>39</v>
      </c>
      <c r="F20" s="86">
        <f>ROUNDUP(F18+F19,0)</f>
        <v>1830</v>
      </c>
      <c r="G20" s="6"/>
    </row>
    <row r="21" spans="2:7" x14ac:dyDescent="0.25">
      <c r="B21" t="s">
        <v>21</v>
      </c>
      <c r="F21" s="60"/>
      <c r="G21" s="6"/>
    </row>
    <row r="22" spans="2:7" x14ac:dyDescent="0.25">
      <c r="C22" t="s">
        <v>37</v>
      </c>
      <c r="F22" s="60">
        <f>'Direct Charges'!H42</f>
        <v>23167</v>
      </c>
      <c r="G22" s="6"/>
    </row>
    <row r="23" spans="2:7" x14ac:dyDescent="0.25">
      <c r="C23" t="s">
        <v>38</v>
      </c>
      <c r="F23" s="60">
        <f>'Allocation Charges'!H12</f>
        <v>833.34303926998541</v>
      </c>
      <c r="G23" s="6"/>
    </row>
    <row r="24" spans="2:7" x14ac:dyDescent="0.25">
      <c r="D24" s="7" t="s">
        <v>39</v>
      </c>
      <c r="F24" s="86">
        <f>ROUNDUP(F22+F23,0)</f>
        <v>24001</v>
      </c>
      <c r="G24" s="6"/>
    </row>
    <row r="25" spans="2:7" x14ac:dyDescent="0.25">
      <c r="B25" t="s">
        <v>25</v>
      </c>
      <c r="F25" s="83">
        <f>ROUNDUP('Allocation Charges'!H13,0)</f>
        <v>4035</v>
      </c>
      <c r="G25" s="6"/>
    </row>
    <row r="26" spans="2:7" x14ac:dyDescent="0.25">
      <c r="B26" t="s">
        <v>26</v>
      </c>
      <c r="F26" s="60"/>
      <c r="G26" s="6"/>
    </row>
    <row r="27" spans="2:7" x14ac:dyDescent="0.25">
      <c r="C27" t="s">
        <v>37</v>
      </c>
      <c r="F27" s="60">
        <f>'Direct Charges'!H48</f>
        <v>34.5</v>
      </c>
      <c r="G27" s="6"/>
    </row>
    <row r="28" spans="2:7" x14ac:dyDescent="0.25">
      <c r="C28" t="s">
        <v>38</v>
      </c>
      <c r="F28" s="60">
        <f>'Allocation Charges'!H14</f>
        <v>0</v>
      </c>
      <c r="G28" s="6"/>
    </row>
    <row r="29" spans="2:7" x14ac:dyDescent="0.25">
      <c r="D29" s="7" t="s">
        <v>39</v>
      </c>
      <c r="F29" s="86">
        <f>ROUNDUP(F27+F28,0)</f>
        <v>35</v>
      </c>
      <c r="G29" s="6"/>
    </row>
    <row r="30" spans="2:7" x14ac:dyDescent="0.25">
      <c r="B30" t="s">
        <v>27</v>
      </c>
      <c r="G30" s="6"/>
    </row>
    <row r="31" spans="2:7" x14ac:dyDescent="0.25">
      <c r="C31" t="s">
        <v>37</v>
      </c>
      <c r="F31" s="60">
        <f>'Direct Charges'!H54</f>
        <v>3119.09</v>
      </c>
      <c r="G31" s="6"/>
    </row>
    <row r="32" spans="2:7" x14ac:dyDescent="0.25">
      <c r="C32" t="s">
        <v>38</v>
      </c>
      <c r="F32" s="60">
        <f>'Allocation Charges'!H15</f>
        <v>4056.5990304758025</v>
      </c>
      <c r="G32" s="6"/>
    </row>
    <row r="33" spans="1:10" x14ac:dyDescent="0.25">
      <c r="D33" s="7" t="s">
        <v>39</v>
      </c>
      <c r="F33" s="86">
        <f>ROUNDUP(F31+F32,0)</f>
        <v>7176</v>
      </c>
      <c r="G33" s="6"/>
    </row>
    <row r="34" spans="1:10" x14ac:dyDescent="0.25">
      <c r="B34" t="s">
        <v>194</v>
      </c>
      <c r="F34" s="83">
        <f>ROUNDUP('Allocation Charges'!H16,0)</f>
        <v>0</v>
      </c>
      <c r="G34" s="6"/>
    </row>
    <row r="35" spans="1:10" x14ac:dyDescent="0.25">
      <c r="B35" t="s">
        <v>28</v>
      </c>
      <c r="F35" s="83">
        <f>ROUNDUP('Allocation Charges'!H17,0)</f>
        <v>0</v>
      </c>
      <c r="G35" s="6"/>
    </row>
    <row r="36" spans="1:10" x14ac:dyDescent="0.25">
      <c r="B36" t="s">
        <v>29</v>
      </c>
      <c r="F36" s="83">
        <f>ROUNDUP('Allocation Charges'!H18,0)</f>
        <v>718</v>
      </c>
      <c r="G36" s="6"/>
    </row>
    <row r="37" spans="1:10" x14ac:dyDescent="0.25">
      <c r="B37" t="s">
        <v>30</v>
      </c>
      <c r="F37" s="83">
        <f>ROUNDUP('Allocation Charges'!H19,0)</f>
        <v>612</v>
      </c>
      <c r="G37" s="6"/>
    </row>
    <row r="38" spans="1:10" x14ac:dyDescent="0.25">
      <c r="F38" s="60"/>
      <c r="G38" s="6"/>
    </row>
    <row r="39" spans="1:10" x14ac:dyDescent="0.25">
      <c r="F39" s="87">
        <f>F6+F7+F8+F9+F13+F14+F15+F16+F20+F24+F25+F29+F33+F34+F35+F36+F37</f>
        <v>81320</v>
      </c>
      <c r="G39" s="6"/>
    </row>
    <row r="40" spans="1:10" x14ac:dyDescent="0.25">
      <c r="F40" s="6"/>
      <c r="G40" s="6"/>
    </row>
    <row r="41" spans="1:10" x14ac:dyDescent="0.25">
      <c r="A41" s="16" t="s">
        <v>99</v>
      </c>
      <c r="F41" s="124" t="s">
        <v>265</v>
      </c>
      <c r="G41" s="6"/>
      <c r="H41" s="124"/>
      <c r="I41" s="124"/>
    </row>
    <row r="42" spans="1:10" x14ac:dyDescent="0.25">
      <c r="F42" s="6"/>
      <c r="G42" s="6"/>
    </row>
    <row r="43" spans="1:10" x14ac:dyDescent="0.25">
      <c r="B43" t="s">
        <v>115</v>
      </c>
      <c r="F43" s="79">
        <f>ROUNDUP('Direct Charges'!H65,0)</f>
        <v>0</v>
      </c>
      <c r="G43" s="6"/>
    </row>
    <row r="44" spans="1:10" x14ac:dyDescent="0.25">
      <c r="B44" t="s">
        <v>46</v>
      </c>
      <c r="F44" s="79">
        <f>ROUNDUP('Allocation Charges'!H27,0)</f>
        <v>3795</v>
      </c>
      <c r="G44" s="6"/>
    </row>
    <row r="45" spans="1:10" x14ac:dyDescent="0.25">
      <c r="B45" t="s">
        <v>32</v>
      </c>
      <c r="F45" s="79">
        <f>ROUNDUP('Allocation Charges'!H28,0)</f>
        <v>1100</v>
      </c>
      <c r="G45" s="6"/>
    </row>
    <row r="46" spans="1:10" x14ac:dyDescent="0.25">
      <c r="B46" t="s">
        <v>47</v>
      </c>
      <c r="F46" s="79">
        <f>ROUNDUP('Allocation Charges'!H29,0)</f>
        <v>1759</v>
      </c>
      <c r="G46" s="6"/>
    </row>
    <row r="47" spans="1:10" x14ac:dyDescent="0.25">
      <c r="B47" t="s">
        <v>48</v>
      </c>
      <c r="F47" s="79">
        <f>ROUNDUP('Allocation Charges'!H30,0)</f>
        <v>1063</v>
      </c>
      <c r="G47" s="6"/>
      <c r="J47" s="8"/>
    </row>
    <row r="48" spans="1:10" x14ac:dyDescent="0.25">
      <c r="B48" t="s">
        <v>41</v>
      </c>
      <c r="F48" s="79">
        <f>ROUNDUP('Allocation Charges'!H31,0)</f>
        <v>1020</v>
      </c>
      <c r="G48" s="6"/>
      <c r="J48" s="8"/>
    </row>
    <row r="49" spans="1:10" x14ac:dyDescent="0.25">
      <c r="B49" t="s">
        <v>31</v>
      </c>
      <c r="F49" s="79">
        <f>ROUNDUP('Allocation Charges'!H32,0)</f>
        <v>3513</v>
      </c>
      <c r="J49" s="8"/>
    </row>
    <row r="50" spans="1:10" x14ac:dyDescent="0.25">
      <c r="F50" s="8"/>
    </row>
    <row r="51" spans="1:10" x14ac:dyDescent="0.25">
      <c r="F51" s="84">
        <f>SUM(F43:F49)</f>
        <v>12250</v>
      </c>
      <c r="I51" s="23"/>
      <c r="J51" s="23"/>
    </row>
    <row r="52" spans="1:10" x14ac:dyDescent="0.25">
      <c r="H52" t="s">
        <v>162</v>
      </c>
    </row>
    <row r="53" spans="1:10" x14ac:dyDescent="0.25">
      <c r="A53" s="16" t="s">
        <v>83</v>
      </c>
      <c r="F53" s="218">
        <f>ROUNDUP('Commodity TN KY'!I19,0)</f>
        <v>37059</v>
      </c>
      <c r="H53" s="114">
        <f>'Commodity TN KY'!E15*'Commodity TN KY'!G19</f>
        <v>11460.934815550547</v>
      </c>
    </row>
    <row r="54" spans="1:10" ht="7.5" customHeight="1" x14ac:dyDescent="0.25">
      <c r="F54" s="60"/>
    </row>
    <row r="55" spans="1:10" x14ac:dyDescent="0.25">
      <c r="A55" s="35"/>
      <c r="B55" s="35"/>
      <c r="C55" s="35"/>
      <c r="D55" s="35"/>
      <c r="E55" s="35"/>
      <c r="F55" s="61"/>
      <c r="G55" s="35"/>
      <c r="H55" s="35"/>
      <c r="I55" s="35"/>
    </row>
    <row r="56" spans="1:10" x14ac:dyDescent="0.25">
      <c r="F56" s="60"/>
    </row>
    <row r="57" spans="1:10" x14ac:dyDescent="0.25">
      <c r="D57" s="15" t="s">
        <v>56</v>
      </c>
      <c r="F57" s="219">
        <f>F39+F51+F53</f>
        <v>130629</v>
      </c>
    </row>
  </sheetData>
  <pageMargins left="0.7" right="0.7" top="0.75" bottom="0.75" header="0.3" footer="0.3"/>
  <pageSetup scale="86" fitToWidth="0" orientation="portrait" horizontalDpi="4294967295" verticalDpi="4294967295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F150-8989-438B-9D1A-C23D3ADF1ED8}">
  <sheetPr>
    <pageSetUpPr fitToPage="1"/>
  </sheetPr>
  <dimension ref="A1:Y48"/>
  <sheetViews>
    <sheetView topLeftCell="A19" zoomScaleNormal="100" workbookViewId="0">
      <selection activeCell="I46" sqref="I46"/>
    </sheetView>
  </sheetViews>
  <sheetFormatPr defaultRowHeight="15" x14ac:dyDescent="0.25"/>
  <cols>
    <col min="1" max="2" width="1.42578125" customWidth="1"/>
    <col min="3" max="3" width="24.85546875" customWidth="1"/>
    <col min="4" max="4" width="1.42578125" customWidth="1"/>
    <col min="5" max="5" width="12.85546875" style="6" customWidth="1"/>
    <col min="6" max="6" width="1.42578125" style="6" customWidth="1"/>
    <col min="7" max="7" width="12.85546875" style="6" customWidth="1"/>
    <col min="8" max="8" width="1.42578125" style="6" customWidth="1"/>
    <col min="9" max="9" width="15.140625" customWidth="1"/>
    <col min="10" max="10" width="1.42578125" style="6" customWidth="1"/>
    <col min="11" max="11" width="14.28515625" customWidth="1"/>
    <col min="12" max="13" width="1.42578125" customWidth="1"/>
    <col min="15" max="15" width="1.42578125" customWidth="1"/>
    <col min="16" max="16" width="15.28515625" customWidth="1"/>
    <col min="17" max="17" width="1.42578125" customWidth="1"/>
    <col min="18" max="18" width="12.7109375" customWidth="1"/>
    <col min="19" max="19" width="1.42578125" customWidth="1"/>
    <col min="22" max="22" width="12.5703125" customWidth="1"/>
  </cols>
  <sheetData>
    <row r="1" spans="1:18" x14ac:dyDescent="0.25">
      <c r="I1" s="98" t="str">
        <f>+'Commodity OK'!F2</f>
        <v>2411 file =</v>
      </c>
      <c r="J1" s="99"/>
      <c r="K1" s="100" t="str">
        <f>+'Commodity OK'!H2</f>
        <v>Data Input Nov 24 billing =Nov invoices = Oct Flow  data= Oct Sales Volume</v>
      </c>
    </row>
    <row r="2" spans="1:18" x14ac:dyDescent="0.25">
      <c r="B2" s="16" t="s">
        <v>84</v>
      </c>
      <c r="G2" s="75"/>
      <c r="I2" t="s">
        <v>137</v>
      </c>
    </row>
    <row r="4" spans="1:18" x14ac:dyDescent="0.25">
      <c r="B4" t="s">
        <v>87</v>
      </c>
    </row>
    <row r="5" spans="1:18" x14ac:dyDescent="0.25">
      <c r="A5" s="48"/>
      <c r="B5" s="48"/>
      <c r="C5" s="48"/>
      <c r="D5" s="48"/>
      <c r="E5" s="47" t="s">
        <v>85</v>
      </c>
      <c r="F5" s="48"/>
      <c r="G5" s="47" t="s">
        <v>86</v>
      </c>
      <c r="H5" s="48"/>
      <c r="I5" s="47" t="s">
        <v>50</v>
      </c>
      <c r="J5" s="48"/>
      <c r="K5" s="48"/>
      <c r="L5" s="48"/>
      <c r="M5" s="19"/>
      <c r="N5" s="19"/>
      <c r="O5" s="19"/>
      <c r="P5" s="19"/>
      <c r="Q5" s="19"/>
      <c r="R5" s="19"/>
    </row>
    <row r="6" spans="1:18" x14ac:dyDescent="0.25">
      <c r="A6" s="48"/>
      <c r="B6" s="48"/>
      <c r="C6" s="48" t="s">
        <v>190</v>
      </c>
      <c r="D6" s="48"/>
      <c r="E6" s="90" t="s">
        <v>211</v>
      </c>
      <c r="F6" s="48"/>
      <c r="G6" s="156"/>
      <c r="H6" s="49"/>
      <c r="I6" s="174"/>
      <c r="J6" s="48"/>
      <c r="K6" s="48"/>
      <c r="L6" s="48"/>
      <c r="N6" s="25"/>
      <c r="R6" s="27"/>
    </row>
    <row r="7" spans="1:18" x14ac:dyDescent="0.25">
      <c r="A7" s="48"/>
      <c r="B7" s="48"/>
      <c r="C7" s="48" t="s">
        <v>154</v>
      </c>
      <c r="D7" s="48"/>
      <c r="E7" s="90">
        <v>435</v>
      </c>
      <c r="F7" s="51"/>
      <c r="G7" s="49">
        <f t="shared" ref="G7:G14" si="0">I7/E7</f>
        <v>3.3476781609195401</v>
      </c>
      <c r="H7" s="49"/>
      <c r="I7" s="174">
        <v>1456.24</v>
      </c>
      <c r="J7" s="48"/>
      <c r="K7" s="48"/>
      <c r="L7" s="48"/>
      <c r="N7" s="25"/>
      <c r="R7" s="27"/>
    </row>
    <row r="8" spans="1:18" x14ac:dyDescent="0.25">
      <c r="A8" s="48"/>
      <c r="B8" s="48"/>
      <c r="C8" s="48" t="s">
        <v>142</v>
      </c>
      <c r="D8" s="153"/>
      <c r="E8" s="90"/>
      <c r="F8" s="48"/>
      <c r="G8" s="49" t="e">
        <f>I8/E8</f>
        <v>#DIV/0!</v>
      </c>
      <c r="H8" s="49"/>
      <c r="I8" s="174"/>
      <c r="J8" s="153"/>
      <c r="K8" s="48"/>
      <c r="L8" s="48"/>
      <c r="N8" s="25"/>
      <c r="R8" s="27"/>
    </row>
    <row r="9" spans="1:18" x14ac:dyDescent="0.25">
      <c r="A9" s="48"/>
      <c r="B9" s="48"/>
      <c r="C9" s="48" t="s">
        <v>188</v>
      </c>
      <c r="D9" s="48"/>
      <c r="E9" s="90">
        <v>8001</v>
      </c>
      <c r="F9" s="48"/>
      <c r="G9" s="49">
        <f t="shared" si="0"/>
        <v>2.7172003499562556</v>
      </c>
      <c r="H9" s="49"/>
      <c r="I9" s="174">
        <v>21740.32</v>
      </c>
      <c r="J9" s="48"/>
      <c r="K9" s="48"/>
      <c r="L9" s="48"/>
      <c r="N9" s="25"/>
      <c r="R9" s="27"/>
    </row>
    <row r="10" spans="1:18" x14ac:dyDescent="0.25">
      <c r="A10" s="48"/>
      <c r="B10" s="48"/>
      <c r="C10" s="48" t="s">
        <v>200</v>
      </c>
      <c r="D10" s="48"/>
      <c r="E10" s="90" t="s">
        <v>138</v>
      </c>
      <c r="F10" s="48"/>
      <c r="G10" s="49" t="e">
        <f t="shared" si="0"/>
        <v>#VALUE!</v>
      </c>
      <c r="H10" s="49"/>
      <c r="I10" s="174">
        <v>1859.49</v>
      </c>
      <c r="J10" s="48"/>
      <c r="K10" s="48"/>
      <c r="L10" s="48"/>
      <c r="N10" s="25"/>
      <c r="R10" s="27"/>
    </row>
    <row r="11" spans="1:18" x14ac:dyDescent="0.25">
      <c r="A11" s="48"/>
      <c r="B11" s="48"/>
      <c r="C11" s="48" t="s">
        <v>241</v>
      </c>
      <c r="D11" s="48"/>
      <c r="E11" s="90"/>
      <c r="F11" s="48"/>
      <c r="G11" s="49" t="e">
        <f t="shared" si="0"/>
        <v>#DIV/0!</v>
      </c>
      <c r="H11" s="49"/>
      <c r="I11" s="174"/>
      <c r="J11" s="48"/>
      <c r="K11" s="48"/>
      <c r="L11" s="48"/>
      <c r="N11" s="25"/>
      <c r="R11" s="27"/>
    </row>
    <row r="12" spans="1:18" x14ac:dyDescent="0.25">
      <c r="A12" s="48"/>
      <c r="B12" s="48"/>
      <c r="C12" s="48" t="s">
        <v>215</v>
      </c>
      <c r="D12" s="48"/>
      <c r="E12" s="90">
        <f>145+6</f>
        <v>151</v>
      </c>
      <c r="F12" s="48"/>
      <c r="G12" s="49">
        <f>I12/E12</f>
        <v>3.76158940397351</v>
      </c>
      <c r="H12" s="49"/>
      <c r="I12" s="174">
        <f>535.74+32.26</f>
        <v>568</v>
      </c>
      <c r="J12" s="48"/>
      <c r="K12" s="48"/>
      <c r="L12" s="48"/>
      <c r="N12" s="25"/>
      <c r="R12" s="27"/>
    </row>
    <row r="13" spans="1:18" x14ac:dyDescent="0.25">
      <c r="A13" s="48"/>
      <c r="B13" s="48"/>
      <c r="C13" s="48" t="s">
        <v>183</v>
      </c>
      <c r="D13" s="48"/>
      <c r="E13" s="90">
        <v>3165</v>
      </c>
      <c r="F13" s="48"/>
      <c r="G13" s="49">
        <f>I13/E13</f>
        <v>3.9099999999999997</v>
      </c>
      <c r="H13" s="49"/>
      <c r="I13" s="174">
        <v>12375.15</v>
      </c>
      <c r="J13" s="48"/>
      <c r="K13" s="48"/>
      <c r="L13" s="48"/>
      <c r="M13" s="16"/>
      <c r="N13" s="37"/>
      <c r="O13" s="16"/>
      <c r="Q13" s="16"/>
      <c r="R13" s="31"/>
    </row>
    <row r="14" spans="1:18" x14ac:dyDescent="0.25">
      <c r="A14" s="48"/>
      <c r="B14" s="48"/>
      <c r="C14" s="48" t="s">
        <v>217</v>
      </c>
      <c r="D14" s="48"/>
      <c r="E14" s="90"/>
      <c r="F14" s="48"/>
      <c r="G14" s="49" t="e">
        <f t="shared" si="0"/>
        <v>#DIV/0!</v>
      </c>
      <c r="H14" s="49"/>
      <c r="I14" s="174"/>
      <c r="J14" s="48"/>
      <c r="K14" s="48"/>
      <c r="L14" s="48"/>
      <c r="M14" s="16"/>
      <c r="N14" s="37"/>
      <c r="O14" s="16"/>
      <c r="Q14" s="16"/>
      <c r="R14" s="31"/>
    </row>
    <row r="15" spans="1:18" x14ac:dyDescent="0.25">
      <c r="A15" s="48"/>
      <c r="B15" s="48"/>
      <c r="C15" s="48"/>
      <c r="D15" s="48"/>
      <c r="E15" s="43">
        <f>SUM(E7:E14)</f>
        <v>11752</v>
      </c>
      <c r="F15" s="48"/>
      <c r="G15" s="42">
        <f>I15/(E8+E13)</f>
        <v>12.006066350710903</v>
      </c>
      <c r="H15" s="49"/>
      <c r="I15" s="175">
        <f>SUM(I6:I14)</f>
        <v>37999.200000000004</v>
      </c>
      <c r="J15" s="48"/>
      <c r="K15" s="48"/>
      <c r="L15" s="48"/>
      <c r="R15" s="56"/>
    </row>
    <row r="16" spans="1:18" x14ac:dyDescent="0.25">
      <c r="A16" s="48"/>
      <c r="B16" s="48"/>
      <c r="C16" s="48"/>
      <c r="D16" s="48"/>
      <c r="E16" s="64"/>
      <c r="F16" s="48"/>
      <c r="G16" s="49"/>
      <c r="H16" s="49"/>
      <c r="I16" s="49"/>
      <c r="J16" s="48"/>
      <c r="K16" s="48"/>
      <c r="L16" s="48"/>
      <c r="R16" s="56"/>
    </row>
    <row r="17" spans="1:25" x14ac:dyDescent="0.25">
      <c r="A17" s="48"/>
      <c r="B17" s="48"/>
      <c r="C17" s="40" t="s">
        <v>77</v>
      </c>
      <c r="D17" s="40"/>
      <c r="E17" s="40" t="s">
        <v>181</v>
      </c>
      <c r="F17" s="48"/>
      <c r="G17" s="40" t="s">
        <v>78</v>
      </c>
      <c r="H17" s="48"/>
      <c r="I17" s="40" t="s">
        <v>79</v>
      </c>
      <c r="J17" s="48"/>
      <c r="K17" s="40" t="s">
        <v>80</v>
      </c>
      <c r="L17" s="48"/>
      <c r="R17" s="59"/>
    </row>
    <row r="18" spans="1:25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0"/>
      <c r="L18" s="48"/>
      <c r="R18" s="55"/>
    </row>
    <row r="19" spans="1:25" x14ac:dyDescent="0.25">
      <c r="A19" s="48"/>
      <c r="B19" s="48"/>
      <c r="C19" s="48" t="s">
        <v>88</v>
      </c>
      <c r="D19" s="48"/>
      <c r="E19" s="92">
        <v>76586</v>
      </c>
      <c r="F19" s="48"/>
      <c r="G19" s="45">
        <f>E19/E22</f>
        <v>0.97523271064929773</v>
      </c>
      <c r="H19" s="48"/>
      <c r="I19" s="167">
        <f>I15*G19</f>
        <v>37058.062818504797</v>
      </c>
      <c r="J19" s="48"/>
      <c r="K19" s="92">
        <v>82425</v>
      </c>
      <c r="L19" s="48"/>
      <c r="P19" t="s">
        <v>195</v>
      </c>
    </row>
    <row r="20" spans="1:25" x14ac:dyDescent="0.25">
      <c r="A20" s="48"/>
      <c r="B20" s="48"/>
      <c r="C20" s="41" t="s">
        <v>89</v>
      </c>
      <c r="D20" s="41"/>
      <c r="E20" s="92">
        <v>1945</v>
      </c>
      <c r="F20" s="41"/>
      <c r="G20" s="45">
        <f>E20/E22</f>
        <v>2.4767289350702271E-2</v>
      </c>
      <c r="H20" s="41"/>
      <c r="I20" s="166">
        <f>I15*G20</f>
        <v>941.13718149520582</v>
      </c>
      <c r="J20" s="41"/>
      <c r="K20" s="92">
        <v>955</v>
      </c>
      <c r="L20" s="48"/>
      <c r="P20" t="s">
        <v>208</v>
      </c>
      <c r="T20" s="6"/>
      <c r="V20" s="56"/>
      <c r="Y20" s="27"/>
    </row>
    <row r="21" spans="1:25" x14ac:dyDescent="0.25">
      <c r="A21" s="48"/>
      <c r="B21" s="48"/>
      <c r="C21" s="48"/>
      <c r="D21" s="48"/>
      <c r="E21" s="48"/>
      <c r="F21" s="48"/>
      <c r="G21" s="46"/>
      <c r="H21" s="48"/>
      <c r="I21" s="39"/>
      <c r="J21" s="48"/>
      <c r="K21" s="38"/>
      <c r="L21" s="48"/>
    </row>
    <row r="22" spans="1:25" x14ac:dyDescent="0.25">
      <c r="A22" s="48"/>
      <c r="B22" s="48"/>
      <c r="C22" s="48" t="s">
        <v>90</v>
      </c>
      <c r="D22" s="48"/>
      <c r="E22" s="38">
        <f>SUM(E19:E20)</f>
        <v>78531</v>
      </c>
      <c r="F22" s="48"/>
      <c r="G22" s="45">
        <f>SUM(G19:G20)</f>
        <v>1</v>
      </c>
      <c r="H22" s="48"/>
      <c r="I22" s="154">
        <f>SUM(I19:I20)</f>
        <v>37999.200000000004</v>
      </c>
      <c r="J22" s="48"/>
      <c r="K22" s="38">
        <f>SUM(K19:K20)</f>
        <v>83380</v>
      </c>
      <c r="L22" s="48"/>
      <c r="V22" s="62"/>
      <c r="X22" s="27"/>
    </row>
    <row r="23" spans="1:25" x14ac:dyDescent="0.25">
      <c r="C23" s="217"/>
    </row>
    <row r="24" spans="1:25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48"/>
      <c r="X24" s="27"/>
    </row>
    <row r="25" spans="1:25" x14ac:dyDescent="0.25">
      <c r="A25" s="48"/>
      <c r="B25" s="48" t="s">
        <v>91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V25" s="27"/>
      <c r="W25" s="27"/>
    </row>
    <row r="26" spans="1:25" x14ac:dyDescent="0.25">
      <c r="A26" s="48"/>
      <c r="B26" s="48"/>
      <c r="C26" s="48"/>
      <c r="D26" s="48"/>
      <c r="E26" s="47" t="s">
        <v>85</v>
      </c>
      <c r="F26" s="48"/>
      <c r="G26" s="47" t="s">
        <v>86</v>
      </c>
      <c r="H26" s="48"/>
      <c r="I26" s="47" t="s">
        <v>50</v>
      </c>
      <c r="J26" s="48"/>
      <c r="K26" s="48"/>
      <c r="L26" s="48"/>
      <c r="P26" s="234" t="s">
        <v>187</v>
      </c>
      <c r="V26" s="67"/>
    </row>
    <row r="27" spans="1:25" x14ac:dyDescent="0.25">
      <c r="A27" s="48"/>
      <c r="B27" s="48"/>
      <c r="C27" s="48" t="s">
        <v>275</v>
      </c>
      <c r="D27" s="48"/>
      <c r="E27" s="93">
        <f>7635+496+737</f>
        <v>8868</v>
      </c>
      <c r="F27" s="51"/>
      <c r="G27" s="49">
        <f>I27/E27</f>
        <v>5.1596064501578702</v>
      </c>
      <c r="H27" s="48"/>
      <c r="I27" s="157">
        <f>39854.7+2326.24+3574.45</f>
        <v>45755.389999999992</v>
      </c>
      <c r="J27" s="48"/>
      <c r="K27" s="48"/>
      <c r="L27" s="48"/>
      <c r="P27" s="8">
        <f>I36+I20</f>
        <v>47858.757181495203</v>
      </c>
      <c r="V27" s="27"/>
    </row>
    <row r="28" spans="1:25" x14ac:dyDescent="0.25">
      <c r="A28" s="48"/>
      <c r="B28" s="48"/>
      <c r="C28" s="48" t="s">
        <v>182</v>
      </c>
      <c r="D28" s="48"/>
      <c r="E28" s="90">
        <v>943</v>
      </c>
      <c r="F28" s="48"/>
      <c r="G28" s="49">
        <f>I28/E28</f>
        <v>1.2324814422057264</v>
      </c>
      <c r="H28" s="49"/>
      <c r="I28" s="158">
        <v>1162.23</v>
      </c>
      <c r="J28" s="48"/>
      <c r="K28" s="48"/>
      <c r="L28" s="48"/>
      <c r="P28" s="134">
        <f>+E20+E34</f>
        <v>12453</v>
      </c>
      <c r="R28" s="56"/>
    </row>
    <row r="29" spans="1:25" x14ac:dyDescent="0.25">
      <c r="A29" s="48"/>
      <c r="B29" s="48"/>
      <c r="C29" s="48" t="s">
        <v>274</v>
      </c>
      <c r="D29" s="48"/>
      <c r="E29" s="90">
        <v>496</v>
      </c>
      <c r="F29" s="48"/>
      <c r="G29" s="49">
        <f>I29/E29</f>
        <v>0.31419354838709679</v>
      </c>
      <c r="H29" s="49"/>
      <c r="I29" s="158">
        <v>155.84</v>
      </c>
      <c r="J29" s="48"/>
      <c r="K29" s="48"/>
      <c r="L29" s="48"/>
    </row>
    <row r="30" spans="1:25" ht="15.75" thickBot="1" x14ac:dyDescent="0.3">
      <c r="C30" s="48"/>
      <c r="D30" s="48"/>
      <c r="E30" s="44"/>
      <c r="F30" s="48"/>
      <c r="G30" s="48"/>
      <c r="H30" s="48"/>
      <c r="I30" s="170">
        <f>SUM(I27:I29)</f>
        <v>47073.459999999992</v>
      </c>
      <c r="V30" s="27"/>
    </row>
    <row r="31" spans="1:25" ht="15.75" thickTop="1" x14ac:dyDescent="0.25">
      <c r="A31" s="48"/>
      <c r="B31" s="48"/>
      <c r="V31" s="27"/>
      <c r="W31" s="27"/>
      <c r="Y31" s="67"/>
    </row>
    <row r="32" spans="1:25" x14ac:dyDescent="0.25">
      <c r="C32" s="40" t="s">
        <v>77</v>
      </c>
      <c r="D32" s="40"/>
      <c r="E32" s="40" t="s">
        <v>181</v>
      </c>
      <c r="F32" s="48"/>
      <c r="G32" s="40" t="s">
        <v>78</v>
      </c>
      <c r="H32" s="48"/>
      <c r="I32" s="40" t="s">
        <v>79</v>
      </c>
      <c r="J32" s="48"/>
      <c r="K32" s="40" t="s">
        <v>80</v>
      </c>
      <c r="L32" s="48"/>
    </row>
    <row r="33" spans="1:25" x14ac:dyDescent="0.25">
      <c r="A33" s="48"/>
      <c r="B33" s="48"/>
      <c r="V33" s="27"/>
      <c r="W33" s="27"/>
      <c r="Y33" s="67"/>
    </row>
    <row r="34" spans="1:25" x14ac:dyDescent="0.25">
      <c r="A34" s="48"/>
      <c r="B34" s="48"/>
      <c r="C34" s="48" t="s">
        <v>92</v>
      </c>
      <c r="D34" s="48"/>
      <c r="E34" s="238">
        <v>10508</v>
      </c>
      <c r="F34" s="48"/>
      <c r="G34" s="45">
        <f>E34/E36</f>
        <v>1</v>
      </c>
      <c r="H34" s="48"/>
      <c r="I34" s="49">
        <f>+I27+I28</f>
        <v>46917.619999999995</v>
      </c>
      <c r="J34" s="48"/>
      <c r="K34" s="238">
        <v>3422</v>
      </c>
      <c r="L34" s="48"/>
      <c r="P34" t="s">
        <v>208</v>
      </c>
      <c r="R34" s="27"/>
      <c r="V34" s="27"/>
    </row>
    <row r="35" spans="1:25" x14ac:dyDescent="0.25">
      <c r="A35" s="48"/>
      <c r="B35" s="48"/>
      <c r="C35" s="39"/>
      <c r="D35" s="39"/>
      <c r="E35" s="39"/>
      <c r="F35" s="39"/>
      <c r="G35" s="46"/>
      <c r="H35" s="39"/>
      <c r="I35" s="39"/>
      <c r="J35" s="39"/>
      <c r="K35" s="39"/>
      <c r="L35" s="48"/>
      <c r="V35" s="27"/>
    </row>
    <row r="36" spans="1:25" x14ac:dyDescent="0.25">
      <c r="C36" s="48" t="s">
        <v>90</v>
      </c>
      <c r="D36" s="48"/>
      <c r="E36" s="38">
        <f>E34</f>
        <v>10508</v>
      </c>
      <c r="F36" s="48"/>
      <c r="G36" s="45">
        <f>G34</f>
        <v>1</v>
      </c>
      <c r="H36" s="48"/>
      <c r="I36" s="154">
        <f>I34</f>
        <v>46917.619999999995</v>
      </c>
      <c r="J36" s="48"/>
      <c r="K36" s="38">
        <f>K34</f>
        <v>3422</v>
      </c>
      <c r="L36" s="48"/>
      <c r="R36" s="27"/>
    </row>
    <row r="38" spans="1:25" ht="15.75" thickBot="1" x14ac:dyDescent="0.3">
      <c r="I38" s="6"/>
      <c r="K38" s="27"/>
    </row>
    <row r="39" spans="1:25" x14ac:dyDescent="0.25">
      <c r="G39" s="181" t="s">
        <v>169</v>
      </c>
      <c r="H39" s="182"/>
      <c r="I39" s="183">
        <f>+I19</f>
        <v>37058.062818504797</v>
      </c>
      <c r="J39" s="184"/>
    </row>
    <row r="40" spans="1:25" x14ac:dyDescent="0.25">
      <c r="G40" s="185" t="s">
        <v>168</v>
      </c>
      <c r="I40" s="233">
        <f>+I20+I30</f>
        <v>48014.597181495199</v>
      </c>
      <c r="J40" s="186"/>
      <c r="P40" s="6"/>
    </row>
    <row r="41" spans="1:25" ht="15.75" thickBot="1" x14ac:dyDescent="0.3">
      <c r="G41" s="185"/>
      <c r="I41" s="105">
        <f>SUM(I39:I40)</f>
        <v>85072.66</v>
      </c>
      <c r="J41" s="186"/>
    </row>
    <row r="42" spans="1:25" ht="15.75" thickTop="1" x14ac:dyDescent="0.25">
      <c r="G42" s="185"/>
      <c r="I42" s="55"/>
      <c r="J42" s="186"/>
    </row>
    <row r="43" spans="1:25" x14ac:dyDescent="0.25">
      <c r="G43" s="212" t="s">
        <v>216</v>
      </c>
      <c r="I43" s="55"/>
      <c r="J43" s="186"/>
    </row>
    <row r="44" spans="1:25" x14ac:dyDescent="0.25">
      <c r="D44" s="16"/>
      <c r="E44" s="20"/>
      <c r="G44" s="185" t="s">
        <v>198</v>
      </c>
      <c r="I44" s="187">
        <v>47073.46</v>
      </c>
      <c r="J44" s="186"/>
    </row>
    <row r="45" spans="1:25" x14ac:dyDescent="0.25">
      <c r="G45" s="185" t="s">
        <v>199</v>
      </c>
      <c r="I45" s="187">
        <v>37999.199999999997</v>
      </c>
      <c r="J45" s="186"/>
    </row>
    <row r="46" spans="1:25" x14ac:dyDescent="0.25">
      <c r="G46" s="185" t="s">
        <v>197</v>
      </c>
      <c r="I46" s="187">
        <f>+I44+I45</f>
        <v>85072.66</v>
      </c>
      <c r="J46" s="186"/>
    </row>
    <row r="47" spans="1:25" x14ac:dyDescent="0.25">
      <c r="G47" s="185"/>
      <c r="J47" s="186"/>
    </row>
    <row r="48" spans="1:25" ht="15.75" thickBot="1" x14ac:dyDescent="0.3">
      <c r="G48" s="188" t="s">
        <v>210</v>
      </c>
      <c r="H48" s="189"/>
      <c r="I48" s="190">
        <f>I41-I46</f>
        <v>0</v>
      </c>
      <c r="J48" s="191"/>
    </row>
  </sheetData>
  <pageMargins left="0.7" right="0.7" top="0.75" bottom="0.75" header="0.3" footer="0.3"/>
  <pageSetup scale="44" orientation="landscape" horizontalDpi="4294967295" verticalDpi="4294967295" r:id="rId1"/>
  <headerFooter>
    <oddFooter>&amp;L&amp;Z&amp;F&amp;A&amp;R&amp;D&amp;T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61"/>
  <sheetViews>
    <sheetView zoomScaleNormal="100" workbookViewId="0">
      <selection activeCell="N11" sqref="N11"/>
    </sheetView>
  </sheetViews>
  <sheetFormatPr defaultRowHeight="15" x14ac:dyDescent="0.25"/>
  <cols>
    <col min="1" max="3" width="1.42578125" customWidth="1"/>
    <col min="4" max="4" width="29.140625" customWidth="1"/>
    <col min="5" max="5" width="1.42578125" customWidth="1"/>
    <col min="6" max="6" width="13.28515625" style="106" customWidth="1"/>
    <col min="7" max="7" width="9.140625" customWidth="1"/>
    <col min="9" max="9" width="21.42578125" customWidth="1"/>
    <col min="10" max="10" width="13.140625" customWidth="1"/>
    <col min="11" max="11" width="1.42578125" customWidth="1"/>
    <col min="12" max="12" width="13.28515625" customWidth="1"/>
    <col min="13" max="13" width="1.42578125" customWidth="1"/>
    <col min="14" max="14" width="17.140625" customWidth="1"/>
    <col min="15" max="15" width="1.42578125" customWidth="1"/>
    <col min="16" max="16" width="11.85546875" customWidth="1"/>
    <col min="18" max="19" width="9.5703125" bestFit="1" customWidth="1"/>
  </cols>
  <sheetData>
    <row r="1" spans="1:21" x14ac:dyDescent="0.25">
      <c r="A1" s="16" t="s">
        <v>128</v>
      </c>
    </row>
    <row r="2" spans="1:21" x14ac:dyDescent="0.25">
      <c r="H2" s="16" t="s">
        <v>129</v>
      </c>
      <c r="J2" s="6"/>
      <c r="L2" s="107" t="str">
        <f>+'Commodity OK'!F2</f>
        <v>2411 file =</v>
      </c>
      <c r="M2" s="54"/>
      <c r="N2" s="97" t="str">
        <f>+'Commodity OK'!H2</f>
        <v>Data Input Nov 24 billing =Nov invoices = Oct Flow  data= Oct Sales Volume</v>
      </c>
    </row>
    <row r="3" spans="1:21" x14ac:dyDescent="0.25">
      <c r="A3" s="16" t="s">
        <v>98</v>
      </c>
      <c r="J3" s="6"/>
      <c r="L3" s="6"/>
    </row>
    <row r="4" spans="1:21" x14ac:dyDescent="0.25">
      <c r="F4" s="216" t="s">
        <v>8</v>
      </c>
      <c r="J4" s="6"/>
      <c r="L4" s="6"/>
    </row>
    <row r="5" spans="1:21" x14ac:dyDescent="0.25">
      <c r="H5" s="48"/>
      <c r="I5" s="48"/>
      <c r="J5" s="47" t="s">
        <v>85</v>
      </c>
      <c r="L5" s="47" t="s">
        <v>86</v>
      </c>
      <c r="N5" s="47" t="s">
        <v>50</v>
      </c>
      <c r="P5" s="133"/>
    </row>
    <row r="6" spans="1:21" x14ac:dyDescent="0.25">
      <c r="B6" t="s">
        <v>0</v>
      </c>
      <c r="F6" s="226">
        <f>ROUNDUP('Direct Charges'!N9,0)</f>
        <v>2047</v>
      </c>
      <c r="I6" s="68" t="s">
        <v>150</v>
      </c>
      <c r="J6" s="90"/>
      <c r="L6" s="49" t="e">
        <f t="shared" ref="L6:L11" si="0">N6/J6</f>
        <v>#DIV/0!</v>
      </c>
      <c r="N6" s="91"/>
      <c r="P6" s="48"/>
    </row>
    <row r="7" spans="1:21" x14ac:dyDescent="0.25">
      <c r="B7" t="s">
        <v>4</v>
      </c>
      <c r="F7" s="226">
        <f>ROUNDUP('Direct Charges'!N15,0)</f>
        <v>2696</v>
      </c>
      <c r="I7" s="68" t="s">
        <v>151</v>
      </c>
      <c r="J7" s="90">
        <f>965-6</f>
        <v>959</v>
      </c>
      <c r="L7" s="49">
        <f t="shared" si="0"/>
        <v>0.99535974973931185</v>
      </c>
      <c r="N7" s="91">
        <f>938.84+15.71</f>
        <v>954.55000000000007</v>
      </c>
    </row>
    <row r="8" spans="1:21" x14ac:dyDescent="0.25">
      <c r="B8" t="s">
        <v>13</v>
      </c>
      <c r="F8" s="226">
        <f>ROUNDUP('Allocation Charges'!N6,0)</f>
        <v>0</v>
      </c>
      <c r="I8" s="68" t="s">
        <v>146</v>
      </c>
      <c r="J8" s="90">
        <v>965</v>
      </c>
      <c r="L8" s="49">
        <f t="shared" si="0"/>
        <v>5.15</v>
      </c>
      <c r="N8" s="91">
        <v>4969.75</v>
      </c>
      <c r="P8" s="48"/>
    </row>
    <row r="9" spans="1:21" x14ac:dyDescent="0.25">
      <c r="B9" t="s">
        <v>14</v>
      </c>
      <c r="F9" s="226">
        <v>0</v>
      </c>
      <c r="I9" s="68" t="s">
        <v>255</v>
      </c>
      <c r="J9" s="90">
        <v>12900</v>
      </c>
      <c r="L9" s="49">
        <f>N9/J9</f>
        <v>3.1377906976744185</v>
      </c>
      <c r="N9" s="91">
        <v>40477.5</v>
      </c>
      <c r="P9" s="48"/>
    </row>
    <row r="10" spans="1:21" x14ac:dyDescent="0.25">
      <c r="B10" t="s">
        <v>17</v>
      </c>
      <c r="F10" s="134"/>
      <c r="I10" s="68" t="s">
        <v>149</v>
      </c>
      <c r="J10" s="90">
        <v>12900</v>
      </c>
      <c r="L10" s="49">
        <f>N10/J10</f>
        <v>0.24</v>
      </c>
      <c r="N10" s="91">
        <v>3096</v>
      </c>
      <c r="P10" s="171" t="s">
        <v>263</v>
      </c>
      <c r="Q10" s="172"/>
      <c r="R10" s="172"/>
      <c r="S10" s="172"/>
      <c r="T10" s="172"/>
      <c r="U10" s="172"/>
    </row>
    <row r="11" spans="1:21" x14ac:dyDescent="0.25">
      <c r="C11" t="s">
        <v>37</v>
      </c>
      <c r="F11" s="226">
        <f>'Direct Charges'!N27</f>
        <v>0</v>
      </c>
      <c r="G11" s="6"/>
      <c r="I11" s="68" t="s">
        <v>147</v>
      </c>
      <c r="J11" s="108">
        <f>SUM(J6:J10)</f>
        <v>27724</v>
      </c>
      <c r="L11" s="72">
        <f t="shared" si="0"/>
        <v>1.7853772904342808</v>
      </c>
      <c r="N11" s="213">
        <f>SUM(N6:N10)</f>
        <v>49497.8</v>
      </c>
      <c r="P11" s="48"/>
    </row>
    <row r="12" spans="1:21" x14ac:dyDescent="0.25">
      <c r="C12" t="s">
        <v>38</v>
      </c>
      <c r="F12" s="226">
        <f>'Allocation Charges'!N7</f>
        <v>216.72529744841987</v>
      </c>
      <c r="G12" s="6"/>
      <c r="I12" s="68"/>
      <c r="J12" s="44"/>
      <c r="K12" s="6"/>
      <c r="L12" s="48"/>
      <c r="M12" s="6"/>
      <c r="N12" s="48"/>
      <c r="O12" s="6"/>
      <c r="P12" s="48"/>
    </row>
    <row r="13" spans="1:21" x14ac:dyDescent="0.25">
      <c r="D13" s="7" t="s">
        <v>39</v>
      </c>
      <c r="F13" s="227">
        <f>ROUNDUP(F11+F12,0)</f>
        <v>217</v>
      </c>
      <c r="G13" s="6"/>
    </row>
    <row r="14" spans="1:21" x14ac:dyDescent="0.25">
      <c r="D14" s="7"/>
      <c r="F14" s="102"/>
      <c r="G14" s="6"/>
      <c r="I14" s="69" t="s">
        <v>77</v>
      </c>
      <c r="J14" s="40" t="s">
        <v>181</v>
      </c>
      <c r="K14" s="6"/>
      <c r="L14" s="40" t="s">
        <v>78</v>
      </c>
      <c r="M14" s="6"/>
      <c r="N14" s="40" t="s">
        <v>79</v>
      </c>
      <c r="O14" s="6"/>
      <c r="P14" s="40" t="s">
        <v>80</v>
      </c>
    </row>
    <row r="15" spans="1:21" x14ac:dyDescent="0.25">
      <c r="B15" t="s">
        <v>15</v>
      </c>
      <c r="F15" s="226">
        <f>ROUNDUP('Allocation Charges'!N8,0)</f>
        <v>339</v>
      </c>
      <c r="G15" s="6"/>
      <c r="I15" s="68"/>
      <c r="J15" s="48"/>
      <c r="K15" s="6"/>
      <c r="L15" s="48"/>
      <c r="M15" s="6"/>
      <c r="N15" s="48"/>
      <c r="O15" s="6"/>
      <c r="P15" s="40"/>
      <c r="R15" s="54"/>
    </row>
    <row r="16" spans="1:21" x14ac:dyDescent="0.25">
      <c r="B16" t="s">
        <v>18</v>
      </c>
      <c r="F16" s="226">
        <f>ROUNDUP('Allocation Charges'!N9,0)</f>
        <v>0</v>
      </c>
      <c r="G16" s="6"/>
      <c r="I16" s="68" t="s">
        <v>148</v>
      </c>
      <c r="J16" s="92">
        <v>265126</v>
      </c>
      <c r="K16" s="6"/>
      <c r="L16" s="45">
        <v>1</v>
      </c>
      <c r="M16" s="6"/>
      <c r="N16" s="49">
        <f>L16*N11</f>
        <v>49497.8</v>
      </c>
      <c r="O16" s="6"/>
      <c r="P16" s="92">
        <v>255458</v>
      </c>
      <c r="T16" t="s">
        <v>273</v>
      </c>
    </row>
    <row r="17" spans="2:18" x14ac:dyDescent="0.25">
      <c r="B17" t="s">
        <v>19</v>
      </c>
      <c r="F17" s="226">
        <f>ROUNDUP('Allocation Charges'!N10,0)</f>
        <v>2215</v>
      </c>
      <c r="G17" s="6"/>
      <c r="H17" s="48"/>
    </row>
    <row r="18" spans="2:18" x14ac:dyDescent="0.25">
      <c r="B18" t="s">
        <v>20</v>
      </c>
      <c r="F18" s="102"/>
      <c r="G18" s="6"/>
      <c r="H18" s="48"/>
      <c r="I18" t="s">
        <v>90</v>
      </c>
      <c r="J18" s="70">
        <f>J16</f>
        <v>265126</v>
      </c>
      <c r="N18" s="71">
        <f>N16</f>
        <v>49497.8</v>
      </c>
      <c r="P18" s="70">
        <f>P16</f>
        <v>255458</v>
      </c>
    </row>
    <row r="19" spans="2:18" ht="15.75" thickBot="1" x14ac:dyDescent="0.3">
      <c r="C19" t="s">
        <v>37</v>
      </c>
      <c r="F19" s="134">
        <f>'Direct Charges'!N38</f>
        <v>0</v>
      </c>
      <c r="G19" s="6"/>
      <c r="H19" s="48"/>
      <c r="I19" s="48"/>
      <c r="J19" s="217"/>
      <c r="K19" s="6"/>
      <c r="L19" s="45"/>
      <c r="M19" s="6"/>
      <c r="N19" s="49"/>
      <c r="O19" s="6"/>
      <c r="P19" s="38"/>
    </row>
    <row r="20" spans="2:18" ht="15.75" thickBot="1" x14ac:dyDescent="0.3">
      <c r="C20" t="s">
        <v>38</v>
      </c>
      <c r="F20" s="134">
        <f>'Allocation Charges'!N11</f>
        <v>151.38743184727059</v>
      </c>
      <c r="G20" s="6"/>
      <c r="I20" t="s">
        <v>75</v>
      </c>
      <c r="L20" s="109">
        <f>+J10*0.18</f>
        <v>2322</v>
      </c>
      <c r="M20" s="6"/>
      <c r="O20" s="6"/>
      <c r="P20" s="76" t="s">
        <v>191</v>
      </c>
      <c r="Q20" s="74"/>
    </row>
    <row r="21" spans="2:18" ht="15.75" thickBot="1" x14ac:dyDescent="0.3">
      <c r="D21" s="7" t="s">
        <v>39</v>
      </c>
      <c r="F21" s="227">
        <f>ROUNDUP(F19+F20,0)</f>
        <v>152</v>
      </c>
      <c r="G21" s="6"/>
      <c r="I21" t="s">
        <v>135</v>
      </c>
      <c r="L21" s="6">
        <f>J10*0.2</f>
        <v>2580</v>
      </c>
      <c r="M21" s="6"/>
      <c r="O21" s="6"/>
      <c r="P21" s="76" t="s">
        <v>193</v>
      </c>
    </row>
    <row r="22" spans="2:18" x14ac:dyDescent="0.25">
      <c r="B22" t="s">
        <v>21</v>
      </c>
      <c r="F22" s="102"/>
      <c r="G22" s="6"/>
      <c r="L22" s="30">
        <f>SUM(L18:L21)</f>
        <v>4902</v>
      </c>
      <c r="M22" s="6"/>
      <c r="O22" s="6"/>
      <c r="P22" s="162" t="s">
        <v>162</v>
      </c>
      <c r="Q22" s="165" t="s">
        <v>192</v>
      </c>
      <c r="R22" s="164" t="s">
        <v>50</v>
      </c>
    </row>
    <row r="23" spans="2:18" ht="15.75" thickBot="1" x14ac:dyDescent="0.3">
      <c r="C23" t="s">
        <v>37</v>
      </c>
      <c r="F23" s="134">
        <f>'Direct Charges'!N44</f>
        <v>1745.87</v>
      </c>
      <c r="G23" s="6"/>
      <c r="K23" s="6"/>
      <c r="M23" s="6"/>
      <c r="O23" s="6"/>
      <c r="P23" s="160">
        <f>+J10</f>
        <v>12900</v>
      </c>
      <c r="Q23" s="147">
        <v>0.18</v>
      </c>
      <c r="R23" s="161">
        <f>+P23*Q23</f>
        <v>2322</v>
      </c>
    </row>
    <row r="24" spans="2:18" x14ac:dyDescent="0.25">
      <c r="C24" t="s">
        <v>38</v>
      </c>
      <c r="F24" s="134">
        <f>'Allocation Charges'!N12</f>
        <v>92.58606404800733</v>
      </c>
      <c r="G24" s="6"/>
      <c r="K24" s="6"/>
      <c r="M24" s="6"/>
      <c r="O24" s="6"/>
    </row>
    <row r="25" spans="2:18" x14ac:dyDescent="0.25">
      <c r="D25" s="7" t="s">
        <v>39</v>
      </c>
      <c r="F25" s="227">
        <f>ROUNDUP(F23+F24,0)</f>
        <v>1839</v>
      </c>
      <c r="G25" s="6"/>
      <c r="K25" s="6"/>
      <c r="M25" s="6"/>
      <c r="O25" s="6"/>
    </row>
    <row r="26" spans="2:18" x14ac:dyDescent="0.25">
      <c r="B26" t="s">
        <v>25</v>
      </c>
      <c r="F26" s="226">
        <f>ROUNDUP('Allocation Charges'!N13,0)</f>
        <v>449</v>
      </c>
      <c r="G26" s="6"/>
      <c r="K26" s="6"/>
      <c r="M26" s="6"/>
      <c r="O26" s="6"/>
    </row>
    <row r="27" spans="2:18" x14ac:dyDescent="0.25">
      <c r="B27" t="s">
        <v>26</v>
      </c>
      <c r="F27" s="134"/>
      <c r="G27" s="6"/>
      <c r="K27" s="6"/>
      <c r="M27" s="6"/>
      <c r="O27" s="6"/>
    </row>
    <row r="28" spans="2:18" x14ac:dyDescent="0.25">
      <c r="C28" t="s">
        <v>37</v>
      </c>
      <c r="F28" s="134">
        <f>+'Direct Charges'!N50</f>
        <v>0</v>
      </c>
      <c r="G28" s="6"/>
      <c r="K28" s="6"/>
      <c r="M28" s="6"/>
      <c r="O28" s="6"/>
    </row>
    <row r="29" spans="2:18" x14ac:dyDescent="0.25">
      <c r="C29" t="s">
        <v>38</v>
      </c>
      <c r="F29" s="134">
        <f>'Allocation Charges'!N14</f>
        <v>0</v>
      </c>
      <c r="G29" s="6"/>
      <c r="K29" s="6"/>
      <c r="M29" s="6"/>
      <c r="O29" s="6"/>
    </row>
    <row r="30" spans="2:18" x14ac:dyDescent="0.25">
      <c r="D30" s="7" t="s">
        <v>39</v>
      </c>
      <c r="F30" s="227">
        <f>ROUNDUP(F28+F29,0)</f>
        <v>0</v>
      </c>
      <c r="G30" s="6"/>
      <c r="K30" s="6"/>
      <c r="M30" s="6"/>
      <c r="O30" s="6"/>
    </row>
    <row r="31" spans="2:18" x14ac:dyDescent="0.25">
      <c r="B31" t="s">
        <v>27</v>
      </c>
      <c r="F31" s="134"/>
      <c r="G31" s="6"/>
      <c r="K31" s="6"/>
      <c r="M31" s="6"/>
      <c r="O31" s="6"/>
    </row>
    <row r="32" spans="2:18" x14ac:dyDescent="0.25">
      <c r="C32" t="s">
        <v>37</v>
      </c>
      <c r="F32" s="134">
        <f>+'Direct Charges'!N56</f>
        <v>0</v>
      </c>
      <c r="G32" s="6"/>
      <c r="K32" s="6"/>
      <c r="M32" s="6"/>
      <c r="O32" s="6"/>
    </row>
    <row r="33" spans="1:15" x14ac:dyDescent="0.25">
      <c r="C33" t="s">
        <v>38</v>
      </c>
      <c r="F33" s="134">
        <f>'Allocation Charges'!N15</f>
        <v>1000</v>
      </c>
      <c r="G33" s="6"/>
      <c r="K33" s="6"/>
      <c r="M33" s="6"/>
      <c r="O33" s="6"/>
    </row>
    <row r="34" spans="1:15" x14ac:dyDescent="0.25">
      <c r="D34" s="7" t="s">
        <v>39</v>
      </c>
      <c r="F34" s="227">
        <f>ROUNDUP(F32+F33,0)</f>
        <v>1000</v>
      </c>
      <c r="G34" s="6"/>
      <c r="K34" s="6"/>
      <c r="M34" s="6"/>
      <c r="O34" s="6"/>
    </row>
    <row r="35" spans="1:15" x14ac:dyDescent="0.25">
      <c r="B35" t="s">
        <v>194</v>
      </c>
      <c r="F35" s="226">
        <f>ROUNDUP('Allocation Charges'!N16,0)</f>
        <v>0</v>
      </c>
      <c r="G35" s="6"/>
      <c r="K35" s="6"/>
      <c r="M35" s="6"/>
      <c r="O35" s="6"/>
    </row>
    <row r="36" spans="1:15" x14ac:dyDescent="0.25">
      <c r="B36" t="s">
        <v>28</v>
      </c>
      <c r="F36" s="226">
        <f>ROUNDUP('Allocation Charges'!N17,0)</f>
        <v>0</v>
      </c>
      <c r="G36" s="6"/>
      <c r="K36" s="6"/>
      <c r="M36" s="6"/>
      <c r="O36" s="6"/>
    </row>
    <row r="37" spans="1:15" x14ac:dyDescent="0.25">
      <c r="B37" t="s">
        <v>29</v>
      </c>
      <c r="F37" s="226">
        <f>ROUNDUP('Allocation Charges'!N18,0)</f>
        <v>80</v>
      </c>
      <c r="G37" s="6"/>
      <c r="K37" s="6"/>
      <c r="M37" s="6"/>
      <c r="O37" s="6"/>
    </row>
    <row r="38" spans="1:15" x14ac:dyDescent="0.25">
      <c r="B38" t="s">
        <v>30</v>
      </c>
      <c r="F38" s="226">
        <f>ROUNDUP('Allocation Charges'!N19,0)</f>
        <v>68</v>
      </c>
      <c r="G38" s="6"/>
      <c r="K38" s="6"/>
      <c r="M38" s="6"/>
      <c r="O38" s="6"/>
    </row>
    <row r="39" spans="1:15" x14ac:dyDescent="0.25">
      <c r="F39" s="102"/>
      <c r="G39" s="6"/>
      <c r="K39" s="6"/>
      <c r="M39" s="6"/>
      <c r="O39" s="6"/>
    </row>
    <row r="40" spans="1:15" x14ac:dyDescent="0.25">
      <c r="F40" s="228">
        <f>F6+F7+F8+F9+F13+F15+F16+F17+F21+F25+F26+F30+F34+F35+F36+F37+F38</f>
        <v>11102</v>
      </c>
      <c r="G40" s="6"/>
      <c r="K40" s="6"/>
      <c r="M40" s="6"/>
      <c r="O40" s="6"/>
    </row>
    <row r="41" spans="1:15" x14ac:dyDescent="0.25">
      <c r="F41" s="102"/>
      <c r="G41" s="6"/>
      <c r="K41" s="6"/>
      <c r="M41" s="6"/>
      <c r="O41" s="6"/>
    </row>
    <row r="42" spans="1:15" x14ac:dyDescent="0.25">
      <c r="A42" s="16" t="s">
        <v>99</v>
      </c>
      <c r="F42" s="229" t="s">
        <v>265</v>
      </c>
      <c r="G42" s="6"/>
      <c r="H42" s="124"/>
      <c r="K42" s="6"/>
      <c r="M42" s="6"/>
      <c r="O42" s="6"/>
    </row>
    <row r="43" spans="1:15" x14ac:dyDescent="0.25">
      <c r="F43" s="102"/>
      <c r="G43" s="6"/>
      <c r="K43" s="6"/>
      <c r="M43" s="6"/>
      <c r="O43" s="6"/>
    </row>
    <row r="44" spans="1:15" x14ac:dyDescent="0.25">
      <c r="B44" t="s">
        <v>46</v>
      </c>
      <c r="F44" s="226">
        <f>ROUNDUP('Allocation Charges'!N27,0)</f>
        <v>422</v>
      </c>
      <c r="G44" s="6"/>
      <c r="K44" s="6"/>
      <c r="M44" s="6"/>
      <c r="O44" s="6"/>
    </row>
    <row r="45" spans="1:15" x14ac:dyDescent="0.25">
      <c r="B45" t="s">
        <v>32</v>
      </c>
      <c r="F45" s="226">
        <f>ROUNDUP('Allocation Charges'!N28,0)</f>
        <v>123</v>
      </c>
      <c r="G45" s="6"/>
      <c r="K45" s="6"/>
      <c r="M45" s="6"/>
      <c r="O45" s="6"/>
    </row>
    <row r="46" spans="1:15" x14ac:dyDescent="0.25">
      <c r="B46" t="s">
        <v>47</v>
      </c>
      <c r="F46" s="226">
        <f>ROUNDUP('Allocation Charges'!N29,0)</f>
        <v>196</v>
      </c>
      <c r="G46" s="6"/>
      <c r="K46" s="6"/>
      <c r="M46" s="6"/>
      <c r="O46" s="6"/>
    </row>
    <row r="47" spans="1:15" x14ac:dyDescent="0.25">
      <c r="B47" t="s">
        <v>48</v>
      </c>
      <c r="F47" s="226">
        <f>ROUNDUP('Allocation Charges'!N30,0)</f>
        <v>119</v>
      </c>
      <c r="G47" s="6"/>
      <c r="I47" s="60"/>
      <c r="K47" s="6"/>
      <c r="M47" s="6"/>
      <c r="O47" s="6"/>
    </row>
    <row r="48" spans="1:15" x14ac:dyDescent="0.25">
      <c r="B48" t="s">
        <v>41</v>
      </c>
      <c r="F48" s="226">
        <f>ROUNDUP('Allocation Charges'!N31,0)</f>
        <v>114</v>
      </c>
      <c r="G48" s="6"/>
      <c r="I48" s="60"/>
    </row>
    <row r="49" spans="1:9" x14ac:dyDescent="0.25">
      <c r="B49" t="s">
        <v>31</v>
      </c>
      <c r="F49" s="226">
        <f>ROUNDUP('Allocation Charges'!N32,0)</f>
        <v>391</v>
      </c>
      <c r="G49" s="6"/>
      <c r="I49" s="60"/>
    </row>
    <row r="50" spans="1:9" x14ac:dyDescent="0.25">
      <c r="F50" s="102"/>
    </row>
    <row r="51" spans="1:9" x14ac:dyDescent="0.25">
      <c r="F51" s="228">
        <f>SUM(F44:F49)</f>
        <v>1365</v>
      </c>
      <c r="H51" s="23"/>
      <c r="I51" s="23"/>
    </row>
    <row r="52" spans="1:9" x14ac:dyDescent="0.25">
      <c r="F52" s="102"/>
    </row>
    <row r="53" spans="1:9" x14ac:dyDescent="0.25">
      <c r="A53" s="16" t="s">
        <v>83</v>
      </c>
    </row>
    <row r="54" spans="1:9" x14ac:dyDescent="0.25">
      <c r="A54" s="16"/>
      <c r="B54" t="s">
        <v>107</v>
      </c>
      <c r="F54" s="240">
        <f>ROUNDUP(N16,0)</f>
        <v>49498</v>
      </c>
    </row>
    <row r="55" spans="1:9" x14ac:dyDescent="0.25">
      <c r="A55" s="16"/>
      <c r="B55" t="s">
        <v>108</v>
      </c>
      <c r="F55" s="240">
        <f>ROUNDUP(L22,0)</f>
        <v>4902</v>
      </c>
    </row>
    <row r="56" spans="1:9" x14ac:dyDescent="0.25">
      <c r="A56" s="16"/>
      <c r="F56" s="239"/>
    </row>
    <row r="57" spans="1:9" x14ac:dyDescent="0.25">
      <c r="A57" s="16"/>
      <c r="F57" s="228">
        <f>SUM(F54:F55)</f>
        <v>54400</v>
      </c>
    </row>
    <row r="58" spans="1:9" x14ac:dyDescent="0.25">
      <c r="A58" s="16"/>
      <c r="F58" s="239"/>
    </row>
    <row r="59" spans="1:9" ht="7.5" customHeight="1" x14ac:dyDescent="0.25">
      <c r="F59" s="102"/>
    </row>
    <row r="60" spans="1:9" x14ac:dyDescent="0.25">
      <c r="A60" s="35"/>
      <c r="B60" s="35"/>
      <c r="C60" s="35"/>
      <c r="D60" s="35"/>
      <c r="E60" s="35"/>
      <c r="F60" s="230"/>
      <c r="G60" s="35"/>
      <c r="H60" s="35"/>
    </row>
    <row r="61" spans="1:9" x14ac:dyDescent="0.25">
      <c r="D61" s="15" t="s">
        <v>56</v>
      </c>
      <c r="F61" s="228">
        <f>F40+F51+F57</f>
        <v>66867</v>
      </c>
    </row>
  </sheetData>
  <pageMargins left="0.25" right="0.25" top="0.5" bottom="0.75" header="0" footer="0.3"/>
  <pageSetup scale="41" fitToHeight="0" orientation="landscape" horizontalDpi="4294967295" verticalDpi="4294967295" r:id="rId1"/>
  <headerFooter>
    <oddFooter>&amp;L&amp;Z&amp;F&amp;A&amp;R&amp;D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CD7A-E9B7-434A-B625-8DDCB5F2CDC5}">
  <sheetPr>
    <pageSetUpPr fitToPage="1"/>
  </sheetPr>
  <dimension ref="A1:L17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19" sqref="F19"/>
    </sheetView>
  </sheetViews>
  <sheetFormatPr defaultRowHeight="15" x14ac:dyDescent="0.25"/>
  <cols>
    <col min="1" max="3" width="1.42578125" customWidth="1"/>
    <col min="4" max="4" width="33" customWidth="1"/>
    <col min="5" max="5" width="9" customWidth="1"/>
    <col min="6" max="6" width="19.85546875" customWidth="1"/>
    <col min="7" max="7" width="9.42578125" customWidth="1"/>
    <col min="8" max="8" width="12.7109375" customWidth="1"/>
    <col min="9" max="9" width="9.28515625" customWidth="1"/>
    <col min="10" max="10" width="15.28515625" customWidth="1"/>
    <col min="11" max="11" width="10" customWidth="1"/>
    <col min="12" max="12" width="11.140625" customWidth="1"/>
    <col min="13" max="17" width="9.28515625" customWidth="1"/>
  </cols>
  <sheetData>
    <row r="1" spans="1:12" x14ac:dyDescent="0.25">
      <c r="A1" s="16" t="s">
        <v>254</v>
      </c>
      <c r="F1" s="6" t="str">
        <f>+'Commodity OK'!H2</f>
        <v>Data Input Nov 24 billing =Nov invoices = Oct Flow  data= Oct Sales Volume</v>
      </c>
    </row>
    <row r="2" spans="1:12" x14ac:dyDescent="0.25">
      <c r="H2" s="18"/>
      <c r="I2" s="17" t="s">
        <v>9</v>
      </c>
      <c r="J2" s="18"/>
      <c r="K2" s="18"/>
    </row>
    <row r="3" spans="1:12" x14ac:dyDescent="0.25">
      <c r="A3" s="16" t="s">
        <v>98</v>
      </c>
      <c r="H3" s="19" t="s">
        <v>251</v>
      </c>
      <c r="I3" s="19"/>
      <c r="J3" s="19" t="s">
        <v>252</v>
      </c>
      <c r="K3" s="19"/>
    </row>
    <row r="4" spans="1:12" x14ac:dyDescent="0.25">
      <c r="F4" s="17" t="s">
        <v>8</v>
      </c>
      <c r="H4" s="1"/>
      <c r="J4" s="1"/>
    </row>
    <row r="6" spans="1:12" x14ac:dyDescent="0.25">
      <c r="B6" t="s">
        <v>253</v>
      </c>
      <c r="F6" s="6"/>
      <c r="G6" s="60"/>
      <c r="H6" s="6"/>
      <c r="I6" s="60"/>
      <c r="J6" s="120"/>
      <c r="K6" s="60"/>
      <c r="L6" s="6"/>
    </row>
    <row r="7" spans="1:12" x14ac:dyDescent="0.25">
      <c r="C7" t="s">
        <v>247</v>
      </c>
      <c r="F7" s="85">
        <f>+'Direct Charges'!P21</f>
        <v>695.65</v>
      </c>
      <c r="G7" s="60"/>
      <c r="H7" s="85">
        <f>ROUNDUP(F7,0)</f>
        <v>696</v>
      </c>
      <c r="I7" s="60"/>
      <c r="J7" s="222"/>
      <c r="K7" s="60"/>
    </row>
    <row r="8" spans="1:12" x14ac:dyDescent="0.25">
      <c r="C8" t="s">
        <v>248</v>
      </c>
      <c r="F8" s="85">
        <f>+'Direct Charges'!P22</f>
        <v>1576.81</v>
      </c>
      <c r="G8" s="60"/>
      <c r="H8" s="85"/>
      <c r="I8" s="60"/>
      <c r="J8" s="85">
        <f>ROUNDUP(F8,0)</f>
        <v>1577</v>
      </c>
      <c r="K8" s="60"/>
    </row>
    <row r="9" spans="1:12" x14ac:dyDescent="0.25">
      <c r="F9" s="6"/>
      <c r="G9" s="60"/>
      <c r="H9" s="6"/>
      <c r="I9" s="60"/>
      <c r="J9" s="120"/>
      <c r="K9" s="60"/>
    </row>
    <row r="10" spans="1:12" x14ac:dyDescent="0.25">
      <c r="B10" t="s">
        <v>20</v>
      </c>
      <c r="F10" s="6"/>
      <c r="G10" s="60"/>
      <c r="H10" s="6"/>
      <c r="I10" s="60"/>
      <c r="J10" s="120"/>
      <c r="K10" s="60"/>
    </row>
    <row r="11" spans="1:12" x14ac:dyDescent="0.25">
      <c r="C11" t="s">
        <v>249</v>
      </c>
      <c r="F11" s="85">
        <f>+'Direct Charges'!F34</f>
        <v>105</v>
      </c>
      <c r="G11" s="60"/>
      <c r="H11" s="85">
        <f>ROUNDUP(F11,0)</f>
        <v>105</v>
      </c>
      <c r="I11" s="60"/>
      <c r="J11" s="222"/>
      <c r="K11" s="60"/>
    </row>
    <row r="12" spans="1:12" x14ac:dyDescent="0.25">
      <c r="C12" t="s">
        <v>250</v>
      </c>
      <c r="F12" s="85">
        <f>+'Direct Charges'!F35</f>
        <v>458.5</v>
      </c>
      <c r="G12" s="60"/>
      <c r="H12" s="85"/>
      <c r="I12" s="60"/>
      <c r="J12" s="85">
        <f>ROUNDUP(F12,0)</f>
        <v>459</v>
      </c>
      <c r="K12" s="60"/>
    </row>
    <row r="13" spans="1:12" x14ac:dyDescent="0.25">
      <c r="F13" s="6"/>
      <c r="G13" s="60"/>
      <c r="H13" s="6"/>
      <c r="I13" s="60"/>
      <c r="J13" s="6"/>
      <c r="K13" s="60"/>
    </row>
    <row r="14" spans="1:12" x14ac:dyDescent="0.25">
      <c r="D14" s="15" t="s">
        <v>56</v>
      </c>
      <c r="F14" s="219">
        <f>SUM(F7:F13)</f>
        <v>2835.96</v>
      </c>
      <c r="G14" s="120"/>
      <c r="H14" s="219">
        <f>SUM(H7:H13)</f>
        <v>801</v>
      </c>
      <c r="I14" s="120"/>
      <c r="J14" s="219">
        <f>SUM(J7:J13)</f>
        <v>2036</v>
      </c>
      <c r="K14" s="120"/>
    </row>
    <row r="16" spans="1:12" x14ac:dyDescent="0.25">
      <c r="F16" s="6">
        <f>SUM(H14:K14)</f>
        <v>2837</v>
      </c>
      <c r="H16" s="102"/>
      <c r="J16" s="102"/>
    </row>
    <row r="17" spans="8:10" x14ac:dyDescent="0.25">
      <c r="H17" s="6"/>
      <c r="J17" s="6"/>
    </row>
  </sheetData>
  <pageMargins left="0.25" right="0.25" top="0.75" bottom="0.75" header="0.3" footer="0.3"/>
  <pageSetup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Direct Charges</vt:lpstr>
      <vt:lpstr>Allocation Charges</vt:lpstr>
      <vt:lpstr>Oklahoma</vt:lpstr>
      <vt:lpstr>Commodity OK</vt:lpstr>
      <vt:lpstr>Tennessee</vt:lpstr>
      <vt:lpstr>Kentucky</vt:lpstr>
      <vt:lpstr>Commodity TN KY</vt:lpstr>
      <vt:lpstr>Commodity Texas</vt:lpstr>
      <vt:lpstr>NC Hydro</vt:lpstr>
      <vt:lpstr>2024 Allocation Source</vt:lpstr>
      <vt:lpstr>2023 Allocation Source</vt:lpstr>
      <vt:lpstr>2024 NUC Rent</vt:lpstr>
      <vt:lpstr>2024 NALLC Rent</vt:lpstr>
      <vt:lpstr>2024 FCFA Rent</vt:lpstr>
      <vt:lpstr>'Allocation Charges'!Print_Area</vt:lpstr>
      <vt:lpstr>'Commodity OK'!Print_Area</vt:lpstr>
      <vt:lpstr>'Commodity Texas'!Print_Area</vt:lpstr>
      <vt:lpstr>'Direct Charges'!Print_Area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Carlos Gonzalez</cp:lastModifiedBy>
  <cp:lastPrinted>2025-03-27T21:53:41Z</cp:lastPrinted>
  <dcterms:created xsi:type="dcterms:W3CDTF">2013-02-08T00:44:54Z</dcterms:created>
  <dcterms:modified xsi:type="dcterms:W3CDTF">2025-03-28T02:16:38Z</dcterms:modified>
</cp:coreProperties>
</file>