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A19FEB66-4F52-49A9-A547-9E627966BADC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Texas'!$A$1:$AB$61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8" l="1"/>
  <c r="F54" i="8"/>
  <c r="P27" i="28"/>
  <c r="C45" i="11"/>
  <c r="F6" i="11"/>
  <c r="F7" i="11"/>
  <c r="D7" i="11"/>
  <c r="F8" i="11"/>
  <c r="D8" i="11"/>
  <c r="F18" i="11"/>
  <c r="N7" i="15"/>
  <c r="J7" i="15"/>
  <c r="I30" i="28"/>
  <c r="G29" i="28"/>
  <c r="I29" i="28"/>
  <c r="E29" i="28"/>
  <c r="I27" i="28"/>
  <c r="E27" i="28"/>
  <c r="I10" i="28"/>
  <c r="I12" i="28"/>
  <c r="E12" i="28"/>
  <c r="F12" i="4" l="1"/>
  <c r="F11" i="4"/>
  <c r="F7" i="4"/>
  <c r="H17" i="11"/>
  <c r="C25" i="32" l="1"/>
  <c r="J11" i="15" l="1"/>
  <c r="J57" i="6" l="1"/>
  <c r="H26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C27" i="35" s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E29" i="35"/>
  <c r="C29" i="35" l="1"/>
  <c r="G29" i="35" s="1"/>
  <c r="G20" i="35"/>
  <c r="G3" i="35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D26" i="32" l="1"/>
  <c r="D25" i="32"/>
  <c r="I10" i="33"/>
  <c r="J8" i="33"/>
  <c r="J10" i="33" s="1"/>
  <c r="G15" i="32"/>
  <c r="I8" i="32"/>
  <c r="J8" i="32" s="1"/>
  <c r="H8" i="36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9" i="11"/>
  <c r="H30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3" i="11" l="1"/>
  <c r="H35" i="11"/>
  <c r="F55" i="8" l="1"/>
  <c r="H55" i="8" l="1"/>
  <c r="I1" i="28"/>
  <c r="G7" i="28"/>
  <c r="G9" i="28"/>
  <c r="G10" i="28"/>
  <c r="G12" i="28"/>
  <c r="G14" i="28"/>
  <c r="K22" i="28"/>
  <c r="E22" i="28"/>
  <c r="G19" i="28" s="1"/>
  <c r="G27" i="28"/>
  <c r="G28" i="28"/>
  <c r="I34" i="28"/>
  <c r="I36" i="28" s="1"/>
  <c r="E36" i="28"/>
  <c r="G34" i="28" s="1"/>
  <c r="G36" i="28" s="1"/>
  <c r="K36" i="28"/>
  <c r="I46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9" i="28"/>
  <c r="F53" i="8"/>
  <c r="I40" i="28"/>
  <c r="I22" i="28"/>
  <c r="I41" i="28" l="1"/>
  <c r="I48" i="28" s="1"/>
  <c r="F59" i="1" l="1"/>
  <c r="F64" i="1" s="1"/>
  <c r="F35" i="15"/>
  <c r="F43" i="9"/>
  <c r="F34" i="9"/>
  <c r="F35" i="8"/>
  <c r="N60" i="6" l="1"/>
  <c r="F21" i="4" l="1"/>
  <c r="F65" i="1" l="1"/>
  <c r="R20" i="4"/>
  <c r="F66" i="1" l="1"/>
  <c r="F68" i="1" s="1"/>
  <c r="L57" i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5" i="11"/>
  <c r="L29" i="4" l="1"/>
  <c r="L28" i="4"/>
  <c r="L27" i="4"/>
  <c r="H36" i="11" l="1"/>
  <c r="H10" i="11" l="1"/>
  <c r="Q18" i="11" l="1"/>
  <c r="M11" i="11" l="1"/>
  <c r="O8" i="11" l="1"/>
  <c r="O9" i="11"/>
  <c r="O7" i="11"/>
  <c r="O6" i="11"/>
  <c r="L10" i="15"/>
  <c r="F37" i="11" l="1"/>
  <c r="F1" i="6" l="1"/>
  <c r="L16" i="4"/>
  <c r="F37" i="6" s="1"/>
  <c r="H34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2" i="11"/>
  <c r="H31" i="11"/>
  <c r="H28" i="11"/>
  <c r="H27" i="11"/>
  <c r="D37" i="11"/>
  <c r="H18" i="11"/>
  <c r="H16" i="11"/>
  <c r="H15" i="11"/>
  <c r="H14" i="11"/>
  <c r="H13" i="11"/>
  <c r="H12" i="11"/>
  <c r="H11" i="11"/>
  <c r="H9" i="11"/>
  <c r="H8" i="11"/>
  <c r="H7" i="11"/>
  <c r="D19" i="11"/>
  <c r="F42" i="11" l="1"/>
  <c r="F43" i="11"/>
  <c r="F56" i="8"/>
  <c r="N16" i="15"/>
  <c r="F54" i="15" s="1"/>
  <c r="F57" i="15" s="1"/>
  <c r="J44" i="11"/>
  <c r="M44" i="11" s="1"/>
  <c r="L11" i="15"/>
  <c r="Q19" i="11" l="1"/>
  <c r="Q20" i="11" s="1"/>
  <c r="F44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7" i="11"/>
  <c r="F19" i="11"/>
  <c r="C46" i="11" s="1"/>
  <c r="P69" i="1" l="1"/>
  <c r="F51" i="15"/>
  <c r="F61" i="15" s="1"/>
  <c r="C47" i="11"/>
  <c r="F46" i="11"/>
  <c r="F47" i="11" s="1"/>
  <c r="H19" i="11"/>
  <c r="H24" i="11"/>
  <c r="H47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2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<sst xmlns="http://schemas.openxmlformats.org/spreadsheetml/2006/main" count="644" uniqueCount="282">
  <si>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</si>
  <si>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</si>
  <si>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</si>
  <si>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</si>
  <si>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</si>
  <si>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</si>
  <si>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</si>
  <si>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</si>
  <si>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</si>
  <si>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</si>
  <si>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</si>
  <si>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</si>
  <si>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</si>
  <si>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</si>
  <si>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</si>
  <si>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</si>
  <si>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</si>
  <si>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</si>
  <si>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</si>
  <si>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</si>
  <si>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</si>
  <si>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</si>
  <si>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</si>
  <si>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</si>
  <si>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</si>
  <si>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</si>
  <si>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</si>
  <si>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</si>
  <si>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</si>
  <si>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</si>
  <si>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</si>
  <si>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</si>
  <si>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</si>
  <si>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</si>
  <si>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</si>
  <si>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</si>
  <si>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</si>
  <si>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</si>
  <si>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</si>
  <si>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</si>
  <si>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</si>
  <si>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</si>
  <si>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</si>
  <si>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</si>
  <si>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</si>
  <si>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</si>
  <si>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</si>
  <si>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</si>
  <si>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</si>
  <si>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</si>
  <si>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</si>
  <si>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</si>
  <si>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</si>
  <si>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</si>
  <si>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</si>
  <si>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</si>
  <si>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</si>
  <si>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</si>
  <si>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</si>
  <si>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</si>
  <si>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</si>
  <si>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</si>
  <si>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</si>
  <si>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</si>
  <si>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</si>
  <si>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</si>
  <si>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</si>
  <si>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</si>
  <si>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</si>
  <si>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</si>
  <si>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</si>
  <si>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</si>
  <si>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</si>
  <si>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</si>
  <si>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</si>
  <si>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</si>
  <si>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</si>
  <si>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</si>
  <si>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</si>
  <si>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</si>
  <si>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</si>
  <si>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</si>
  <si>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</si>
  <si>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</si>
  <si>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</si>
  <si>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</si>
  <si>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</si>
  <si>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</si>
  <si>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</si>
  <si>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</si>
  <si>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</si>
  <si>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</si>
  <si>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</si>
  <si>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</si>
  <si>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</si>
  <si>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</si>
  <si>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</si>
  <si>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</si>
  <si>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</si>
  <si>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</si>
  <si>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</si>
  <si>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</si>
  <si>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</si>
  <si>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</si>
  <si>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</si>
  <si>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</si>
  <si>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</si>
  <si>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</si>
  <si>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</si>
  <si>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</si>
  <si>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</si>
  <si>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</si>
  <si>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</si>
  <si>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</si>
  <si>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</si>
  <si>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</si>
  <si>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</si>
  <si>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</si>
  <si>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</si>
  <si>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</si>
  <si>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</si>
  <si>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</si>
  <si>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</si>
  <si>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</si>
  <si>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</si>
  <si>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</si>
  <si>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</si>
  <si>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</si>
  <si>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</si>
  <si>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</si>
  <si>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</si>
  <si>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</si>
  <si>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</si>
  <si>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</si>
  <si>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</si>
  <si>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</si>
  <si>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</si>
  <si>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</si>
  <si>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</si>
  <si>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</si>
  <si>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</si>
  <si>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</si>
  <si>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</si>
  <si>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</si>
  <si>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</si>
  <si>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</si>
  <si>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</si>
  <si>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</si>
  <si>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</si>
  <si>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</si>
  <si>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</si>
  <si>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</si>
  <si>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</si>
  <si>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</si>
  <si>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</si>
  <si>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</si>
  <si>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</si>
  <si>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</si>
  <si>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</si>
  <si>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</si>
  <si>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</si>
  <si>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</si>
  <si>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</si>
  <si>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</si>
  <si>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</si>
  <si>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</si>
  <si>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</si>
  <si>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</si>
  <si>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</si>
  <si>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</si>
  <si>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</si>
  <si>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</si>
  <si>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</si>
  <si>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</si>
  <si>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</si>
  <si>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</si>
  <si>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</si>
  <si>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</si>
  <si>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</si>
  <si>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</si>
  <si>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</si>
  <si>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</si>
  <si>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</si>
  <si>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</si>
  <si>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</si>
  <si>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</si>
  <si>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</si>
  <si>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</si>
  <si>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</si>
  <si>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</si>
  <si>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</si>
  <si>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</si>
  <si>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</si>
  <si>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</si>
  <si>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</si>
  <si>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</si>
  <si>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</si>
  <si>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</si>
  <si>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</si>
  <si>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</si>
  <si>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</si>
  <si>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</si>
  <si>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</si>
  <si>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</si>
  <si>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</si>
  <si>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</si>
  <si>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</si>
  <si>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</si>
  <si>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</si>
  <si>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</si>
  <si>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</si>
  <si>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</si>
  <si>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</si>
  <si>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</si>
  <si>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</si>
  <si>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</si>
  <si>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</si>
  <si>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</si>
  <si>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</si>
  <si>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</si>
  <si>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</si>
  <si>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</si>
  <si>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</si>
  <si>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</si>
  <si>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</si>
  <si>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</si>
  <si>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</si>
  <si>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</si>
  <si>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</si>
  <si>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</si>
  <si>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</si>
  <si>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</si>
  <si>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</si>
  <si>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</si>
  <si>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</si>
  <si>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</si>
  <si>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</si>
  <si>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</si>
  <si>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</si>
  <si>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</si>
  <si>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</si>
  <si>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</si>
  <si>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</si>
  <si>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</si>
  <si>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</si>
  <si>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</si>
  <si>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</si>
  <si>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</si>
  <si>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</si>
  <si>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</si>
  <si>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</si>
  <si>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</si>
  <si>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</si>
  <si>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</si>
  <si>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</si>
  <si>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</si>
  <si>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</si>
  <si>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</si>
  <si>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</si>
  <si>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</si>
  <si>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</si>
  <si>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</si>
  <si>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</si>
  <si>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same Cima volume, cannot count twice, DO NOT LOAD VOLUME</t>
  </si>
  <si>
    <t>654K Updated as of 12/31/23</t>
  </si>
  <si>
    <t>2024</t>
  </si>
  <si>
    <t>204</t>
  </si>
  <si>
    <t>Monthly Avg Cust Count - 2023</t>
  </si>
  <si>
    <t>Skye OK, LLC</t>
  </si>
  <si>
    <t>Per 6/30/24</t>
  </si>
  <si>
    <t>data input as of 06/30/24</t>
  </si>
  <si>
    <t>Values set from Q2 2024 numbers for Q3 &amp; Q4 in 2024</t>
  </si>
  <si>
    <t>Prior Month = Aug Usage</t>
  </si>
  <si>
    <t>ONG</t>
  </si>
  <si>
    <t xml:space="preserve">   </t>
  </si>
  <si>
    <t>Sep.24 Usage</t>
  </si>
  <si>
    <t>2410 file =</t>
  </si>
  <si>
    <r>
      <t xml:space="preserve">Data Input Oct 24 billing =Oct invoices = Sep </t>
    </r>
    <r>
      <rPr>
        <b/>
        <u val="singleAccounting"/>
        <sz val="11"/>
        <color theme="1"/>
        <rFont val="Calibri"/>
        <family val="2"/>
        <scheme val="minor"/>
      </rPr>
      <t>Flow  data= Sep Sales Volume</t>
    </r>
  </si>
  <si>
    <t>BB 2410</t>
  </si>
  <si>
    <t>Delta</t>
  </si>
  <si>
    <t>Petrol (Trans &amp; Supply) DTH</t>
  </si>
  <si>
    <t>Jellico - Petrol &amp;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</si>
</sst>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26</xdr:col>
      <xdr:colOff>76982</xdr:colOff>
      <xdr:row>41</xdr:row>
      <xdr:rowOff>115380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F644C5-2C72-4F64-634C-7BC3AA7C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5667" y="190500"/>
          <a:ext cx="5601482" cy="77353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41</xdr:row>
      <xdr:rowOff>95250</xdr:rowOff>
    </xdr:from>
    <xdr:to>
      <xdr:col>26</xdr:col>
      <xdr:colOff>76982</xdr:colOff>
      <xdr:row>78</xdr:row>
      <xdr:rowOff>86707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31103A-B6FB-996A-D516-4E9C83F3F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5667" y="7905750"/>
          <a:ext cx="5601482" cy="7039957"/>
        </a:xfrm>
        <a:prstGeom prst="rect">
          <a:avLst/>
        </a:prstGeom>
      </xdr:spPr>
    </xdr:pic>
    <xdr:clientData/>
  </xdr:twoCellAnchor>
  <xdr:twoCellAnchor editAs="oneCell">
    <xdr:from>
      <xdr:col>16</xdr:col>
      <xdr:colOff>603251</xdr:colOff>
      <xdr:row>78</xdr:row>
      <xdr:rowOff>63500</xdr:rowOff>
    </xdr:from>
    <xdr:to>
      <xdr:col>26</xdr:col>
      <xdr:colOff>104504</xdr:colOff>
      <xdr:row>110</xdr:row>
      <xdr:rowOff>7193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783AC34-C7A3-9F1C-1F8E-07C6B646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45084" y="14922500"/>
          <a:ext cx="5639587" cy="6039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24826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20</xdr:col>
      <xdr:colOff>268497</xdr:colOff>
      <xdr:row>86</xdr:row>
      <xdr:rowOff>172431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0F21CC-41F1-25D4-219E-2D63D7972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601200"/>
          <a:ext cx="12879597" cy="7030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25</xdr:col>
      <xdr:colOff>335174</xdr:colOff>
      <xdr:row>71</xdr:row>
      <xdr:rowOff>19638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7030BC-010C-D835-3561-411DE6372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201150"/>
          <a:ext cx="12889124" cy="4210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0</xdr:rowOff>
    </xdr:from>
    <xdr:to>
      <xdr:col>28</xdr:col>
      <xdr:colOff>97047</xdr:colOff>
      <xdr:row>33</xdr:row>
      <xdr:rowOff>85950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F281B8-B984-EC76-8BC3-5F998EF52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800600"/>
          <a:ext cx="12879597" cy="1609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407843</xdr:colOff>
      <xdr:row>18</xdr:row>
      <xdr:rowOff>133794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27EB5-3D53-E45C-4900-FF56A840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94156" y="381000"/>
          <a:ext cx="4658375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189596</xdr:colOff>
      <xdr:row>45</xdr:row>
      <xdr:rowOff>162320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8F42B7-F281-7202-E423-1348CEFF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941219"/>
          <a:ext cx="10583752" cy="2829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90" zoomScaleNormal="90" zoomScalePageLayoutView="64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8" sqref="Q8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Oct 24 billing =Oct invoices = Sep Flow  data= Sep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246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13869.17</v>
      </c>
      <c r="G7" s="56"/>
      <c r="H7" s="79">
        <f>F7</f>
        <v>13869.17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8537.81</v>
      </c>
      <c r="G8" s="56"/>
      <c r="H8" s="79"/>
      <c r="I8" s="8"/>
      <c r="J8" s="79">
        <f>F8</f>
        <v>8537.81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1422.36</v>
      </c>
      <c r="G9" s="56"/>
      <c r="H9" s="79"/>
      <c r="I9" s="8"/>
      <c r="J9" s="79"/>
      <c r="K9" s="8"/>
      <c r="L9" s="79"/>
      <c r="M9" s="8"/>
      <c r="N9" s="79">
        <f>F9</f>
        <v>1422.36</v>
      </c>
      <c r="P9" s="79"/>
    </row>
    <row r="10" spans="1:16" x14ac:dyDescent="0.25">
      <c r="C10" t="s">
        <v>3</v>
      </c>
      <c r="F10" s="112">
        <v>69747.92</v>
      </c>
      <c r="G10" s="56"/>
      <c r="H10" s="79"/>
      <c r="I10" s="8"/>
      <c r="J10" s="79"/>
      <c r="K10" s="8"/>
      <c r="L10" s="79">
        <f>F10</f>
        <v>69747.92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7454.93</v>
      </c>
      <c r="G13" s="56"/>
      <c r="H13" s="79">
        <f>F13</f>
        <v>7454.93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18059.990000000002</v>
      </c>
      <c r="G14" s="56"/>
      <c r="H14" s="79"/>
      <c r="I14" s="8"/>
      <c r="J14" s="79">
        <f>F14</f>
        <v>18059.990000000002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808.42</v>
      </c>
      <c r="G15" s="56"/>
      <c r="H15" s="79"/>
      <c r="I15" s="8"/>
      <c r="J15" s="79"/>
      <c r="K15" s="8"/>
      <c r="L15" s="79"/>
      <c r="M15" s="8"/>
      <c r="N15" s="79">
        <f>F15</f>
        <v>808.42</v>
      </c>
      <c r="P15" s="79"/>
    </row>
    <row r="16" spans="1:16" x14ac:dyDescent="0.25">
      <c r="C16" t="s">
        <v>7</v>
      </c>
      <c r="F16" s="112">
        <v>16982.22</v>
      </c>
      <c r="G16" s="56"/>
      <c r="H16" s="79"/>
      <c r="I16" s="8"/>
      <c r="J16" s="79"/>
      <c r="K16" s="8"/>
      <c r="L16" s="79">
        <f>F16</f>
        <v>16982.22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12042.91</v>
      </c>
      <c r="G18" s="56"/>
      <c r="H18" s="79"/>
      <c r="I18" s="8"/>
      <c r="J18" s="79"/>
      <c r="K18" s="8"/>
      <c r="L18" s="79">
        <f>F18</f>
        <v>12042.91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253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247</v>
      </c>
      <c r="F21" s="112">
        <v>463.99</v>
      </c>
      <c r="G21" s="56"/>
      <c r="H21" s="79"/>
      <c r="I21" s="8"/>
      <c r="J21" s="79"/>
      <c r="K21" s="8"/>
      <c r="L21" s="79"/>
      <c r="M21" s="8"/>
      <c r="N21" s="79"/>
      <c r="P21" s="79">
        <f>+F21</f>
        <v>463.99</v>
      </c>
    </row>
    <row r="22" spans="2:16" x14ac:dyDescent="0.25">
      <c r="C22" t="s">
        <v>248</v>
      </c>
      <c r="F22" s="112">
        <v>2191.62</v>
      </c>
      <c r="G22" s="56"/>
      <c r="H22" s="79"/>
      <c r="I22" s="8"/>
      <c r="J22" s="79"/>
      <c r="K22" s="8"/>
      <c r="L22" s="79"/>
      <c r="M22" s="8"/>
      <c r="N22" s="79"/>
      <c r="P22" s="79">
        <f>+F22</f>
        <v>2191.62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540.75</v>
      </c>
      <c r="G25" s="56"/>
      <c r="H25" s="79">
        <f>F25</f>
        <v>540.75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230.45</v>
      </c>
      <c r="G26" s="56"/>
      <c r="H26" s="79"/>
      <c r="I26" s="8"/>
      <c r="J26" s="79">
        <f>F26</f>
        <v>230.45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1668.82</v>
      </c>
      <c r="G28" s="56"/>
      <c r="H28" s="79"/>
      <c r="I28" s="8"/>
      <c r="J28" s="79"/>
      <c r="K28" s="8"/>
      <c r="L28" s="79">
        <f>F28</f>
        <v>1668.82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3404.52</v>
      </c>
      <c r="G31" s="56"/>
      <c r="H31" s="79"/>
      <c r="I31" s="8"/>
      <c r="J31" s="79"/>
      <c r="K31" s="8"/>
      <c r="L31" s="79">
        <f>F31</f>
        <v>3404.52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249</v>
      </c>
      <c r="F34" s="112">
        <v>149.44999999999999</v>
      </c>
      <c r="G34" s="56"/>
      <c r="H34" s="79"/>
      <c r="I34" s="8"/>
      <c r="J34" s="79"/>
      <c r="K34" s="8"/>
      <c r="L34" s="79"/>
      <c r="M34" s="8"/>
      <c r="N34" s="79"/>
      <c r="P34" s="79">
        <f>+F34</f>
        <v>149.44999999999999</v>
      </c>
    </row>
    <row r="35" spans="2:16" x14ac:dyDescent="0.25">
      <c r="C35" t="s">
        <v>250</v>
      </c>
      <c r="F35" s="112">
        <v>207.17</v>
      </c>
      <c r="G35" s="56"/>
      <c r="H35" s="79"/>
      <c r="I35" s="8"/>
      <c r="J35" s="79"/>
      <c r="K35" s="8"/>
      <c r="L35" s="79"/>
      <c r="M35" s="8"/>
      <c r="N35" s="79"/>
      <c r="P35" s="79">
        <f>+F35</f>
        <v>207.17</v>
      </c>
    </row>
    <row r="36" spans="2:16" x14ac:dyDescent="0.25">
      <c r="C36" t="s">
        <v>119</v>
      </c>
      <c r="F36" s="112">
        <v>406.86</v>
      </c>
      <c r="G36" s="56"/>
      <c r="H36" s="79">
        <f>F36</f>
        <v>406.86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203.93</v>
      </c>
      <c r="G37" s="56"/>
      <c r="H37" s="79"/>
      <c r="I37" s="8"/>
      <c r="J37" s="79">
        <f>F37</f>
        <v>203.93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3271.29</v>
      </c>
      <c r="G39" s="56"/>
      <c r="H39" s="79"/>
      <c r="I39" s="8"/>
      <c r="J39" s="79"/>
      <c r="K39" s="8"/>
      <c r="L39" s="79">
        <f>F39</f>
        <v>3271.29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5759</v>
      </c>
      <c r="G42" s="56"/>
      <c r="H42" s="79">
        <f>F42</f>
        <v>5759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305.10000000000002</v>
      </c>
      <c r="G43" s="56"/>
      <c r="H43" s="79"/>
      <c r="I43" s="8"/>
      <c r="J43" s="79">
        <f>F43</f>
        <v>305.10000000000002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245.83</v>
      </c>
      <c r="G44" s="56"/>
      <c r="H44" s="79"/>
      <c r="I44" s="8"/>
      <c r="J44" s="79"/>
      <c r="K44" s="8"/>
      <c r="L44" s="79"/>
      <c r="M44" s="8"/>
      <c r="N44" s="79">
        <f>F44</f>
        <v>245.83</v>
      </c>
      <c r="P44" s="79"/>
    </row>
    <row r="45" spans="2:16" x14ac:dyDescent="0.25">
      <c r="C45" t="s">
        <v>24</v>
      </c>
      <c r="F45" s="112">
        <v>17008.29</v>
      </c>
      <c r="G45" s="56"/>
      <c r="H45" s="79"/>
      <c r="I45" s="8"/>
      <c r="J45" s="79"/>
      <c r="K45" s="8"/>
      <c r="L45" s="79">
        <f>F45</f>
        <v>17008.29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222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223</v>
      </c>
      <c r="F48" s="112">
        <v>80.5</v>
      </c>
      <c r="G48" s="56"/>
      <c r="H48" s="79">
        <f>F48</f>
        <v>80.5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224</v>
      </c>
      <c r="F49" s="112">
        <v>37</v>
      </c>
      <c r="G49" s="56"/>
      <c r="H49" s="79"/>
      <c r="I49" s="8"/>
      <c r="J49" s="79">
        <f>F49</f>
        <v>37</v>
      </c>
      <c r="K49" s="8"/>
      <c r="L49" s="79"/>
      <c r="M49" s="8"/>
      <c r="N49" s="79"/>
      <c r="P49" s="79"/>
    </row>
    <row r="50" spans="1:16" x14ac:dyDescent="0.25">
      <c r="C50" t="s">
        <v>225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226</v>
      </c>
      <c r="F51" s="112">
        <v>64</v>
      </c>
      <c r="G51" s="56"/>
      <c r="H51" s="79"/>
      <c r="I51" s="8"/>
      <c r="J51" s="79"/>
      <c r="K51" s="8"/>
      <c r="L51" s="79">
        <f>F51</f>
        <v>64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227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228</v>
      </c>
      <c r="F54" s="112">
        <v>3119.09</v>
      </c>
      <c r="G54" s="56"/>
      <c r="H54" s="79">
        <f>F54</f>
        <v>3119.09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229</v>
      </c>
      <c r="F55" s="112">
        <v>683.65</v>
      </c>
      <c r="G55" s="56"/>
      <c r="H55" s="79"/>
      <c r="I55" s="8"/>
      <c r="J55" s="79">
        <f>F55</f>
        <v>683.65</v>
      </c>
      <c r="K55" s="8"/>
      <c r="L55" s="79"/>
      <c r="M55" s="8"/>
      <c r="N55" s="79"/>
      <c r="P55" s="79"/>
    </row>
    <row r="56" spans="1:16" x14ac:dyDescent="0.25">
      <c r="C56" t="s">
        <v>230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231</v>
      </c>
      <c r="F57" s="112">
        <v>25615.59</v>
      </c>
      <c r="G57" s="56"/>
      <c r="H57" s="79"/>
      <c r="I57" s="8"/>
      <c r="J57" s="79"/>
      <c r="K57" s="8"/>
      <c r="L57" s="79">
        <f>F57</f>
        <v>25615.59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214582.63</v>
      </c>
      <c r="G59" s="57"/>
      <c r="H59" s="113">
        <f>SUM(H7:H57)</f>
        <v>31230.3</v>
      </c>
      <c r="I59" s="23"/>
      <c r="J59" s="113">
        <f>SUM(J7:J57)</f>
        <v>28057.930000000004</v>
      </c>
      <c r="K59" s="23"/>
      <c r="L59" s="113">
        <f>SUM(L7:L57)</f>
        <v>149805.56</v>
      </c>
      <c r="M59" s="23"/>
      <c r="N59" s="113">
        <f>SUM(N7:N57)</f>
        <v>2476.6099999999997</v>
      </c>
      <c r="P59" s="113">
        <f>SUM(P7:P57)</f>
        <v>3012.2299999999996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236</v>
      </c>
      <c r="P62" t="s">
        <v>235</v>
      </c>
    </row>
    <row r="63" spans="1:16" x14ac:dyDescent="0.25">
      <c r="D63" s="16" t="s">
        <v>159</v>
      </c>
      <c r="F63" s="115">
        <v>35038.99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268837.86869858357</v>
      </c>
      <c r="P63" s="60">
        <f>+L59+'Allocation Charges'!L21</f>
        <v>268837.86869858351</v>
      </c>
    </row>
    <row r="64" spans="1:16" x14ac:dyDescent="0.25">
      <c r="B64" s="16"/>
      <c r="D64" t="s">
        <v>155</v>
      </c>
      <c r="F64" s="102">
        <f>+F59</f>
        <v>214582.63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64564</v>
      </c>
      <c r="P64" s="60">
        <f>+H59+'Allocation Charges'!H21</f>
        <v>64558.263745983873</v>
      </c>
    </row>
    <row r="65" spans="4:16" x14ac:dyDescent="0.25">
      <c r="D65" t="s">
        <v>156</v>
      </c>
      <c r="F65" s="102">
        <f>+'Allocation Charges'!F21</f>
        <v>172211.74000000002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43625</v>
      </c>
      <c r="P65" s="60">
        <f>+J59+'Allocation Charges'!J21</f>
        <v>43620.407436293157</v>
      </c>
    </row>
    <row r="66" spans="4:16" x14ac:dyDescent="0.25">
      <c r="D66" t="s">
        <v>50</v>
      </c>
      <c r="F66" s="102">
        <f>SUM(F63:F65)</f>
        <v>421833.36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6772</v>
      </c>
      <c r="P66" s="60">
        <f>+N59+'Allocation Charges'!N21</f>
        <v>6765.6001191394607</v>
      </c>
    </row>
    <row r="67" spans="4:16" x14ac:dyDescent="0.25">
      <c r="D67" s="16" t="s">
        <v>157</v>
      </c>
      <c r="F67" s="115">
        <v>421833.36</v>
      </c>
      <c r="G67" s="8"/>
      <c r="H67" s="6" t="s">
        <v>163</v>
      </c>
      <c r="I67" s="8"/>
      <c r="J67" s="8"/>
      <c r="K67" s="8"/>
      <c r="L67" s="8" t="s">
        <v>246</v>
      </c>
      <c r="M67" s="8"/>
      <c r="N67" s="60">
        <f>+'NC Hydro'!F14</f>
        <v>3012.2299999999996</v>
      </c>
      <c r="P67" s="60">
        <f>+P59</f>
        <v>3012.2299999999996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234</v>
      </c>
      <c r="M68" s="8"/>
      <c r="N68" s="60">
        <f>SUM(N63:N67)</f>
        <v>386811.09869858355</v>
      </c>
      <c r="P68" s="60">
        <f>SUM(P63:P67)</f>
        <v>386794.37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-16.728698583552614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I25" sqref="I25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219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267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267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219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259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259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K24" sqref="K24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271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269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1058403.98</v>
      </c>
      <c r="C8" s="94">
        <f t="shared" ref="C8:C13" si="0">$D$25</f>
        <v>0.8023663641516483</v>
      </c>
      <c r="D8" s="95">
        <v>6.4699999999999994E-2</v>
      </c>
      <c r="E8" s="79">
        <f t="shared" ref="E8:E13" si="1">B8*C8*D8</f>
        <v>54945.035634384323</v>
      </c>
      <c r="F8" s="79">
        <f t="shared" ref="F8:F13" si="2">E8/12</f>
        <v>4578.7529695320272</v>
      </c>
      <c r="G8" s="79">
        <f t="shared" ref="G8:G13" si="3">B8</f>
        <v>1058403.98</v>
      </c>
      <c r="H8" s="13">
        <v>6</v>
      </c>
      <c r="I8" s="79">
        <f t="shared" ref="I8:I13" si="4">G8/H8</f>
        <v>176400.66333333333</v>
      </c>
      <c r="J8" s="79">
        <f t="shared" ref="J8:J13" si="5">I8/12</f>
        <v>14700.055277777778</v>
      </c>
      <c r="K8" s="79">
        <f>ROUNDUP(F8+J8,0)</f>
        <v>19279</v>
      </c>
    </row>
    <row r="9" spans="1:11" x14ac:dyDescent="0.25">
      <c r="A9" t="s">
        <v>32</v>
      </c>
      <c r="B9" s="192">
        <v>306568.88</v>
      </c>
      <c r="C9" s="94">
        <f t="shared" si="0"/>
        <v>0.8023663641516483</v>
      </c>
      <c r="D9" s="95">
        <v>6.4699999999999994E-2</v>
      </c>
      <c r="E9" s="79">
        <f t="shared" si="1"/>
        <v>15914.9420772145</v>
      </c>
      <c r="F9" s="79">
        <f t="shared" si="2"/>
        <v>1326.2451731012084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5585</v>
      </c>
    </row>
    <row r="10" spans="1:11" x14ac:dyDescent="0.25">
      <c r="A10" t="s">
        <v>47</v>
      </c>
      <c r="B10" s="192">
        <v>705882.72</v>
      </c>
      <c r="C10" s="94">
        <f t="shared" si="0"/>
        <v>0.8023663641516483</v>
      </c>
      <c r="D10" s="95">
        <v>6.4699999999999994E-2</v>
      </c>
      <c r="E10" s="79">
        <f t="shared" si="1"/>
        <v>36644.562886182772</v>
      </c>
      <c r="F10" s="79">
        <f t="shared" si="2"/>
        <v>3053.7135738485645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8937</v>
      </c>
    </row>
    <row r="11" spans="1:11" x14ac:dyDescent="0.25">
      <c r="A11" t="s">
        <v>48</v>
      </c>
      <c r="B11" s="192">
        <v>257154.88</v>
      </c>
      <c r="C11" s="94">
        <f t="shared" si="0"/>
        <v>0.8023663641516483</v>
      </c>
      <c r="D11" s="95">
        <v>6.4699999999999994E-2</v>
      </c>
      <c r="E11" s="79">
        <f t="shared" si="1"/>
        <v>13349.707967987635</v>
      </c>
      <c r="F11" s="79">
        <f t="shared" si="2"/>
        <v>1112.4756639989696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5399</v>
      </c>
    </row>
    <row r="12" spans="1:11" x14ac:dyDescent="0.25">
      <c r="A12" t="s">
        <v>41</v>
      </c>
      <c r="B12" s="192">
        <v>205926.43</v>
      </c>
      <c r="C12" s="94">
        <f t="shared" si="0"/>
        <v>0.8023663641516483</v>
      </c>
      <c r="D12" s="95">
        <v>6.4699999999999994E-2</v>
      </c>
      <c r="E12" s="79">
        <f t="shared" si="1"/>
        <v>10690.280127642329</v>
      </c>
      <c r="F12" s="79">
        <f t="shared" si="2"/>
        <v>890.85667730352736</v>
      </c>
      <c r="G12" s="79">
        <f t="shared" si="3"/>
        <v>205926.43</v>
      </c>
      <c r="H12" s="13">
        <v>4</v>
      </c>
      <c r="I12" s="79">
        <f t="shared" si="4"/>
        <v>51481.607499999998</v>
      </c>
      <c r="J12" s="79">
        <f t="shared" si="5"/>
        <v>4290.1339583333329</v>
      </c>
      <c r="K12" s="79">
        <f t="shared" si="6"/>
        <v>5181</v>
      </c>
    </row>
    <row r="13" spans="1:11" x14ac:dyDescent="0.25">
      <c r="A13" t="s">
        <v>31</v>
      </c>
      <c r="B13" s="192">
        <v>1409956.18</v>
      </c>
      <c r="C13" s="94">
        <f t="shared" si="0"/>
        <v>0.8023663641516483</v>
      </c>
      <c r="D13" s="95">
        <v>6.4699999999999994E-2</v>
      </c>
      <c r="E13" s="79">
        <f t="shared" si="1"/>
        <v>73195.201470255619</v>
      </c>
      <c r="F13" s="79">
        <f t="shared" si="2"/>
        <v>6099.6001225213013</v>
      </c>
      <c r="G13" s="79">
        <f t="shared" si="3"/>
        <v>1409956.18</v>
      </c>
      <c r="H13" s="13">
        <v>10</v>
      </c>
      <c r="I13" s="79">
        <f t="shared" si="4"/>
        <v>140995.61799999999</v>
      </c>
      <c r="J13" s="79">
        <f t="shared" si="5"/>
        <v>11749.634833333332</v>
      </c>
      <c r="K13" s="79">
        <f t="shared" si="6"/>
        <v>17850</v>
      </c>
    </row>
    <row r="14" spans="1:11" x14ac:dyDescent="0.25">
      <c r="B14" s="120"/>
    </row>
    <row r="15" spans="1:11" x14ac:dyDescent="0.25">
      <c r="B15" s="121">
        <f>SUM(B8:B13)</f>
        <v>3943893.0700000003</v>
      </c>
      <c r="D15" s="180">
        <f>AVERAGE(D8:D13)</f>
        <v>6.4699999999999994E-2</v>
      </c>
      <c r="E15" s="14">
        <f>SUM(E8:E13)</f>
        <v>204739.73016366718</v>
      </c>
      <c r="F15" s="22">
        <f>SUM(F8:F13)</f>
        <v>17061.6441803056</v>
      </c>
      <c r="G15" s="14">
        <f>SUM(G8:G13)</f>
        <v>3943893.0700000003</v>
      </c>
      <c r="I15" s="14">
        <f>SUM(I8:I13)</f>
        <v>541991.95016666665</v>
      </c>
      <c r="J15" s="22">
        <f>SUM(J8:J13)</f>
        <v>45165.995847222221</v>
      </c>
      <c r="K15" s="22">
        <f>SUM(K8:K13)</f>
        <v>62231</v>
      </c>
    </row>
    <row r="19" spans="1:7" x14ac:dyDescent="0.25">
      <c r="A19" s="16" t="s">
        <v>238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591598+8648539+(1451020*0.5)</f>
        <v>9965647</v>
      </c>
      <c r="D25" s="196">
        <f>C25/C27</f>
        <v>0.8023663641516483</v>
      </c>
      <c r="E25" s="195" t="s">
        <v>270</v>
      </c>
      <c r="F25" s="195"/>
      <c r="G25" s="197"/>
    </row>
    <row r="26" spans="1:7" x14ac:dyDescent="0.25">
      <c r="A26" s="198"/>
      <c r="B26" s="199" t="s">
        <v>176</v>
      </c>
      <c r="C26" s="200">
        <v>2454673</v>
      </c>
      <c r="D26" s="201">
        <f>C26/C27</f>
        <v>0.19763363584835172</v>
      </c>
      <c r="E26" s="195" t="s">
        <v>270</v>
      </c>
      <c r="F26" s="200"/>
      <c r="G26" s="202"/>
    </row>
    <row r="27" spans="1:7" ht="15.75" thickBot="1" x14ac:dyDescent="0.3">
      <c r="A27" s="203"/>
      <c r="B27" s="204"/>
      <c r="C27" s="205">
        <f>C25+C26</f>
        <v>12420320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0.8023663641516483</v>
      </c>
      <c r="D8" s="95">
        <v>6.54E-2</v>
      </c>
      <c r="E8" s="79">
        <f>B8*C8*D8</f>
        <v>67588.216358773105</v>
      </c>
      <c r="F8" s="79">
        <f>E8/12</f>
        <v>5632.3513632310924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8606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67588.216358773105</v>
      </c>
      <c r="F10" s="22">
        <f>SUM(F8:F8)</f>
        <v>5632.3513632310924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8606</v>
      </c>
    </row>
    <row r="12" spans="1:13" x14ac:dyDescent="0.25">
      <c r="H12" s="209" t="s">
        <v>209</v>
      </c>
    </row>
    <row r="13" spans="1:13" x14ac:dyDescent="0.25">
      <c r="I13"/>
      <c r="J13" t="s">
        <v>185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1704</v>
      </c>
      <c r="L14" s="211">
        <f>+K14*12</f>
        <v>20448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801</v>
      </c>
      <c r="L15" s="211">
        <f t="shared" ref="L15:L18" si="1">+K15*12</f>
        <v>9612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5911</v>
      </c>
      <c r="L16" s="211">
        <f t="shared" si="1"/>
        <v>70932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192</v>
      </c>
      <c r="L17" s="211">
        <f t="shared" si="1"/>
        <v>2304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8608</v>
      </c>
      <c r="L18" s="106">
        <f t="shared" si="1"/>
        <v>103296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0.8023663641516483</v>
      </c>
      <c r="J8" s="95">
        <v>6.54E-2</v>
      </c>
      <c r="L8" s="79">
        <f>F8*H8*J8</f>
        <v>34323.812022644088</v>
      </c>
      <c r="N8" s="79">
        <f>L8/12</f>
        <v>2860.3176685536741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5419</v>
      </c>
    </row>
    <row r="10" spans="3:27" x14ac:dyDescent="0.25">
      <c r="F10" s="14">
        <f>SUM(F8:F8)</f>
        <v>654101.36</v>
      </c>
      <c r="L10" s="14">
        <f>SUM(L8:L8)</f>
        <v>34323.812022644088</v>
      </c>
      <c r="N10" s="22">
        <f>SUM(N8:N8)</f>
        <v>2860.3176685536741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5419</v>
      </c>
    </row>
    <row r="13" spans="3:27" x14ac:dyDescent="0.25">
      <c r="C13" t="s">
        <v>60</v>
      </c>
      <c r="F13" s="8" t="s">
        <v>264</v>
      </c>
      <c r="T13" s="24" t="s">
        <v>232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1067</v>
      </c>
      <c r="AA14" s="236">
        <f>+Z14*12</f>
        <v>12804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498</v>
      </c>
      <c r="AA15" s="236">
        <f t="shared" ref="AA15:AA17" si="1">+Z15*12</f>
        <v>5976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3737</v>
      </c>
      <c r="AA16" s="237">
        <f t="shared" si="1"/>
        <v>44844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119</v>
      </c>
      <c r="AA17" s="236">
        <f t="shared" si="1"/>
        <v>1428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5421</v>
      </c>
      <c r="AA18" s="71">
        <f>SUM(AA14:AA17)</f>
        <v>65052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H24" sqref="H24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Oct 24 billing =Oct invoices = Sep Flow  data= Sep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260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8725.88-SUM('Direct Charges'!F25:F28)</f>
        <v>6285.8599999999988</v>
      </c>
      <c r="G7" s="8"/>
      <c r="H7" s="79">
        <f>F7*R$4</f>
        <v>1237.056273116973</v>
      </c>
      <c r="I7" s="8"/>
      <c r="J7" s="79">
        <f>F7*R$5</f>
        <v>577.64286124824196</v>
      </c>
      <c r="K7" s="8"/>
      <c r="L7" s="79">
        <f>F7*R$6</f>
        <v>4333.7214608080149</v>
      </c>
      <c r="M7" s="8"/>
      <c r="N7" s="79">
        <f>F7*R$7</f>
        <v>137.43940482676865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10294.129999999999</v>
      </c>
      <c r="G8" s="8"/>
      <c r="H8" s="79">
        <f t="shared" ref="H8:H19" si="0">F8*R$4</f>
        <v>2025.88318746864</v>
      </c>
      <c r="I8" s="8"/>
      <c r="J8" s="79">
        <f>F8*R$5</f>
        <v>945.98522831583364</v>
      </c>
      <c r="K8" s="8"/>
      <c r="L8" s="79">
        <f>F8*R$6</f>
        <v>7097.1819450874855</v>
      </c>
      <c r="M8" s="8"/>
      <c r="N8" s="79">
        <f>F8*R$7</f>
        <v>225.07963912804044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97839.27</v>
      </c>
      <c r="G10" s="8"/>
      <c r="H10" s="79">
        <f>IF(N10=2000,(F10-N10)*(R4/(R8-R7)),(F10*R4))</f>
        <v>19254.753161967539</v>
      </c>
      <c r="I10" s="8"/>
      <c r="J10" s="83">
        <f>IF(N10=2000,(F10-N10)*(R5/(R8-R7)),(F10*R5))</f>
        <v>8990.9981872391836</v>
      </c>
      <c r="K10" s="8"/>
      <c r="L10" s="83">
        <f>IF(N10=2000,(F10-N10)*(R6/(R8-R7)),(F10*R6))</f>
        <v>67454.27739542241</v>
      </c>
      <c r="M10" s="8"/>
      <c r="N10" s="83">
        <f>IF((F10*R$7&lt;2000),(2000),F10*R$7)</f>
        <v>2139.2412553708682</v>
      </c>
      <c r="O10" s="8"/>
      <c r="P10" s="8"/>
      <c r="Q10" s="8"/>
      <c r="U10" s="73"/>
    </row>
    <row r="11" spans="1:21" x14ac:dyDescent="0.25">
      <c r="B11" t="s">
        <v>20</v>
      </c>
      <c r="F11" s="112">
        <f>12654.9-SUM('Direct Charges'!F34:F39)</f>
        <v>8416.2000000000007</v>
      </c>
      <c r="G11" s="8"/>
      <c r="H11" s="79">
        <f t="shared" si="0"/>
        <v>1656.3068547194928</v>
      </c>
      <c r="I11" s="8"/>
      <c r="J11" s="79">
        <f>F11*R$5</f>
        <v>773.41172867952127</v>
      </c>
      <c r="K11" s="8"/>
      <c r="L11" s="79">
        <f>F11*R$6</f>
        <v>5802.4624408517575</v>
      </c>
      <c r="M11" s="8"/>
      <c r="N11" s="79">
        <f>F11*R$7</f>
        <v>184.01897574922933</v>
      </c>
      <c r="O11" s="8"/>
      <c r="U11" s="73"/>
    </row>
    <row r="12" spans="1:21" x14ac:dyDescent="0.25">
      <c r="B12" t="s">
        <v>21</v>
      </c>
      <c r="F12" s="155">
        <f>26060.66-SUM('Direct Charges'!F42:F45)</f>
        <v>2742.4399999999987</v>
      </c>
      <c r="G12" s="8"/>
      <c r="H12" s="79">
        <f t="shared" si="0"/>
        <v>539.71176667105385</v>
      </c>
      <c r="I12" s="8"/>
      <c r="J12" s="79">
        <f>F12*R$5</f>
        <v>252.01816273375931</v>
      </c>
      <c r="K12" s="8"/>
      <c r="L12" s="79">
        <f>F12*R$6</f>
        <v>1890.7470231564703</v>
      </c>
      <c r="M12" s="8"/>
      <c r="N12" s="79">
        <f>F12*R$7</f>
        <v>59.963047438715364</v>
      </c>
      <c r="O12" s="8"/>
    </row>
    <row r="13" spans="1:21" x14ac:dyDescent="0.25">
      <c r="B13" t="s">
        <v>25</v>
      </c>
      <c r="F13" s="112">
        <v>20119.68</v>
      </c>
      <c r="G13" s="8"/>
      <c r="H13" s="79">
        <f t="shared" si="0"/>
        <v>3959.5499036100236</v>
      </c>
      <c r="I13" s="8"/>
      <c r="J13" s="79">
        <f>F13*R$5</f>
        <v>1848.9100174994403</v>
      </c>
      <c r="K13" s="8"/>
      <c r="L13" s="79">
        <f>F13*R$6</f>
        <v>13871.306233449333</v>
      </c>
      <c r="M13" s="8"/>
      <c r="N13" s="79">
        <f>F13*R$7</f>
        <v>439.91384544120319</v>
      </c>
      <c r="O13" s="8"/>
    </row>
    <row r="14" spans="1:21" x14ac:dyDescent="0.25">
      <c r="B14" t="s">
        <v>26</v>
      </c>
      <c r="F14" s="112">
        <v>157.5</v>
      </c>
      <c r="G14" s="8"/>
      <c r="H14" s="79">
        <f>F14*R$4</f>
        <v>30.995975573099507</v>
      </c>
      <c r="I14" s="8"/>
      <c r="J14" s="79">
        <f>F14*R$5</f>
        <v>14.473556624964306</v>
      </c>
      <c r="K14" s="8"/>
      <c r="L14" s="79">
        <f>F14*R$6</f>
        <v>108.58675345573438</v>
      </c>
      <c r="M14" s="8"/>
      <c r="N14" s="79">
        <f>F14*R$7</f>
        <v>3.4437143462018036</v>
      </c>
      <c r="O14" s="8"/>
    </row>
    <row r="15" spans="1:21" x14ac:dyDescent="0.25">
      <c r="B15" t="s">
        <v>27</v>
      </c>
      <c r="F15" s="112">
        <v>19512.12</v>
      </c>
      <c r="G15" s="8"/>
      <c r="H15" s="79">
        <f>IF(N15=1000,(F15-N15)*(R4/(R8-R7)),(F15*R4))</f>
        <v>3724.620627396906</v>
      </c>
      <c r="I15" s="8"/>
      <c r="J15" s="83">
        <f>IF(N15=1000,(F15-N15)*(R5/(R8-R7)),(F15*R5))</f>
        <v>1739.209899362703</v>
      </c>
      <c r="K15" s="8"/>
      <c r="L15" s="83">
        <f>IF(N15=1000,(F15-N15)*(R6/(R8-R7)),(F15*R6))</f>
        <v>13048.289473240389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194</v>
      </c>
      <c r="F16" s="112">
        <v>2276.0100000000002</v>
      </c>
      <c r="G16" s="8"/>
      <c r="H16" s="79">
        <v>0</v>
      </c>
      <c r="I16" s="8"/>
      <c r="J16" s="79">
        <v>0</v>
      </c>
      <c r="K16" s="8"/>
      <c r="L16" s="79">
        <f>+F16</f>
        <v>2276.0100000000002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3668.84</v>
      </c>
      <c r="G18" s="8"/>
      <c r="H18" s="79">
        <f t="shared" si="0"/>
        <v>722.02714299435172</v>
      </c>
      <c r="I18" s="8"/>
      <c r="J18" s="79">
        <f>F18*R$5</f>
        <v>337.15024436783523</v>
      </c>
      <c r="K18" s="8"/>
      <c r="L18" s="79">
        <f>F18*R$6</f>
        <v>2529.4439653875338</v>
      </c>
      <c r="M18" s="8"/>
      <c r="N18" s="79">
        <f>F18*R$7</f>
        <v>80.218647250279531</v>
      </c>
      <c r="O18" s="8"/>
    </row>
    <row r="19" spans="1:19" x14ac:dyDescent="0.25">
      <c r="B19" t="s">
        <v>30</v>
      </c>
      <c r="F19" s="112">
        <v>899.69</v>
      </c>
      <c r="G19" s="8"/>
      <c r="H19" s="79">
        <f t="shared" si="0"/>
        <v>177.05885246578984</v>
      </c>
      <c r="I19" s="8"/>
      <c r="J19" s="79">
        <f>F19*R$5</f>
        <v>82.677550221677066</v>
      </c>
      <c r="K19" s="8"/>
      <c r="L19" s="79">
        <f>F19*R$6</f>
        <v>620.2820077243789</v>
      </c>
      <c r="M19" s="8"/>
      <c r="N19" s="79">
        <f>F19*R$7</f>
        <v>19.671589588154291</v>
      </c>
      <c r="O19" s="8"/>
      <c r="R19" t="s">
        <v>186</v>
      </c>
      <c r="S19" t="s">
        <v>184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33891.243723434694</v>
      </c>
      <c r="S20" s="55">
        <f>+H21-R20</f>
        <v>-563.27997745082394</v>
      </c>
    </row>
    <row r="21" spans="1:19" x14ac:dyDescent="0.25">
      <c r="F21" s="84">
        <f>SUM(F6:F19)</f>
        <v>172211.74000000002</v>
      </c>
      <c r="G21" s="23"/>
      <c r="H21" s="84">
        <f>SUM(H6:H19)</f>
        <v>33327.96374598387</v>
      </c>
      <c r="I21" s="23"/>
      <c r="J21" s="84">
        <f>SUM(J6:J19)</f>
        <v>15562.477436293157</v>
      </c>
      <c r="K21" s="23"/>
      <c r="L21" s="84">
        <f>SUM(L6:L19)</f>
        <v>119032.3086985835</v>
      </c>
      <c r="M21" s="23"/>
      <c r="N21" s="84">
        <f>SUM(N6:N19)</f>
        <v>4288.9901191394611</v>
      </c>
      <c r="O21" s="23"/>
      <c r="P21" s="241" t="s">
        <v>11</v>
      </c>
      <c r="Q21" s="241"/>
      <c r="R21" s="149">
        <f>+F21*R5</f>
        <v>15825.500764277022</v>
      </c>
      <c r="S21" s="55">
        <f>+J21-R21</f>
        <v>-263.02332798386487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118729.61113373355</v>
      </c>
      <c r="S22" s="55">
        <f>+L21-R22</f>
        <v>302.69756484995014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3765.384378554762</v>
      </c>
      <c r="S23" s="55">
        <f>+N21-R23</f>
        <v>523.60574058469911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172211.74000000002</v>
      </c>
      <c r="S24" s="152">
        <f>SUM(S20:S23)</f>
        <v>-3.9563019527122378E-11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19279</v>
      </c>
      <c r="G27" s="6"/>
      <c r="H27" s="79">
        <f t="shared" ref="H27:H29" si="1">F27*R$4</f>
        <v>3794.1042099922884</v>
      </c>
      <c r="I27" s="8"/>
      <c r="J27" s="85">
        <f t="shared" ref="J27:J29" si="2">F27*R$5</f>
        <v>1771.6552264932498</v>
      </c>
      <c r="K27" s="8"/>
      <c r="L27" s="79">
        <f t="shared" ref="L27:L29" si="3">F27*R$6</f>
        <v>13291.70806268637</v>
      </c>
      <c r="M27" s="8"/>
      <c r="N27" s="79">
        <f t="shared" ref="N27:N29" si="4">F27*R$7</f>
        <v>421.53250082809251</v>
      </c>
      <c r="O27" s="8"/>
    </row>
    <row r="28" spans="1:19" x14ac:dyDescent="0.25">
      <c r="B28" t="s">
        <v>32</v>
      </c>
      <c r="F28" s="79">
        <f>'2024 NUC Rent'!K9</f>
        <v>5585</v>
      </c>
      <c r="G28" s="6"/>
      <c r="H28" s="79">
        <f t="shared" si="1"/>
        <v>1099.127133814354</v>
      </c>
      <c r="I28" s="8"/>
      <c r="J28" s="85">
        <f t="shared" si="2"/>
        <v>513.23691270111522</v>
      </c>
      <c r="K28" s="8"/>
      <c r="L28" s="79">
        <f t="shared" si="3"/>
        <v>3850.5207495255654</v>
      </c>
      <c r="M28" s="8"/>
      <c r="N28" s="79">
        <f t="shared" si="4"/>
        <v>122.11520395896554</v>
      </c>
      <c r="O28" s="8"/>
    </row>
    <row r="29" spans="1:19" x14ac:dyDescent="0.25">
      <c r="B29" t="s">
        <v>47</v>
      </c>
      <c r="F29" s="79">
        <f>'2024 NUC Rent'!K10</f>
        <v>8937</v>
      </c>
      <c r="G29" s="6"/>
      <c r="H29" s="79">
        <f t="shared" si="1"/>
        <v>1758.8002139478749</v>
      </c>
      <c r="I29" s="8"/>
      <c r="J29" s="85">
        <f t="shared" si="2"/>
        <v>821.27095591940315</v>
      </c>
      <c r="K29" s="8"/>
      <c r="L29" s="79">
        <f t="shared" si="3"/>
        <v>6161.5226389453856</v>
      </c>
      <c r="M29" s="8"/>
      <c r="N29" s="79">
        <f t="shared" si="4"/>
        <v>195.40619118733662</v>
      </c>
      <c r="O29" s="8"/>
    </row>
    <row r="30" spans="1:19" x14ac:dyDescent="0.25">
      <c r="B30" t="s">
        <v>48</v>
      </c>
      <c r="F30" s="79">
        <f>'2024 NUC Rent'!K11</f>
        <v>5399</v>
      </c>
      <c r="G30" s="6"/>
      <c r="H30" s="79">
        <f>F30*R$4</f>
        <v>1062.5223626613604</v>
      </c>
      <c r="I30" s="8"/>
      <c r="J30" s="85">
        <f>F30*R$5</f>
        <v>496.14433154401451</v>
      </c>
      <c r="K30" s="8"/>
      <c r="L30" s="79">
        <f>F30*R$6</f>
        <v>3722.2849644921266</v>
      </c>
      <c r="M30" s="8"/>
      <c r="N30" s="79">
        <f>F30*R$7</f>
        <v>118.04834130249864</v>
      </c>
      <c r="O30" s="8"/>
    </row>
    <row r="31" spans="1:19" x14ac:dyDescent="0.25">
      <c r="B31" t="s">
        <v>41</v>
      </c>
      <c r="F31" s="79">
        <f>'2024 NUC Rent'!K12</f>
        <v>5181</v>
      </c>
      <c r="G31" s="6"/>
      <c r="H31" s="79">
        <f>F31*R$4</f>
        <v>1019.6199964712924</v>
      </c>
      <c r="I31" s="8"/>
      <c r="J31" s="79">
        <f>F31*R$5</f>
        <v>476.11109126311158</v>
      </c>
      <c r="K31" s="8"/>
      <c r="L31" s="79">
        <f>F31*R$6</f>
        <v>3571.9871089153007</v>
      </c>
      <c r="M31" s="8"/>
      <c r="N31" s="79">
        <f>F31*R$7</f>
        <v>113.28180335029552</v>
      </c>
      <c r="O31" s="8"/>
    </row>
    <row r="32" spans="1:19" x14ac:dyDescent="0.25">
      <c r="B32" t="s">
        <v>31</v>
      </c>
      <c r="F32" s="79">
        <f>'2024 NUC Rent'!K13</f>
        <v>17850</v>
      </c>
      <c r="G32" s="6"/>
      <c r="H32" s="79">
        <f>F32*R$4</f>
        <v>3512.8772316179443</v>
      </c>
      <c r="I32" s="8"/>
      <c r="J32" s="79">
        <f>F32*R$5</f>
        <v>1640.3364174959547</v>
      </c>
      <c r="K32" s="8"/>
      <c r="L32" s="79">
        <f>F32*R$6</f>
        <v>12306.49872498323</v>
      </c>
      <c r="M32" s="8"/>
      <c r="N32" s="79">
        <f>F32*R$7</f>
        <v>390.28762590287107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62231</v>
      </c>
      <c r="G34" s="20"/>
      <c r="H34" s="84">
        <f>SUM(H27:H32)</f>
        <v>12247.051148505114</v>
      </c>
      <c r="I34" s="23"/>
      <c r="J34" s="84">
        <f>SUM(J27:J32)</f>
        <v>5718.7549354168495</v>
      </c>
      <c r="K34" s="23"/>
      <c r="L34" s="84">
        <f>SUM(L27:L32)</f>
        <v>42904.522249547983</v>
      </c>
      <c r="M34" s="23"/>
      <c r="N34" s="84">
        <f>SUM(N27:N32)</f>
        <v>1360.6716665300598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29" sqref="Q29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Oct 24 billing =Oct invoices = Sep Flow  data= Sep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260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69747.92</v>
      </c>
      <c r="G6" s="60"/>
      <c r="H6" s="85">
        <f>ROUNDUP(IF(N6=2500,(F6-L6-N6)*(Q4/(Q8-Q6-Q7)),(F6*R4)),0)</f>
        <v>36694</v>
      </c>
      <c r="I6" s="60"/>
      <c r="J6" s="222">
        <f>ROUNDUP(IF(SUM(H6,L6,N6,F6*R5)&gt;F6,((F6-L6-N6)*(Q5/(Q8-Q6-Q7))),(F6*R5)),0)</f>
        <v>22264</v>
      </c>
      <c r="K6" s="60"/>
      <c r="L6" s="85">
        <f>ROUNDUP(IF((F6*R$6&lt;2500),(2500),F6*R$6),0)</f>
        <v>4417</v>
      </c>
      <c r="M6" s="60"/>
      <c r="N6" s="85">
        <f>ROUNDUP(IF((F6*R$7&lt;2500),(2500),F6*R$7),0)</f>
        <v>6375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16982.22</v>
      </c>
      <c r="G7" s="60"/>
      <c r="H7" s="85">
        <f>ROUNDUP(F7*R$4,0)</f>
        <v>8935</v>
      </c>
      <c r="I7" s="60"/>
      <c r="J7" s="222">
        <f>ROUNDUP(F7*R$5,0)</f>
        <v>5421</v>
      </c>
      <c r="K7" s="60"/>
      <c r="L7" s="85">
        <f>ROUNDUP(F7*R$6,0)</f>
        <v>1076</v>
      </c>
      <c r="M7" s="60"/>
      <c r="N7" s="85">
        <f>ROUNDUP(F7*R$7,0)</f>
        <v>1553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12042.91</v>
      </c>
      <c r="G9" s="60"/>
      <c r="H9" s="85">
        <v>0</v>
      </c>
      <c r="I9" s="60"/>
      <c r="J9" s="222">
        <v>0</v>
      </c>
      <c r="K9" s="60"/>
      <c r="L9" s="85">
        <f>ROUNDUP(F9,0)</f>
        <v>12043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1668.82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4333.7214608080149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6002.5414608080146</v>
      </c>
      <c r="G13" s="60"/>
      <c r="H13" s="85">
        <f>ROUNDUP(F13*R$4,0)</f>
        <v>3158</v>
      </c>
      <c r="I13" s="60"/>
      <c r="J13" s="222">
        <f>ROUNDUP(F13*R$5,0)</f>
        <v>1917</v>
      </c>
      <c r="K13" s="60"/>
      <c r="L13" s="85">
        <f>ROUNDUP(F13*R$6,0)</f>
        <v>381</v>
      </c>
      <c r="M13" s="60"/>
      <c r="N13" s="85">
        <f>ROUNDUP(F13*R$7,0)</f>
        <v>549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3404.52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7097.1819450874855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10501.701945087485</v>
      </c>
      <c r="G17" s="60"/>
      <c r="H17" s="85">
        <f>ROUNDUP(F17*R$4,0)</f>
        <v>5525</v>
      </c>
      <c r="I17" s="60"/>
      <c r="J17" s="222">
        <f>ROUNDUP(F17*R$5,0)</f>
        <v>3353</v>
      </c>
      <c r="K17" s="60"/>
      <c r="L17" s="85">
        <f>ROUNDUP(F17*R$6,0)</f>
        <v>665</v>
      </c>
      <c r="M17" s="60"/>
      <c r="N17" s="85">
        <f>ROUNDUP(F17*R$7,0)</f>
        <v>960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67454.27739542241</v>
      </c>
      <c r="G19" s="60"/>
      <c r="H19" s="85">
        <f>ROUNDUP(F19*R$4,0)</f>
        <v>35487</v>
      </c>
      <c r="I19" s="60"/>
      <c r="J19" s="222">
        <f>ROUNDUP(F19*R$5,0)</f>
        <v>21532</v>
      </c>
      <c r="K19" s="60"/>
      <c r="L19" s="85">
        <f>ROUNDUP(F19*R$6,0)</f>
        <v>4272</v>
      </c>
      <c r="M19" s="60"/>
      <c r="N19" s="85">
        <f>ROUNDUP(F19*R$7,0)</f>
        <v>6165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3271.29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5802.4624408517575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9073.7524408517565</v>
      </c>
      <c r="G23" s="60"/>
      <c r="H23" s="85">
        <f>ROUNDUP(F23*R$4,0)</f>
        <v>4774</v>
      </c>
      <c r="I23" s="60"/>
      <c r="J23" s="222">
        <f>ROUNDUP(F23*R$5,0)</f>
        <v>2897</v>
      </c>
      <c r="K23" s="60"/>
      <c r="L23" s="85">
        <f>ROUNDUP(F23*R$6,0)</f>
        <v>575</v>
      </c>
      <c r="M23" s="60"/>
      <c r="N23" s="85">
        <f>ROUNDUP(F23*R$7,0)</f>
        <v>830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17008.29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1890.7470231564703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18899.03702315647</v>
      </c>
      <c r="G27" s="60"/>
      <c r="H27" s="85">
        <f>ROUNDUP(F27*R$4,0)</f>
        <v>9943</v>
      </c>
      <c r="I27" s="60"/>
      <c r="J27" s="222">
        <f>ROUNDUP(F27*R$5,0)</f>
        <v>6033</v>
      </c>
      <c r="K27" s="60"/>
      <c r="L27" s="85">
        <f>ROUNDUP(F27*R$6,0)</f>
        <v>1197</v>
      </c>
      <c r="M27" s="60"/>
      <c r="N27" s="85">
        <f>ROUNDUP(F27*R$7,0)</f>
        <v>1728</v>
      </c>
    </row>
    <row r="28" spans="2:22" x14ac:dyDescent="0.25">
      <c r="B28" t="s">
        <v>25</v>
      </c>
      <c r="F28" s="85">
        <f>'Allocation Charges'!L13</f>
        <v>13871.306233449333</v>
      </c>
      <c r="G28" s="60"/>
      <c r="H28" s="85">
        <f>ROUNDUP(F28*R$4,0)</f>
        <v>7298</v>
      </c>
      <c r="I28" s="60"/>
      <c r="J28" s="222">
        <f>ROUNDUP(F28*R$5,0)</f>
        <v>4428</v>
      </c>
      <c r="K28" s="60"/>
      <c r="L28" s="85">
        <f>ROUNDUP(F28*R$6,0)</f>
        <v>879</v>
      </c>
      <c r="M28" s="60"/>
      <c r="N28" s="85">
        <f>ROUNDUP(F28*R$7,0)</f>
        <v>1268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64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108.58675345573438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172.58675345573437</v>
      </c>
      <c r="G32" s="60"/>
      <c r="H32" s="85">
        <f>ROUNDUP(F32*R$4,0)</f>
        <v>91</v>
      </c>
      <c r="I32" s="60"/>
      <c r="J32" s="222">
        <f>ROUNDUP(F32*R$5,0)</f>
        <v>56</v>
      </c>
      <c r="K32" s="60"/>
      <c r="L32" s="85">
        <f>ROUNDUP(F32*R$6,0)</f>
        <v>11</v>
      </c>
      <c r="M32" s="60"/>
      <c r="N32" s="85">
        <f>ROUNDUP(F32*R$7,0)</f>
        <v>16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25615.59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13048.289473240389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38663.879473240391</v>
      </c>
      <c r="G36" s="60"/>
      <c r="H36" s="85">
        <f>ROUNDUP(F36*R$4,0)</f>
        <v>20341</v>
      </c>
      <c r="I36" s="60"/>
      <c r="J36" s="222">
        <f>ROUNDUP(F36*R$5,0)</f>
        <v>12342</v>
      </c>
      <c r="K36" s="60"/>
      <c r="L36" s="85">
        <f>ROUNDUP(F36*R$6,0)</f>
        <v>2449</v>
      </c>
      <c r="M36" s="60"/>
      <c r="N36" s="85">
        <f>ROUNDUP(F36*R$7,0)</f>
        <v>3534</v>
      </c>
    </row>
    <row r="37" spans="1:17" x14ac:dyDescent="0.25">
      <c r="B37" t="s">
        <v>194</v>
      </c>
      <c r="F37" s="85">
        <f>'Allocation Charges'!L16</f>
        <v>2276.0100000000002</v>
      </c>
      <c r="G37" s="60"/>
      <c r="H37" s="85">
        <f>ROUNDUP(F37*R$4,0)</f>
        <v>1198</v>
      </c>
      <c r="I37" s="60"/>
      <c r="J37" s="222">
        <f>ROUNDUP(F37*R$5,0)</f>
        <v>727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2529.4439653875338</v>
      </c>
      <c r="G39" s="60"/>
      <c r="H39" s="85">
        <f>ROUNDUP(F39*R$4,0)</f>
        <v>1331</v>
      </c>
      <c r="I39" s="60"/>
      <c r="J39" s="222">
        <f>ROUNDUP(F39*R$5,0)</f>
        <v>808</v>
      </c>
      <c r="K39" s="60"/>
      <c r="L39" s="85">
        <f>ROUNDUP(F39*R$6,0)</f>
        <v>161</v>
      </c>
      <c r="M39" s="60"/>
      <c r="N39" s="85">
        <f>ROUNDUP(F39*R$7,0)</f>
        <v>232</v>
      </c>
    </row>
    <row r="40" spans="1:17" x14ac:dyDescent="0.25">
      <c r="B40" t="s">
        <v>30</v>
      </c>
      <c r="F40" s="85">
        <f>'Allocation Charges'!L19</f>
        <v>620.2820077243789</v>
      </c>
      <c r="G40" s="60"/>
      <c r="H40" s="85">
        <f>ROUNDUP(F40*R$4,0)</f>
        <v>327</v>
      </c>
      <c r="I40" s="60"/>
      <c r="J40" s="222">
        <f>ROUNDUP(F40*R$5,0)</f>
        <v>198</v>
      </c>
      <c r="K40" s="60"/>
      <c r="L40" s="85">
        <f>ROUNDUP(F40*R$6,0)</f>
        <v>40</v>
      </c>
      <c r="M40" s="60"/>
      <c r="N40" s="85">
        <f>ROUNDUP(F40*R$7,0)</f>
        <v>57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268837.86869858357</v>
      </c>
      <c r="G42" s="60"/>
      <c r="H42" s="219">
        <f>SUM(H6:H41)</f>
        <v>135102</v>
      </c>
      <c r="I42" s="60"/>
      <c r="J42" s="219">
        <f>SUM(J6:J41)</f>
        <v>81976</v>
      </c>
      <c r="K42" s="60"/>
      <c r="L42" s="219">
        <f>SUM(L6:L41)</f>
        <v>28311</v>
      </c>
      <c r="M42" s="60"/>
      <c r="N42" s="219">
        <f>SUM(N6:N41)</f>
        <v>23476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13291.70806268637</v>
      </c>
      <c r="G46" s="8"/>
      <c r="H46" s="85">
        <f t="shared" ref="H46:H51" si="0">ROUNDUP(F46*R$4,0)</f>
        <v>6993</v>
      </c>
      <c r="I46" s="8"/>
      <c r="J46" s="222">
        <f t="shared" ref="J46:J51" si="1">ROUNDUP(F46*R$5,0)</f>
        <v>4243</v>
      </c>
      <c r="K46" s="8"/>
      <c r="L46" s="85">
        <f t="shared" ref="L46:L51" si="2">ROUNDUP(F46*R$6,0)</f>
        <v>842</v>
      </c>
      <c r="M46" s="8"/>
      <c r="N46" s="85">
        <f t="shared" ref="N46:N51" si="3">ROUNDUP(F46*R$7,0)</f>
        <v>1215</v>
      </c>
    </row>
    <row r="47" spans="1:17" x14ac:dyDescent="0.25">
      <c r="B47" t="s">
        <v>101</v>
      </c>
      <c r="F47" s="85">
        <f>'Allocation Charges'!L28</f>
        <v>3850.5207495255654</v>
      </c>
      <c r="G47" s="8"/>
      <c r="H47" s="85">
        <f t="shared" si="0"/>
        <v>2026</v>
      </c>
      <c r="I47" s="8"/>
      <c r="J47" s="222">
        <f t="shared" si="1"/>
        <v>1230</v>
      </c>
      <c r="K47" s="8"/>
      <c r="L47" s="85">
        <f t="shared" si="2"/>
        <v>244</v>
      </c>
      <c r="M47" s="8"/>
      <c r="N47" s="85">
        <f t="shared" si="3"/>
        <v>352</v>
      </c>
    </row>
    <row r="48" spans="1:17" x14ac:dyDescent="0.25">
      <c r="B48" t="s">
        <v>102</v>
      </c>
      <c r="F48" s="85">
        <f>'Allocation Charges'!L29</f>
        <v>6161.5226389453856</v>
      </c>
      <c r="G48" s="8"/>
      <c r="H48" s="85">
        <f t="shared" si="0"/>
        <v>3242</v>
      </c>
      <c r="I48" s="8"/>
      <c r="J48" s="222">
        <f t="shared" si="1"/>
        <v>1967</v>
      </c>
      <c r="K48" s="8"/>
      <c r="L48" s="85">
        <f t="shared" si="2"/>
        <v>391</v>
      </c>
      <c r="M48" s="8"/>
      <c r="N48" s="85">
        <f t="shared" si="3"/>
        <v>564</v>
      </c>
    </row>
    <row r="49" spans="1:14" x14ac:dyDescent="0.25">
      <c r="B49" t="s">
        <v>103</v>
      </c>
      <c r="F49" s="85">
        <f>'Allocation Charges'!L30</f>
        <v>3722.2849644921266</v>
      </c>
      <c r="G49" s="8"/>
      <c r="H49" s="85">
        <f t="shared" si="0"/>
        <v>1959</v>
      </c>
      <c r="I49" s="8"/>
      <c r="J49" s="222">
        <f t="shared" si="1"/>
        <v>1189</v>
      </c>
      <c r="K49" s="8"/>
      <c r="L49" s="85">
        <f t="shared" si="2"/>
        <v>236</v>
      </c>
      <c r="M49" s="8"/>
      <c r="N49" s="85">
        <f t="shared" si="3"/>
        <v>341</v>
      </c>
    </row>
    <row r="50" spans="1:14" x14ac:dyDescent="0.25">
      <c r="B50" t="s">
        <v>104</v>
      </c>
      <c r="F50" s="85">
        <f>'Allocation Charges'!L31</f>
        <v>3571.9871089153007</v>
      </c>
      <c r="G50" s="8"/>
      <c r="H50" s="85">
        <f t="shared" si="0"/>
        <v>1880</v>
      </c>
      <c r="I50" s="8"/>
      <c r="J50" s="222">
        <f t="shared" si="1"/>
        <v>1141</v>
      </c>
      <c r="K50" s="8"/>
      <c r="L50" s="85">
        <f t="shared" si="2"/>
        <v>227</v>
      </c>
      <c r="M50" s="8"/>
      <c r="N50" s="85">
        <f t="shared" si="3"/>
        <v>327</v>
      </c>
    </row>
    <row r="51" spans="1:14" x14ac:dyDescent="0.25">
      <c r="B51" t="s">
        <v>105</v>
      </c>
      <c r="F51" s="85">
        <f>'Allocation Charges'!L32</f>
        <v>12306.49872498323</v>
      </c>
      <c r="G51" s="8"/>
      <c r="H51" s="85">
        <f t="shared" si="0"/>
        <v>6475</v>
      </c>
      <c r="I51" s="8"/>
      <c r="J51" s="222">
        <f t="shared" si="1"/>
        <v>3929</v>
      </c>
      <c r="K51" s="8"/>
      <c r="L51" s="85">
        <f t="shared" si="2"/>
        <v>780</v>
      </c>
      <c r="M51" s="8"/>
      <c r="N51" s="85">
        <f t="shared" si="3"/>
        <v>1125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42904.522249547983</v>
      </c>
      <c r="G53" s="8"/>
      <c r="H53" s="219">
        <f>SUM(H46:H51)</f>
        <v>22575</v>
      </c>
      <c r="I53" s="8"/>
      <c r="J53" s="220">
        <f>SUM(J46:J51)</f>
        <v>13699</v>
      </c>
      <c r="K53" s="8"/>
      <c r="L53" s="219">
        <f>SUM(L46:L51)</f>
        <v>2720</v>
      </c>
      <c r="M53" s="8"/>
      <c r="N53" s="219">
        <f>SUM(N46:N51)</f>
        <v>3924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11600</v>
      </c>
      <c r="G57" s="8"/>
      <c r="H57" s="85">
        <v>0</v>
      </c>
      <c r="I57" s="8"/>
      <c r="J57" s="222">
        <f>ROUNDUP('Commodity OK'!F25+'Commodity OK'!F26+'Commodity OK'!F27,0)</f>
        <v>11600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98472</v>
      </c>
      <c r="G58" s="120"/>
      <c r="H58" s="85">
        <f>ROUNDUP('Commodity OK'!Q6-H59,0)</f>
        <v>45425</v>
      </c>
      <c r="I58" s="120"/>
      <c r="J58" s="222">
        <f>ROUNDUP('Commodity OK'!Q8-J59-J57,0)</f>
        <v>15184</v>
      </c>
      <c r="K58" s="120"/>
      <c r="L58" s="222">
        <f>ROUNDUP('Commodity OK'!Q7-L59,0)</f>
        <v>10234</v>
      </c>
      <c r="M58" s="120"/>
      <c r="N58" s="222">
        <f>ROUNDUP('Commodity OK'!Q9-N59-N60,0)</f>
        <v>27629</v>
      </c>
    </row>
    <row r="59" spans="1:14" x14ac:dyDescent="0.25">
      <c r="A59" s="16"/>
      <c r="B59" t="s">
        <v>108</v>
      </c>
      <c r="F59" s="85">
        <f>SUM(H59:N59)</f>
        <v>9266</v>
      </c>
      <c r="G59" s="120"/>
      <c r="H59" s="85">
        <f>ROUNDUP(('Commodity OK'!F44-'Commodity OK'!F41)*'Commodity OK'!O6,0)</f>
        <v>3822</v>
      </c>
      <c r="I59" s="120"/>
      <c r="J59" s="222">
        <f>ROUNDUP(('Commodity OK'!F44-'Commodity OK'!F41)*'Commodity OK'!O8,0)</f>
        <v>2254</v>
      </c>
      <c r="K59" s="120"/>
      <c r="L59" s="222">
        <f>ROUNDUP(('Commodity OK'!F44-'Commodity OK'!F41)*'Commodity OK'!O7,0)</f>
        <v>862</v>
      </c>
      <c r="M59" s="120"/>
      <c r="N59" s="222">
        <f>ROUNDUP(('Commodity OK'!F44-'Commodity OK'!F41)*'Commodity OK'!O9,0)</f>
        <v>2328</v>
      </c>
    </row>
    <row r="60" spans="1:14" x14ac:dyDescent="0.25">
      <c r="A60" s="16"/>
      <c r="B60" t="s">
        <v>113</v>
      </c>
      <c r="F60" s="85">
        <f>SUM(H60:N60)</f>
        <v>40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OK'!F41,0)</f>
        <v>40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119378</v>
      </c>
      <c r="G62" s="221"/>
      <c r="H62" s="219">
        <f>SUM(H57:H60)</f>
        <v>49247</v>
      </c>
      <c r="I62" s="221"/>
      <c r="J62" s="219">
        <f>SUM(J57:J60)</f>
        <v>29038</v>
      </c>
      <c r="K62" s="221"/>
      <c r="L62" s="219">
        <f>SUM(L57:L60)</f>
        <v>11096</v>
      </c>
      <c r="M62" s="221"/>
      <c r="N62" s="220">
        <f>SUM(N57:N60)</f>
        <v>29997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431120.39094813156</v>
      </c>
      <c r="G66" s="120"/>
      <c r="H66" s="219">
        <f>H53+H42+H62</f>
        <v>206924</v>
      </c>
      <c r="I66" s="120"/>
      <c r="J66" s="220">
        <f>J53+J42+J62</f>
        <v>124713</v>
      </c>
      <c r="K66" s="120"/>
      <c r="L66" s="220">
        <f>L53+L42+L62</f>
        <v>42127</v>
      </c>
      <c r="M66" s="120"/>
      <c r="N66" s="220">
        <f>N53+N42+N62</f>
        <v>57397</v>
      </c>
    </row>
    <row r="68" spans="4:14" x14ac:dyDescent="0.25">
      <c r="F68" s="6">
        <f>SUM(H66:N66)</f>
        <v>431161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zoomScaleNormal="100" workbookViewId="0">
      <selection activeCell="J20" sqref="J20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276</v>
      </c>
      <c r="G2" s="97"/>
      <c r="H2" s="97" t="s">
        <v>277</v>
      </c>
      <c r="I2" s="99"/>
      <c r="J2" s="54"/>
    </row>
    <row r="3" spans="2:21" x14ac:dyDescent="0.25">
      <c r="M3" s="101" t="s">
        <v>278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275</v>
      </c>
      <c r="N4" s="19"/>
      <c r="O4" s="19" t="s">
        <v>78</v>
      </c>
      <c r="P4" s="19"/>
      <c r="Q4" s="19" t="s">
        <v>79</v>
      </c>
      <c r="R4" s="19"/>
      <c r="S4" s="176" t="s">
        <v>272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262</v>
      </c>
      <c r="D6" s="88">
        <v>392</v>
      </c>
      <c r="E6" s="27"/>
      <c r="F6" s="214">
        <f>74.48+1849.46</f>
        <v>1923.94</v>
      </c>
      <c r="H6" s="6">
        <f t="shared" ref="H6:H17" si="0">F6/D6</f>
        <v>4.9080102040816325</v>
      </c>
      <c r="K6" t="s">
        <v>33</v>
      </c>
      <c r="M6" s="132">
        <v>117526</v>
      </c>
      <c r="O6" s="25">
        <f>+M6/$M$11</f>
        <v>0.4125311523746007</v>
      </c>
      <c r="Q6" s="6">
        <f>O6*F46</f>
        <v>49246.999522271755</v>
      </c>
      <c r="S6" s="132">
        <v>99506</v>
      </c>
      <c r="U6" s="110" t="s">
        <v>152</v>
      </c>
    </row>
    <row r="7" spans="2:21" x14ac:dyDescent="0.25">
      <c r="C7" s="127" t="s">
        <v>141</v>
      </c>
      <c r="D7" s="88">
        <f>3613+241</f>
        <v>3854</v>
      </c>
      <c r="E7" s="27"/>
      <c r="F7" s="214">
        <f>2885.6+1997</f>
        <v>4882.6000000000004</v>
      </c>
      <c r="H7" s="6">
        <f t="shared" si="0"/>
        <v>1.2668915412558381</v>
      </c>
      <c r="K7" t="s">
        <v>81</v>
      </c>
      <c r="M7" s="132">
        <v>26480</v>
      </c>
      <c r="O7" s="25">
        <f t="shared" ref="O7:O9" si="1">+M7/$M$11</f>
        <v>9.2948155428410964E-2</v>
      </c>
      <c r="Q7" s="6">
        <f>O7*F46</f>
        <v>11095.932366878445</v>
      </c>
      <c r="S7" s="132">
        <v>45582</v>
      </c>
    </row>
    <row r="8" spans="2:21" x14ac:dyDescent="0.25">
      <c r="C8" s="127" t="s">
        <v>164</v>
      </c>
      <c r="D8" s="88">
        <f>2359+428+1906+991</f>
        <v>5684</v>
      </c>
      <c r="E8" s="27"/>
      <c r="F8" s="214">
        <f>1347.7+551.69+1342.75+522.42</f>
        <v>3764.5600000000004</v>
      </c>
      <c r="H8" s="6">
        <f t="shared" si="0"/>
        <v>0.66230823363828295</v>
      </c>
      <c r="K8" t="s">
        <v>82</v>
      </c>
      <c r="M8" s="132">
        <v>69298</v>
      </c>
      <c r="O8" s="25">
        <f t="shared" si="1"/>
        <v>0.24324476113587701</v>
      </c>
      <c r="Q8" s="6">
        <f>O8*F46</f>
        <v>29037.987959212329</v>
      </c>
      <c r="S8" s="132">
        <v>89982</v>
      </c>
    </row>
    <row r="9" spans="2:21" x14ac:dyDescent="0.25">
      <c r="C9" s="127" t="s">
        <v>63</v>
      </c>
      <c r="D9" s="88">
        <v>9040</v>
      </c>
      <c r="E9" s="27"/>
      <c r="F9" s="214">
        <v>20012.169999999998</v>
      </c>
      <c r="H9" s="6">
        <f t="shared" si="0"/>
        <v>2.2137356194690265</v>
      </c>
      <c r="K9" t="s">
        <v>109</v>
      </c>
      <c r="M9" s="132">
        <v>71586</v>
      </c>
      <c r="O9" s="25">
        <f t="shared" si="1"/>
        <v>0.25127593106111129</v>
      </c>
      <c r="Q9" s="6">
        <f>O9*F46</f>
        <v>29996.730151637476</v>
      </c>
      <c r="S9" s="132">
        <v>94884</v>
      </c>
    </row>
    <row r="10" spans="2:21" x14ac:dyDescent="0.25">
      <c r="C10" s="127" t="s">
        <v>64</v>
      </c>
      <c r="D10" s="88">
        <v>209</v>
      </c>
      <c r="E10" s="27"/>
      <c r="F10" s="214">
        <v>2937.59</v>
      </c>
      <c r="H10" s="6">
        <f t="shared" si="0"/>
        <v>14.055454545454547</v>
      </c>
    </row>
    <row r="11" spans="2:21" x14ac:dyDescent="0.25">
      <c r="C11" s="127" t="s">
        <v>65</v>
      </c>
      <c r="D11" s="88">
        <v>582</v>
      </c>
      <c r="E11" s="27"/>
      <c r="F11" s="214">
        <v>1077.92</v>
      </c>
      <c r="H11" s="6">
        <f t="shared" si="0"/>
        <v>1.8520962199312716</v>
      </c>
      <c r="M11" s="28">
        <f>SUM(M6:M10)</f>
        <v>284890</v>
      </c>
      <c r="N11" s="32"/>
      <c r="O11" s="33">
        <f>SUM(O6:O9)</f>
        <v>1</v>
      </c>
      <c r="P11" s="32"/>
      <c r="Q11" s="30">
        <f>SUM(Q6:Q9)</f>
        <v>119377.65000000001</v>
      </c>
      <c r="R11" s="32"/>
      <c r="S11" s="28">
        <f>SUM(S6:S10)</f>
        <v>329954</v>
      </c>
    </row>
    <row r="12" spans="2:21" x14ac:dyDescent="0.25">
      <c r="C12" s="127" t="s">
        <v>66</v>
      </c>
      <c r="D12" s="88">
        <v>140</v>
      </c>
      <c r="E12" s="27"/>
      <c r="F12" s="214">
        <v>700.12</v>
      </c>
      <c r="H12" s="6">
        <f t="shared" si="0"/>
        <v>5.0008571428571429</v>
      </c>
      <c r="K12" s="217"/>
    </row>
    <row r="13" spans="2:21" x14ac:dyDescent="0.25">
      <c r="C13" s="127" t="s">
        <v>67</v>
      </c>
      <c r="D13" s="88">
        <v>921</v>
      </c>
      <c r="E13" s="27"/>
      <c r="F13" s="214">
        <v>777.37</v>
      </c>
      <c r="H13" s="6">
        <f t="shared" si="0"/>
        <v>0.84404994571118352</v>
      </c>
      <c r="M13" t="s">
        <v>196</v>
      </c>
      <c r="Q13" s="6"/>
    </row>
    <row r="14" spans="2:21" x14ac:dyDescent="0.25">
      <c r="C14" s="127" t="s">
        <v>68</v>
      </c>
      <c r="D14" s="88">
        <v>15</v>
      </c>
      <c r="E14" s="27"/>
      <c r="F14" s="214">
        <v>153.22</v>
      </c>
      <c r="H14" s="6">
        <f t="shared" si="0"/>
        <v>10.214666666666666</v>
      </c>
      <c r="O14" t="s">
        <v>205</v>
      </c>
    </row>
    <row r="15" spans="2:21" x14ac:dyDescent="0.25">
      <c r="C15" s="127" t="s">
        <v>69</v>
      </c>
      <c r="D15" s="88">
        <v>1632</v>
      </c>
      <c r="E15" s="27"/>
      <c r="F15" s="214">
        <v>2286.85</v>
      </c>
      <c r="H15" s="6">
        <f t="shared" si="0"/>
        <v>1.4012561274509803</v>
      </c>
      <c r="O15" s="7" t="s">
        <v>201</v>
      </c>
      <c r="Q15" s="134">
        <v>87212.41</v>
      </c>
      <c r="S15" t="s">
        <v>212</v>
      </c>
    </row>
    <row r="16" spans="2:21" x14ac:dyDescent="0.25">
      <c r="C16" s="127" t="s">
        <v>70</v>
      </c>
      <c r="D16" s="88">
        <v>18</v>
      </c>
      <c r="E16" s="27"/>
      <c r="F16" s="214">
        <v>145.11000000000001</v>
      </c>
      <c r="H16" s="6">
        <f t="shared" si="0"/>
        <v>8.0616666666666674</v>
      </c>
      <c r="O16" s="7" t="s">
        <v>203</v>
      </c>
      <c r="Q16" s="102">
        <v>6249.26</v>
      </c>
      <c r="S16" t="s">
        <v>212</v>
      </c>
    </row>
    <row r="17" spans="3:24" x14ac:dyDescent="0.25">
      <c r="C17" s="127" t="s">
        <v>273</v>
      </c>
      <c r="D17" s="88">
        <v>76</v>
      </c>
      <c r="E17" s="27"/>
      <c r="F17" s="214">
        <v>582.97</v>
      </c>
      <c r="H17" s="6">
        <f t="shared" si="0"/>
        <v>7.6706578947368422</v>
      </c>
      <c r="J17" s="6"/>
      <c r="O17" s="7" t="s">
        <v>204</v>
      </c>
      <c r="Q17" s="102">
        <v>2554.1999999999998</v>
      </c>
      <c r="S17" t="s">
        <v>212</v>
      </c>
    </row>
    <row r="18" spans="3:24" ht="15.75" thickBot="1" x14ac:dyDescent="0.3">
      <c r="C18" s="127" t="s">
        <v>175</v>
      </c>
      <c r="D18" s="88">
        <v>85</v>
      </c>
      <c r="E18" s="27"/>
      <c r="F18" s="214">
        <f>494.7+1.59</f>
        <v>496.28999999999996</v>
      </c>
      <c r="H18" s="6">
        <f>F18/D18</f>
        <v>5.838705882352941</v>
      </c>
      <c r="I18" s="20"/>
      <c r="J18" s="6"/>
      <c r="M18" s="6"/>
      <c r="O18" s="6" t="s">
        <v>145</v>
      </c>
      <c r="Q18" s="104">
        <f>SUM(Q15:Q17)</f>
        <v>96015.87</v>
      </c>
      <c r="S18" t="s">
        <v>213</v>
      </c>
    </row>
    <row r="19" spans="3:24" ht="15.75" thickTop="1" x14ac:dyDescent="0.25">
      <c r="C19" s="16" t="s">
        <v>162</v>
      </c>
      <c r="D19" s="28">
        <f>SUM(D6:D18)</f>
        <v>22648</v>
      </c>
      <c r="E19" s="31"/>
      <c r="F19" s="30">
        <f>SUM(F6:F18)</f>
        <v>39740.710000000006</v>
      </c>
      <c r="G19" s="20"/>
      <c r="H19" s="6">
        <f>F19/D19</f>
        <v>1.7547116743200286</v>
      </c>
      <c r="K19" s="6"/>
      <c r="M19" s="6"/>
      <c r="O19" s="6" t="s">
        <v>202</v>
      </c>
      <c r="Q19" s="6">
        <f>+F43</f>
        <v>4529.6000000000004</v>
      </c>
      <c r="S19" t="s">
        <v>213</v>
      </c>
      <c r="W19" s="6"/>
    </row>
    <row r="20" spans="3:24" x14ac:dyDescent="0.25">
      <c r="O20" s="6" t="s">
        <v>50</v>
      </c>
      <c r="Q20" s="173">
        <f>+Q18+Q19</f>
        <v>100545.47</v>
      </c>
      <c r="S20" t="s">
        <v>213</v>
      </c>
    </row>
    <row r="21" spans="3:24" x14ac:dyDescent="0.25">
      <c r="I21" s="29"/>
      <c r="Q21" s="6">
        <f>+Q20-Q11</f>
        <v>-18832.180000000008</v>
      </c>
      <c r="S21" t="s">
        <v>213</v>
      </c>
    </row>
    <row r="22" spans="3:24" x14ac:dyDescent="0.25">
      <c r="C22" s="16" t="s">
        <v>76</v>
      </c>
      <c r="D22" s="26" t="s">
        <v>74</v>
      </c>
      <c r="E22" s="26"/>
      <c r="F22" s="29" t="s">
        <v>72</v>
      </c>
      <c r="G22" s="29"/>
      <c r="H22" s="29" t="s">
        <v>73</v>
      </c>
      <c r="Q22" s="6"/>
      <c r="X22" s="6"/>
    </row>
    <row r="23" spans="3:24" x14ac:dyDescent="0.25">
      <c r="Q23" s="6"/>
    </row>
    <row r="24" spans="3:24" x14ac:dyDescent="0.25">
      <c r="C24" s="127" t="s">
        <v>206</v>
      </c>
      <c r="D24" s="88">
        <v>151</v>
      </c>
      <c r="F24" s="214">
        <v>445.28</v>
      </c>
      <c r="H24" s="6">
        <f t="shared" ref="H24:H27" si="2">F24/D24</f>
        <v>2.9488741721854304</v>
      </c>
      <c r="J24" t="s">
        <v>139</v>
      </c>
      <c r="Q24" s="6"/>
    </row>
    <row r="25" spans="3:24" x14ac:dyDescent="0.25">
      <c r="C25" t="s">
        <v>160</v>
      </c>
      <c r="D25" s="88"/>
      <c r="F25" s="63"/>
      <c r="H25" t="e">
        <f>F25/D25</f>
        <v>#DIV/0!</v>
      </c>
      <c r="Q25" s="6"/>
    </row>
    <row r="26" spans="3:24" x14ac:dyDescent="0.25">
      <c r="C26" t="s">
        <v>268</v>
      </c>
      <c r="D26" s="88">
        <v>570</v>
      </c>
      <c r="F26" s="63">
        <v>11600</v>
      </c>
      <c r="H26" s="6">
        <f t="shared" si="2"/>
        <v>20.350877192982455</v>
      </c>
      <c r="J26" t="s">
        <v>138</v>
      </c>
      <c r="S26" s="6"/>
    </row>
    <row r="27" spans="3:24" x14ac:dyDescent="0.25">
      <c r="C27" t="s">
        <v>237</v>
      </c>
      <c r="D27" s="88"/>
      <c r="F27" s="63"/>
      <c r="H27" s="6" t="e">
        <f t="shared" si="2"/>
        <v>#DIV/0!</v>
      </c>
      <c r="S27" s="6"/>
    </row>
    <row r="28" spans="3:24" x14ac:dyDescent="0.25">
      <c r="C28" s="127" t="s">
        <v>258</v>
      </c>
      <c r="D28" s="88">
        <v>9572</v>
      </c>
      <c r="F28" s="214">
        <v>20388.36</v>
      </c>
      <c r="H28" s="6">
        <f>F30/D30</f>
        <v>2.688497139885595</v>
      </c>
      <c r="S28" s="6"/>
    </row>
    <row r="29" spans="3:24" x14ac:dyDescent="0.25">
      <c r="C29" s="127" t="s">
        <v>256</v>
      </c>
      <c r="D29" s="88">
        <v>3120</v>
      </c>
      <c r="F29" s="214">
        <v>6416.17</v>
      </c>
      <c r="H29" s="6">
        <f>F29/D29</f>
        <v>2.0564647435897436</v>
      </c>
      <c r="S29" s="6"/>
    </row>
    <row r="30" spans="3:24" x14ac:dyDescent="0.25">
      <c r="C30" s="127" t="s">
        <v>257</v>
      </c>
      <c r="D30" s="88">
        <v>1923</v>
      </c>
      <c r="F30" s="214">
        <v>5169.9799999999996</v>
      </c>
      <c r="H30" s="6">
        <f>F31/D31</f>
        <v>1</v>
      </c>
      <c r="O30" s="6"/>
      <c r="Q30" s="6"/>
    </row>
    <row r="31" spans="3:24" x14ac:dyDescent="0.25">
      <c r="C31" s="127" t="s">
        <v>174</v>
      </c>
      <c r="D31" s="88">
        <v>1978.47</v>
      </c>
      <c r="F31" s="214">
        <v>1978.47</v>
      </c>
      <c r="H31" s="6">
        <f>F28/D28</f>
        <v>2.13</v>
      </c>
    </row>
    <row r="32" spans="3:24" x14ac:dyDescent="0.25">
      <c r="C32" s="127" t="s">
        <v>261</v>
      </c>
      <c r="D32" s="88"/>
      <c r="F32" s="214"/>
      <c r="H32" s="6" t="e">
        <f>F32/D32</f>
        <v>#DIV/0!</v>
      </c>
    </row>
    <row r="33" spans="3:22" x14ac:dyDescent="0.25">
      <c r="C33" s="127" t="s">
        <v>245</v>
      </c>
      <c r="D33" s="88">
        <v>24</v>
      </c>
      <c r="F33" s="214">
        <v>270.25</v>
      </c>
      <c r="H33" s="6">
        <f>F33/D33</f>
        <v>11.260416666666666</v>
      </c>
    </row>
    <row r="34" spans="3:22" x14ac:dyDescent="0.25">
      <c r="C34" s="127" t="s">
        <v>110</v>
      </c>
      <c r="D34" s="88">
        <v>4061</v>
      </c>
      <c r="F34" s="214">
        <v>17868.400000000001</v>
      </c>
      <c r="H34" s="6">
        <f t="shared" ref="H34:H36" si="3">F34/D34</f>
        <v>4.4000000000000004</v>
      </c>
    </row>
    <row r="35" spans="3:22" x14ac:dyDescent="0.25">
      <c r="C35" s="127" t="s">
        <v>244</v>
      </c>
      <c r="D35" s="88"/>
      <c r="F35" s="214"/>
      <c r="H35" s="6" t="e">
        <f t="shared" si="3"/>
        <v>#DIV/0!</v>
      </c>
      <c r="J35" s="6"/>
    </row>
    <row r="36" spans="3:22" x14ac:dyDescent="0.25">
      <c r="C36" t="s">
        <v>189</v>
      </c>
      <c r="D36" s="88"/>
      <c r="F36" s="214">
        <v>6197.25</v>
      </c>
      <c r="H36" s="6" t="e">
        <f t="shared" si="3"/>
        <v>#DIV/0!</v>
      </c>
      <c r="J36" s="6"/>
      <c r="K36" s="74" t="s">
        <v>131</v>
      </c>
      <c r="O36" s="55"/>
      <c r="Q36" s="55"/>
    </row>
    <row r="37" spans="3:22" x14ac:dyDescent="0.25">
      <c r="D37" s="28">
        <f>SUM(D24:D36)</f>
        <v>21399.47</v>
      </c>
      <c r="E37" s="16"/>
      <c r="F37" s="89">
        <f>SUM(F24:F36)</f>
        <v>70334.16</v>
      </c>
      <c r="H37" s="6">
        <f>F37/D37</f>
        <v>3.2867243908377168</v>
      </c>
      <c r="K37" s="74" t="s">
        <v>132</v>
      </c>
    </row>
    <row r="38" spans="3:22" x14ac:dyDescent="0.25">
      <c r="K38" s="74" t="s">
        <v>133</v>
      </c>
    </row>
    <row r="39" spans="3:22" x14ac:dyDescent="0.25">
      <c r="J39" t="s">
        <v>233</v>
      </c>
      <c r="K39" s="74" t="s">
        <v>136</v>
      </c>
    </row>
    <row r="40" spans="3:22" x14ac:dyDescent="0.25">
      <c r="C40" t="s">
        <v>134</v>
      </c>
      <c r="F40" s="214">
        <v>657</v>
      </c>
      <c r="Q40" s="6"/>
      <c r="S40" s="6"/>
    </row>
    <row r="41" spans="3:22" ht="15.75" thickBot="1" x14ac:dyDescent="0.3">
      <c r="C41" t="s">
        <v>111</v>
      </c>
      <c r="F41" s="214">
        <v>39.54</v>
      </c>
      <c r="J41" s="76" t="s">
        <v>191</v>
      </c>
      <c r="K41" s="74"/>
      <c r="S41" s="54"/>
    </row>
    <row r="42" spans="3:22" ht="15.75" thickBot="1" x14ac:dyDescent="0.3">
      <c r="C42" t="s">
        <v>75</v>
      </c>
      <c r="F42" s="109">
        <f>+D19*0.18</f>
        <v>4076.64</v>
      </c>
      <c r="J42" s="76" t="s">
        <v>193</v>
      </c>
    </row>
    <row r="43" spans="3:22" x14ac:dyDescent="0.25">
      <c r="C43" t="s">
        <v>135</v>
      </c>
      <c r="F43" s="6">
        <f>D19*0.2</f>
        <v>4529.6000000000004</v>
      </c>
      <c r="J43" s="162" t="s">
        <v>162</v>
      </c>
      <c r="K43" s="165" t="s">
        <v>192</v>
      </c>
      <c r="L43" s="163"/>
      <c r="M43" s="164" t="s">
        <v>50</v>
      </c>
    </row>
    <row r="44" spans="3:22" ht="15.75" thickBot="1" x14ac:dyDescent="0.3">
      <c r="F44" s="30">
        <f>SUM(F40:F43)</f>
        <v>9302.7800000000007</v>
      </c>
      <c r="J44" s="160">
        <f>+D19</f>
        <v>22648</v>
      </c>
      <c r="K44" s="147">
        <v>0.18</v>
      </c>
      <c r="L44" s="147"/>
      <c r="M44" s="161">
        <f>+J44*K44</f>
        <v>4076.64</v>
      </c>
      <c r="S44" s="54"/>
      <c r="T44" s="54"/>
      <c r="U44" s="54"/>
      <c r="V44" s="169"/>
    </row>
    <row r="45" spans="3:22" x14ac:dyDescent="0.25">
      <c r="C45" s="102">
        <f>104574.16+6197.25</f>
        <v>110771.41</v>
      </c>
      <c r="D45" s="117" t="s">
        <v>214</v>
      </c>
    </row>
    <row r="46" spans="3:22" x14ac:dyDescent="0.25">
      <c r="C46" s="6">
        <f>+F19+F37+F40+F41</f>
        <v>110771.41</v>
      </c>
      <c r="D46" s="15" t="s">
        <v>39</v>
      </c>
      <c r="E46" s="16"/>
      <c r="F46" s="173">
        <f>F19+F37+F44</f>
        <v>119377.65000000001</v>
      </c>
    </row>
    <row r="47" spans="3:22" x14ac:dyDescent="0.25">
      <c r="C47" s="6">
        <f>+C46-C45</f>
        <v>0</v>
      </c>
      <c r="F47" s="99">
        <f>F46-F43-F42</f>
        <v>110771.41</v>
      </c>
      <c r="H47" s="177">
        <f>F47-F36</f>
        <v>104574.16</v>
      </c>
      <c r="I47" s="177"/>
      <c r="J47" s="178" t="s">
        <v>207</v>
      </c>
    </row>
    <row r="48" spans="3:22" x14ac:dyDescent="0.25">
      <c r="F48"/>
      <c r="G48"/>
    </row>
    <row r="49" spans="4:7" x14ac:dyDescent="0.25">
      <c r="D49" s="168"/>
      <c r="E49" s="54"/>
      <c r="F49" s="54"/>
      <c r="G49" s="169">
        <v>44280</v>
      </c>
    </row>
    <row r="50" spans="4:7" x14ac:dyDescent="0.25">
      <c r="F50"/>
      <c r="G50"/>
    </row>
    <row r="51" spans="4:7" x14ac:dyDescent="0.25">
      <c r="F51"/>
      <c r="G51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30" zoomScaleNormal="100" workbookViewId="0">
      <selection activeCell="L55" sqref="L5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242</v>
      </c>
      <c r="F1" s="6" t="str">
        <f>+'Commodity OK'!H2</f>
        <v>Data Input Oct 24 billing =Oct invoices = Sep Flow  data= Sep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8538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18060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230.45</v>
      </c>
      <c r="G11" s="6"/>
      <c r="J11" s="1"/>
    </row>
    <row r="12" spans="1:16" x14ac:dyDescent="0.25">
      <c r="C12" t="s">
        <v>38</v>
      </c>
      <c r="F12" s="6">
        <f>'Allocation Charges'!J7</f>
        <v>577.64286124824196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809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946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8991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203.93</v>
      </c>
      <c r="G19" s="6"/>
    </row>
    <row r="20" spans="2:7" x14ac:dyDescent="0.25">
      <c r="C20" t="s">
        <v>38</v>
      </c>
      <c r="F20" s="6">
        <f>'Allocation Charges'!J11</f>
        <v>773.41172867952127</v>
      </c>
      <c r="G20" s="6"/>
    </row>
    <row r="21" spans="2:7" x14ac:dyDescent="0.25">
      <c r="D21" s="7" t="s">
        <v>39</v>
      </c>
      <c r="E21" s="36"/>
      <c r="F21" s="224">
        <f>ROUNDUP(F20+F19,0)</f>
        <v>978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305.10000000000002</v>
      </c>
      <c r="G23" s="6"/>
    </row>
    <row r="24" spans="2:7" x14ac:dyDescent="0.25">
      <c r="C24" t="s">
        <v>38</v>
      </c>
      <c r="F24" s="6">
        <f>'Allocation Charges'!J12</f>
        <v>252.01816273375931</v>
      </c>
      <c r="G24" s="6"/>
    </row>
    <row r="25" spans="2:7" x14ac:dyDescent="0.25">
      <c r="D25" s="7" t="s">
        <v>39</v>
      </c>
      <c r="E25" s="36"/>
      <c r="F25" s="224">
        <f>ROUNDUP(F24+F23,0)</f>
        <v>558</v>
      </c>
      <c r="G25" s="6"/>
    </row>
    <row r="26" spans="2:7" x14ac:dyDescent="0.25">
      <c r="B26" t="s">
        <v>25</v>
      </c>
      <c r="F26" s="85">
        <f>ROUNDUP('Allocation Charges'!J13,0)</f>
        <v>1849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37</v>
      </c>
      <c r="G28" s="6"/>
    </row>
    <row r="29" spans="2:7" x14ac:dyDescent="0.25">
      <c r="C29" t="s">
        <v>38</v>
      </c>
      <c r="F29" s="6">
        <f>'Allocation Charges'!J14</f>
        <v>14.473556624964306</v>
      </c>
      <c r="G29" s="6"/>
    </row>
    <row r="30" spans="2:7" x14ac:dyDescent="0.25">
      <c r="D30" s="7" t="s">
        <v>39</v>
      </c>
      <c r="E30" s="36"/>
      <c r="F30" s="224">
        <f>ROUNDUP(F29+F28,0)</f>
        <v>52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683.65</v>
      </c>
      <c r="G32" s="6"/>
    </row>
    <row r="33" spans="1:7" x14ac:dyDescent="0.25">
      <c r="C33" t="s">
        <v>38</v>
      </c>
      <c r="F33" s="6">
        <f>'Allocation Charges'!J15</f>
        <v>1739.209899362703</v>
      </c>
      <c r="G33" s="6"/>
    </row>
    <row r="34" spans="1:7" x14ac:dyDescent="0.25">
      <c r="D34" s="7" t="s">
        <v>39</v>
      </c>
      <c r="E34" s="36"/>
      <c r="F34" s="224">
        <f>ROUNDUP(F33+F32,0)</f>
        <v>2423</v>
      </c>
      <c r="G34" s="6"/>
    </row>
    <row r="35" spans="1:7" x14ac:dyDescent="0.25">
      <c r="B35" t="s">
        <v>194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338</v>
      </c>
      <c r="G37" s="6"/>
    </row>
    <row r="38" spans="1:7" x14ac:dyDescent="0.25">
      <c r="B38" t="s">
        <v>30</v>
      </c>
      <c r="F38" s="85">
        <f>ROUNDUP('Allocation Charges'!J19,0)</f>
        <v>83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43625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266</v>
      </c>
      <c r="G43" s="6"/>
    </row>
    <row r="44" spans="1:7" x14ac:dyDescent="0.25">
      <c r="B44" t="s">
        <v>46</v>
      </c>
      <c r="F44" s="85">
        <f>ROUNDUP('Allocation Charges'!J27,0)</f>
        <v>1772</v>
      </c>
      <c r="G44" s="6"/>
    </row>
    <row r="45" spans="1:7" x14ac:dyDescent="0.25">
      <c r="B45" t="s">
        <v>32</v>
      </c>
      <c r="F45" s="85">
        <f>ROUNDUP('Allocation Charges'!J28,0)</f>
        <v>514</v>
      </c>
      <c r="G45" s="6"/>
    </row>
    <row r="46" spans="1:7" x14ac:dyDescent="0.25">
      <c r="B46" t="s">
        <v>47</v>
      </c>
      <c r="F46" s="85">
        <f>ROUNDUP('Allocation Charges'!J29,0)</f>
        <v>822</v>
      </c>
      <c r="G46" s="6"/>
    </row>
    <row r="47" spans="1:7" x14ac:dyDescent="0.25">
      <c r="B47" t="s">
        <v>48</v>
      </c>
      <c r="F47" s="85">
        <f>ROUNDUP('Allocation Charges'!J30,0)</f>
        <v>497</v>
      </c>
      <c r="G47" s="6"/>
    </row>
    <row r="48" spans="1:7" x14ac:dyDescent="0.25">
      <c r="B48" t="s">
        <v>41</v>
      </c>
      <c r="F48" s="85">
        <f>ROUNDUP('Allocation Charges'!J31,0)</f>
        <v>477</v>
      </c>
      <c r="G48" s="6"/>
    </row>
    <row r="49" spans="1:8" x14ac:dyDescent="0.25">
      <c r="B49" t="s">
        <v>31</v>
      </c>
      <c r="F49" s="85">
        <f>ROUNDUP('Allocation Charges'!J32,0)</f>
        <v>1641</v>
      </c>
      <c r="G49" s="6"/>
    </row>
    <row r="50" spans="1:8" x14ac:dyDescent="0.25">
      <c r="F50" s="6"/>
    </row>
    <row r="51" spans="1:8" x14ac:dyDescent="0.25">
      <c r="F51" s="219">
        <f>SUM(F44:F49)</f>
        <v>5723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239</v>
      </c>
      <c r="F53" s="6">
        <f>ROUNDUP('Commodity TN KY'!I20,0)</f>
        <v>530</v>
      </c>
      <c r="H53" s="106">
        <f>'Commodity TN KY'!E15*'Commodity TN KY'!G20</f>
        <v>154.25689613816263</v>
      </c>
    </row>
    <row r="54" spans="1:8" x14ac:dyDescent="0.25">
      <c r="A54" s="16"/>
      <c r="B54" t="s">
        <v>281</v>
      </c>
      <c r="F54" s="6">
        <f>ROUNDUP('Commodity TN KY'!I27+'Commodity TN KY'!I29,0)</f>
        <v>33947</v>
      </c>
      <c r="H54" s="106">
        <f>+'Commodity TN KY'!E27+'Commodity TN KY'!E29</f>
        <v>8055</v>
      </c>
    </row>
    <row r="55" spans="1:8" x14ac:dyDescent="0.25">
      <c r="A55" s="16"/>
      <c r="B55" t="s">
        <v>240</v>
      </c>
      <c r="F55" s="6">
        <f>ROUNDUP('Commodity TN KY'!I28,0)</f>
        <v>756</v>
      </c>
      <c r="H55" s="106">
        <f>+'Commodity TN KY'!E28</f>
        <v>613</v>
      </c>
    </row>
    <row r="56" spans="1:8" x14ac:dyDescent="0.25">
      <c r="F56" s="218">
        <f>SUM(F53:F55)</f>
        <v>35233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84581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25" zoomScaleNormal="100" workbookViewId="0">
      <selection activeCell="K56" sqref="K56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243</v>
      </c>
      <c r="F1" s="6" t="str">
        <f>+'Commodity OK'!H2</f>
        <v>Data Input Oct 24 billing =Oct invoices = Sep Flow  data= Sep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13870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7455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540.75</v>
      </c>
      <c r="G11" s="6"/>
      <c r="J11" s="1"/>
    </row>
    <row r="12" spans="1:11" x14ac:dyDescent="0.25">
      <c r="C12" t="s">
        <v>38</v>
      </c>
      <c r="F12" s="60">
        <f>'Allocation Charges'!H7</f>
        <v>1237.056273116973</v>
      </c>
      <c r="G12" s="6"/>
      <c r="J12" s="1"/>
    </row>
    <row r="13" spans="1:11" x14ac:dyDescent="0.25">
      <c r="D13" s="7" t="s">
        <v>39</v>
      </c>
      <c r="F13" s="86">
        <f>ROUNDUP(F11+F12,0)</f>
        <v>1778</v>
      </c>
      <c r="G13" s="6"/>
      <c r="J13" s="1"/>
    </row>
    <row r="14" spans="1:11" x14ac:dyDescent="0.25">
      <c r="B14" t="s">
        <v>15</v>
      </c>
      <c r="F14" s="83">
        <f>ROUNDUP('Allocation Charges'!H8,0)</f>
        <v>2026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19255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406.86</v>
      </c>
      <c r="G18" s="6"/>
    </row>
    <row r="19" spans="2:7" x14ac:dyDescent="0.25">
      <c r="C19" t="s">
        <v>38</v>
      </c>
      <c r="F19" s="60">
        <f>'Allocation Charges'!H11</f>
        <v>1656.3068547194928</v>
      </c>
      <c r="G19" s="6"/>
    </row>
    <row r="20" spans="2:7" x14ac:dyDescent="0.25">
      <c r="D20" s="7" t="s">
        <v>39</v>
      </c>
      <c r="F20" s="86">
        <f>ROUNDUP(F18+F19,0)</f>
        <v>2064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5759</v>
      </c>
      <c r="G22" s="6"/>
    </row>
    <row r="23" spans="2:7" x14ac:dyDescent="0.25">
      <c r="C23" t="s">
        <v>38</v>
      </c>
      <c r="F23" s="60">
        <f>'Allocation Charges'!H12</f>
        <v>539.71176667105385</v>
      </c>
      <c r="G23" s="6"/>
    </row>
    <row r="24" spans="2:7" x14ac:dyDescent="0.25">
      <c r="D24" s="7" t="s">
        <v>39</v>
      </c>
      <c r="F24" s="86">
        <f>ROUNDUP(F22+F23,0)</f>
        <v>6299</v>
      </c>
      <c r="G24" s="6"/>
    </row>
    <row r="25" spans="2:7" x14ac:dyDescent="0.25">
      <c r="B25" t="s">
        <v>25</v>
      </c>
      <c r="F25" s="83">
        <f>ROUNDUP('Allocation Charges'!H13,0)</f>
        <v>3960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80.5</v>
      </c>
      <c r="G27" s="6"/>
    </row>
    <row r="28" spans="2:7" x14ac:dyDescent="0.25">
      <c r="C28" t="s">
        <v>38</v>
      </c>
      <c r="F28" s="60">
        <f>'Allocation Charges'!H14</f>
        <v>30.995975573099507</v>
      </c>
      <c r="G28" s="6"/>
    </row>
    <row r="29" spans="2:7" x14ac:dyDescent="0.25">
      <c r="D29" s="7" t="s">
        <v>39</v>
      </c>
      <c r="F29" s="86">
        <f>ROUNDUP(F27+F28,0)</f>
        <v>112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3119.09</v>
      </c>
      <c r="G31" s="6"/>
    </row>
    <row r="32" spans="2:7" x14ac:dyDescent="0.25">
      <c r="C32" t="s">
        <v>38</v>
      </c>
      <c r="F32" s="60">
        <f>'Allocation Charges'!H15</f>
        <v>3724.620627396906</v>
      </c>
      <c r="G32" s="6"/>
    </row>
    <row r="33" spans="1:10" x14ac:dyDescent="0.25">
      <c r="D33" s="7" t="s">
        <v>39</v>
      </c>
      <c r="F33" s="86">
        <f>ROUNDUP(F31+F32,0)</f>
        <v>6844</v>
      </c>
      <c r="G33" s="6"/>
    </row>
    <row r="34" spans="1:10" x14ac:dyDescent="0.25">
      <c r="B34" t="s">
        <v>194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723</v>
      </c>
      <c r="G36" s="6"/>
    </row>
    <row r="37" spans="1:10" x14ac:dyDescent="0.25">
      <c r="B37" t="s">
        <v>30</v>
      </c>
      <c r="F37" s="83">
        <f>ROUNDUP('Allocation Charges'!H19,0)</f>
        <v>178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64564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265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3795</v>
      </c>
      <c r="G44" s="6"/>
    </row>
    <row r="45" spans="1:10" x14ac:dyDescent="0.25">
      <c r="B45" t="s">
        <v>32</v>
      </c>
      <c r="F45" s="79">
        <f>ROUNDUP('Allocation Charges'!H28,0)</f>
        <v>1100</v>
      </c>
      <c r="G45" s="6"/>
    </row>
    <row r="46" spans="1:10" x14ac:dyDescent="0.25">
      <c r="B46" t="s">
        <v>47</v>
      </c>
      <c r="F46" s="79">
        <f>ROUNDUP('Allocation Charges'!H29,0)</f>
        <v>1759</v>
      </c>
      <c r="G46" s="6"/>
    </row>
    <row r="47" spans="1:10" x14ac:dyDescent="0.25">
      <c r="B47" t="s">
        <v>48</v>
      </c>
      <c r="F47" s="79">
        <f>ROUNDUP('Allocation Charges'!H30,0)</f>
        <v>1063</v>
      </c>
      <c r="G47" s="6"/>
      <c r="J47" s="8"/>
    </row>
    <row r="48" spans="1:10" x14ac:dyDescent="0.25">
      <c r="B48" t="s">
        <v>41</v>
      </c>
      <c r="F48" s="79">
        <f>ROUNDUP('Allocation Charges'!H31,0)</f>
        <v>1020</v>
      </c>
      <c r="G48" s="6"/>
      <c r="J48" s="8"/>
    </row>
    <row r="49" spans="1:10" x14ac:dyDescent="0.25">
      <c r="B49" t="s">
        <v>31</v>
      </c>
      <c r="F49" s="79">
        <f>ROUNDUP('Allocation Charges'!H32,0)</f>
        <v>3513</v>
      </c>
      <c r="J49" s="8"/>
    </row>
    <row r="50" spans="1:10" x14ac:dyDescent="0.25">
      <c r="F50" s="8"/>
    </row>
    <row r="51" spans="1:10" x14ac:dyDescent="0.25">
      <c r="F51" s="84">
        <f>SUM(F43:F49)</f>
        <v>12250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45717</v>
      </c>
      <c r="H53" s="114">
        <f>'Commodity TN KY'!E15*'Commodity TN KY'!G19</f>
        <v>13313.743103861838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122531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8"/>
  <sheetViews>
    <sheetView topLeftCell="A16" zoomScaleNormal="100" workbookViewId="0">
      <selection activeCell="C46" sqref="C46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2410 file =</v>
      </c>
      <c r="J1" s="99"/>
      <c r="K1" s="100" t="str">
        <f>+'Commodity OK'!H2</f>
        <v>Data Input Oct 24 billing =Oct invoices = Sep Flow  data= Sep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190</v>
      </c>
      <c r="D6" s="48"/>
      <c r="E6" s="90" t="s">
        <v>211</v>
      </c>
      <c r="F6" s="48"/>
      <c r="G6" s="156"/>
      <c r="H6" s="49"/>
      <c r="I6" s="174"/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411</v>
      </c>
      <c r="F7" s="51"/>
      <c r="G7" s="49">
        <f t="shared" ref="G7:G14" si="0">I7/E7</f>
        <v>5.0837956204379564</v>
      </c>
      <c r="H7" s="49"/>
      <c r="I7" s="174">
        <v>2089.44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/>
      <c r="F8" s="48"/>
      <c r="G8" s="49" t="e">
        <f>I8/E8</f>
        <v>#DIV/0!</v>
      </c>
      <c r="H8" s="49"/>
      <c r="I8" s="174"/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188</v>
      </c>
      <c r="D9" s="48"/>
      <c r="E9" s="90">
        <v>9294</v>
      </c>
      <c r="F9" s="48"/>
      <c r="G9" s="49">
        <f t="shared" si="0"/>
        <v>2.7172003443081558</v>
      </c>
      <c r="H9" s="49"/>
      <c r="I9" s="174">
        <v>25253.66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200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f>709.09+742.46+587.77+1368.78+1293.49</f>
        <v>4701.59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241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215</v>
      </c>
      <c r="D12" s="48"/>
      <c r="E12" s="90">
        <f>141+89</f>
        <v>230</v>
      </c>
      <c r="F12" s="48"/>
      <c r="G12" s="49">
        <f>I12/E12</f>
        <v>3.9904347826086957</v>
      </c>
      <c r="H12" s="49"/>
      <c r="I12" s="174">
        <f>495.78+422.02</f>
        <v>917.8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183</v>
      </c>
      <c r="D13" s="48"/>
      <c r="E13" s="90">
        <v>3533</v>
      </c>
      <c r="F13" s="48"/>
      <c r="G13" s="49">
        <f>I13/E13</f>
        <v>3.76</v>
      </c>
      <c r="H13" s="49"/>
      <c r="I13" s="174">
        <v>13284.08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217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13468</v>
      </c>
      <c r="F15" s="48"/>
      <c r="G15" s="42">
        <f>I15/(E8+E13)</f>
        <v>13.089886781771865</v>
      </c>
      <c r="H15" s="49"/>
      <c r="I15" s="175">
        <f>SUM(I6:I14)</f>
        <v>46246.57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82425</v>
      </c>
      <c r="F19" s="48"/>
      <c r="G19" s="45">
        <f>E19/E22</f>
        <v>0.98854641400815546</v>
      </c>
      <c r="H19" s="48"/>
      <c r="I19" s="167">
        <f>I15*G19</f>
        <v>45716.880933677145</v>
      </c>
      <c r="J19" s="48"/>
      <c r="K19" s="92">
        <v>23098</v>
      </c>
      <c r="L19" s="48"/>
      <c r="P19" t="s">
        <v>195</v>
      </c>
    </row>
    <row r="20" spans="1:25" x14ac:dyDescent="0.25">
      <c r="A20" s="48"/>
      <c r="B20" s="48"/>
      <c r="C20" s="41" t="s">
        <v>89</v>
      </c>
      <c r="D20" s="41"/>
      <c r="E20" s="92">
        <v>955</v>
      </c>
      <c r="F20" s="41"/>
      <c r="G20" s="45">
        <f>E20/E22</f>
        <v>1.1453585991844567E-2</v>
      </c>
      <c r="H20" s="41"/>
      <c r="I20" s="166">
        <f>I15*G20</f>
        <v>529.68906632285916</v>
      </c>
      <c r="J20" s="41"/>
      <c r="K20" s="92">
        <v>677</v>
      </c>
      <c r="L20" s="48"/>
      <c r="P20" t="s">
        <v>208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83380</v>
      </c>
      <c r="F22" s="48"/>
      <c r="G22" s="45">
        <f>SUM(G19:G20)</f>
        <v>1</v>
      </c>
      <c r="H22" s="48"/>
      <c r="I22" s="154">
        <f>SUM(I19:I20)</f>
        <v>46246.570000000007</v>
      </c>
      <c r="J22" s="48"/>
      <c r="K22" s="38">
        <f>SUM(K19:K20)</f>
        <v>23775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187</v>
      </c>
      <c r="V26" s="67"/>
    </row>
    <row r="27" spans="1:25" x14ac:dyDescent="0.25">
      <c r="A27" s="48"/>
      <c r="B27" s="48"/>
      <c r="C27" s="48" t="s">
        <v>280</v>
      </c>
      <c r="D27" s="48"/>
      <c r="E27" s="93">
        <f>6251+311+390</f>
        <v>6952</v>
      </c>
      <c r="F27" s="51"/>
      <c r="G27" s="49">
        <f>I27/E27</f>
        <v>4.833128596087457</v>
      </c>
      <c r="H27" s="48"/>
      <c r="I27" s="157">
        <f>30567.39+1250.22+1782.3</f>
        <v>33599.910000000003</v>
      </c>
      <c r="J27" s="48"/>
      <c r="K27" s="48"/>
      <c r="L27" s="48"/>
      <c r="P27" s="8">
        <f>I36+I20</f>
        <v>34885.109066322868</v>
      </c>
      <c r="V27" s="27"/>
    </row>
    <row r="28" spans="1:25" x14ac:dyDescent="0.25">
      <c r="A28" s="48"/>
      <c r="B28" s="48"/>
      <c r="C28" s="48" t="s">
        <v>182</v>
      </c>
      <c r="D28" s="48"/>
      <c r="E28" s="90">
        <v>613</v>
      </c>
      <c r="F28" s="48"/>
      <c r="G28" s="49">
        <f>I28/E28</f>
        <v>1.2324796084828711</v>
      </c>
      <c r="H28" s="49"/>
      <c r="I28" s="158">
        <v>755.51</v>
      </c>
      <c r="J28" s="48"/>
      <c r="K28" s="48"/>
      <c r="L28" s="48"/>
      <c r="P28" s="134">
        <f>+E20+E34</f>
        <v>4377</v>
      </c>
      <c r="R28" s="56"/>
    </row>
    <row r="29" spans="1:25" x14ac:dyDescent="0.25">
      <c r="A29" s="48"/>
      <c r="B29" s="48"/>
      <c r="C29" s="48" t="s">
        <v>279</v>
      </c>
      <c r="D29" s="48"/>
      <c r="E29" s="90">
        <f>403+310+390</f>
        <v>1103</v>
      </c>
      <c r="F29" s="48"/>
      <c r="G29" s="49">
        <f>I29/E29</f>
        <v>0.31419764279238444</v>
      </c>
      <c r="H29" s="49"/>
      <c r="I29" s="158">
        <f>126.62+97.4+122.54</f>
        <v>346.56</v>
      </c>
      <c r="J29" s="48"/>
      <c r="K29" s="48"/>
      <c r="L29" s="48"/>
    </row>
    <row r="30" spans="1:25" ht="15.75" thickBot="1" x14ac:dyDescent="0.3">
      <c r="C30" s="48"/>
      <c r="D30" s="48"/>
      <c r="E30" s="44"/>
      <c r="F30" s="48"/>
      <c r="G30" s="48"/>
      <c r="H30" s="48"/>
      <c r="I30" s="170">
        <f>SUM(I27:I29)</f>
        <v>34701.980000000003</v>
      </c>
      <c r="V30" s="27"/>
    </row>
    <row r="31" spans="1:25" ht="15.75" thickTop="1" x14ac:dyDescent="0.25">
      <c r="A31" s="48"/>
      <c r="B31" s="48"/>
      <c r="V31" s="27"/>
      <c r="W31" s="27"/>
      <c r="Y31" s="67"/>
    </row>
    <row r="32" spans="1:25" x14ac:dyDescent="0.25">
      <c r="C32" s="40" t="s">
        <v>77</v>
      </c>
      <c r="D32" s="40"/>
      <c r="E32" s="40" t="s">
        <v>181</v>
      </c>
      <c r="F32" s="48"/>
      <c r="G32" s="40" t="s">
        <v>78</v>
      </c>
      <c r="H32" s="48"/>
      <c r="I32" s="40" t="s">
        <v>79</v>
      </c>
      <c r="J32" s="48"/>
      <c r="K32" s="40" t="s">
        <v>80</v>
      </c>
      <c r="L32" s="48"/>
    </row>
    <row r="33" spans="1:25" x14ac:dyDescent="0.25">
      <c r="A33" s="48"/>
      <c r="B33" s="48"/>
      <c r="V33" s="27"/>
      <c r="W33" s="27"/>
      <c r="Y33" s="67"/>
    </row>
    <row r="34" spans="1:25" x14ac:dyDescent="0.25">
      <c r="A34" s="48"/>
      <c r="B34" s="48"/>
      <c r="C34" s="48" t="s">
        <v>92</v>
      </c>
      <c r="D34" s="48"/>
      <c r="E34" s="238">
        <v>3422</v>
      </c>
      <c r="F34" s="48"/>
      <c r="G34" s="45">
        <f>E34/E36</f>
        <v>1</v>
      </c>
      <c r="H34" s="48"/>
      <c r="I34" s="49">
        <f>+I27+I28</f>
        <v>34355.420000000006</v>
      </c>
      <c r="J34" s="48"/>
      <c r="K34" s="238">
        <v>4598</v>
      </c>
      <c r="L34" s="48"/>
      <c r="P34" t="s">
        <v>208</v>
      </c>
      <c r="R34" s="27"/>
      <c r="V34" s="27"/>
    </row>
    <row r="35" spans="1:25" x14ac:dyDescent="0.25">
      <c r="A35" s="48"/>
      <c r="B35" s="48"/>
      <c r="C35" s="39"/>
      <c r="D35" s="39"/>
      <c r="E35" s="39"/>
      <c r="F35" s="39"/>
      <c r="G35" s="46"/>
      <c r="H35" s="39"/>
      <c r="I35" s="39"/>
      <c r="J35" s="39"/>
      <c r="K35" s="39"/>
      <c r="L35" s="48"/>
      <c r="V35" s="27"/>
    </row>
    <row r="36" spans="1:25" x14ac:dyDescent="0.25">
      <c r="C36" s="48" t="s">
        <v>90</v>
      </c>
      <c r="D36" s="48"/>
      <c r="E36" s="38">
        <f>E34</f>
        <v>3422</v>
      </c>
      <c r="F36" s="48"/>
      <c r="G36" s="45">
        <f>G34</f>
        <v>1</v>
      </c>
      <c r="H36" s="48"/>
      <c r="I36" s="154">
        <f>I34</f>
        <v>34355.420000000006</v>
      </c>
      <c r="J36" s="48"/>
      <c r="K36" s="38">
        <f>K34</f>
        <v>4598</v>
      </c>
      <c r="L36" s="48"/>
      <c r="R36" s="27"/>
    </row>
    <row r="38" spans="1:25" ht="15.75" thickBot="1" x14ac:dyDescent="0.3">
      <c r="I38" s="6"/>
      <c r="K38" s="27"/>
    </row>
    <row r="39" spans="1:25" x14ac:dyDescent="0.25">
      <c r="G39" s="181" t="s">
        <v>169</v>
      </c>
      <c r="H39" s="182"/>
      <c r="I39" s="183">
        <f>+I19</f>
        <v>45716.880933677145</v>
      </c>
      <c r="J39" s="184"/>
    </row>
    <row r="40" spans="1:25" x14ac:dyDescent="0.25">
      <c r="G40" s="185" t="s">
        <v>168</v>
      </c>
      <c r="I40" s="233">
        <f>+I20+I30</f>
        <v>35231.669066322866</v>
      </c>
      <c r="J40" s="186"/>
      <c r="P40" s="6"/>
    </row>
    <row r="41" spans="1:25" ht="15.75" thickBot="1" x14ac:dyDescent="0.3">
      <c r="G41" s="185"/>
      <c r="I41" s="105">
        <f>SUM(I39:I40)</f>
        <v>80948.550000000017</v>
      </c>
      <c r="J41" s="186"/>
    </row>
    <row r="42" spans="1:25" ht="15.75" thickTop="1" x14ac:dyDescent="0.25">
      <c r="G42" s="185"/>
      <c r="I42" s="55"/>
      <c r="J42" s="186"/>
    </row>
    <row r="43" spans="1:25" x14ac:dyDescent="0.25">
      <c r="G43" s="212" t="s">
        <v>216</v>
      </c>
      <c r="I43" s="55"/>
      <c r="J43" s="186"/>
    </row>
    <row r="44" spans="1:25" x14ac:dyDescent="0.25">
      <c r="D44" s="16"/>
      <c r="E44" s="20"/>
      <c r="G44" s="185" t="s">
        <v>198</v>
      </c>
      <c r="I44" s="187">
        <v>34701.980000000003</v>
      </c>
      <c r="J44" s="186"/>
    </row>
    <row r="45" spans="1:25" x14ac:dyDescent="0.25">
      <c r="G45" s="185" t="s">
        <v>199</v>
      </c>
      <c r="I45" s="187">
        <v>46246.57</v>
      </c>
      <c r="J45" s="186"/>
    </row>
    <row r="46" spans="1:25" x14ac:dyDescent="0.25">
      <c r="G46" s="185" t="s">
        <v>197</v>
      </c>
      <c r="I46" s="187">
        <f>+I44+I45</f>
        <v>80948.55</v>
      </c>
      <c r="J46" s="186"/>
    </row>
    <row r="47" spans="1:25" x14ac:dyDescent="0.25">
      <c r="G47" s="185"/>
      <c r="J47" s="186"/>
    </row>
    <row r="48" spans="1:25" ht="15.75" thickBot="1" x14ac:dyDescent="0.3">
      <c r="G48" s="188" t="s">
        <v>210</v>
      </c>
      <c r="H48" s="189"/>
      <c r="I48" s="190">
        <f>I41-I46</f>
        <v>0</v>
      </c>
      <c r="J48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zoomScaleNormal="100" workbookViewId="0">
      <selection activeCell="T14" sqref="T14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2410 file =</v>
      </c>
      <c r="M2" s="54"/>
      <c r="N2" s="97" t="str">
        <f>+'Commodity OK'!H2</f>
        <v>Data Input Oct 24 billing =Oct invoices = Sep Flow  data= Sep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1423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809</v>
      </c>
      <c r="I7" s="68" t="s">
        <v>151</v>
      </c>
      <c r="J7" s="90">
        <f>715+814-82</f>
        <v>1447</v>
      </c>
      <c r="L7" s="49">
        <f t="shared" si="0"/>
        <v>1.4192121630960608</v>
      </c>
      <c r="N7" s="91">
        <f>936.1+937.13+180.37</f>
        <v>2053.6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741</v>
      </c>
      <c r="L8" s="49">
        <f t="shared" si="0"/>
        <v>4.43</v>
      </c>
      <c r="N8" s="91">
        <v>3282.63</v>
      </c>
      <c r="P8" s="48"/>
    </row>
    <row r="9" spans="1:21" x14ac:dyDescent="0.25">
      <c r="B9" t="s">
        <v>14</v>
      </c>
      <c r="F9" s="226">
        <v>0</v>
      </c>
      <c r="I9" s="68" t="s">
        <v>255</v>
      </c>
      <c r="J9" s="90">
        <v>12600</v>
      </c>
      <c r="L9" s="49">
        <f>N9/J9</f>
        <v>3.2286904761904762</v>
      </c>
      <c r="N9" s="91">
        <v>40681.5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12600</v>
      </c>
      <c r="L10" s="49">
        <f>N10/J10</f>
        <v>0.24</v>
      </c>
      <c r="N10" s="91">
        <v>3024</v>
      </c>
      <c r="P10" s="171" t="s">
        <v>263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SUM(J6:J10)</f>
        <v>27388</v>
      </c>
      <c r="L11" s="72">
        <f t="shared" si="0"/>
        <v>1.7906283773915581</v>
      </c>
      <c r="N11" s="213">
        <f>SUM(N6:N10)</f>
        <v>49041.729999999996</v>
      </c>
      <c r="P11" s="48"/>
    </row>
    <row r="12" spans="1:21" x14ac:dyDescent="0.25">
      <c r="C12" t="s">
        <v>38</v>
      </c>
      <c r="F12" s="226">
        <f>'Allocation Charges'!N7</f>
        <v>137.43940482676865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138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226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255458</v>
      </c>
      <c r="K16" s="6"/>
      <c r="L16" s="45">
        <v>1</v>
      </c>
      <c r="M16" s="6"/>
      <c r="N16" s="49">
        <f>L16*N11</f>
        <v>49041.729999999996</v>
      </c>
      <c r="O16" s="6"/>
      <c r="P16" s="92">
        <v>371780</v>
      </c>
      <c r="T16" t="s">
        <v>274</v>
      </c>
    </row>
    <row r="17" spans="2:18" x14ac:dyDescent="0.25">
      <c r="B17" t="s">
        <v>19</v>
      </c>
      <c r="F17" s="226">
        <f>ROUNDUP('Allocation Charges'!N10,0)</f>
        <v>2140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255458</v>
      </c>
      <c r="N18" s="71">
        <f>N16</f>
        <v>49041.729999999996</v>
      </c>
      <c r="P18" s="70">
        <f>P16</f>
        <v>371780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184.01897574922933</v>
      </c>
      <c r="G20" s="6"/>
      <c r="I20" t="s">
        <v>75</v>
      </c>
      <c r="L20" s="109">
        <f>+J10*0.18</f>
        <v>2268</v>
      </c>
      <c r="M20" s="6"/>
      <c r="O20" s="6"/>
      <c r="P20" s="76" t="s">
        <v>191</v>
      </c>
      <c r="Q20" s="74"/>
    </row>
    <row r="21" spans="2:18" ht="15.75" thickBot="1" x14ac:dyDescent="0.3">
      <c r="D21" s="7" t="s">
        <v>39</v>
      </c>
      <c r="F21" s="227">
        <f>ROUNDUP(F19+F20,0)</f>
        <v>185</v>
      </c>
      <c r="G21" s="6"/>
      <c r="I21" t="s">
        <v>135</v>
      </c>
      <c r="L21" s="6">
        <f>J10*0.2</f>
        <v>2520</v>
      </c>
      <c r="M21" s="6"/>
      <c r="O21" s="6"/>
      <c r="P21" s="76" t="s">
        <v>193</v>
      </c>
    </row>
    <row r="22" spans="2:18" x14ac:dyDescent="0.25">
      <c r="B22" t="s">
        <v>21</v>
      </c>
      <c r="F22" s="102"/>
      <c r="G22" s="6"/>
      <c r="L22" s="30">
        <f>SUM(L18:L21)</f>
        <v>4788</v>
      </c>
      <c r="M22" s="6"/>
      <c r="O22" s="6"/>
      <c r="P22" s="162" t="s">
        <v>162</v>
      </c>
      <c r="Q22" s="165" t="s">
        <v>192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245.83</v>
      </c>
      <c r="G23" s="6"/>
      <c r="K23" s="6"/>
      <c r="M23" s="6"/>
      <c r="O23" s="6"/>
      <c r="P23" s="160">
        <f>+J10</f>
        <v>12600</v>
      </c>
      <c r="Q23" s="147">
        <v>0.18</v>
      </c>
      <c r="R23" s="161">
        <f>+P23*Q23</f>
        <v>2268</v>
      </c>
    </row>
    <row r="24" spans="2:18" x14ac:dyDescent="0.25">
      <c r="C24" t="s">
        <v>38</v>
      </c>
      <c r="F24" s="134">
        <f>'Allocation Charges'!N12</f>
        <v>59.963047438715364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306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440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3.4437143462018036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4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194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81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20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6772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265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422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123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196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119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114</v>
      </c>
      <c r="G48" s="6"/>
      <c r="I48" s="60"/>
    </row>
    <row r="49" spans="1:9" x14ac:dyDescent="0.25">
      <c r="B49" t="s">
        <v>31</v>
      </c>
      <c r="F49" s="226">
        <f>ROUNDUP('Allocation Charges'!N32,0)</f>
        <v>391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1365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49042</v>
      </c>
    </row>
    <row r="55" spans="1:9" x14ac:dyDescent="0.25">
      <c r="A55" s="16"/>
      <c r="B55" t="s">
        <v>108</v>
      </c>
      <c r="F55" s="240">
        <f>ROUNDUP(L22,0)</f>
        <v>4788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53830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61967</v>
      </c>
    </row>
  </sheetData>
  <pageMargins left="0.25" right="0.25" top="0.5" bottom="0.75" header="0" footer="0.3"/>
  <pageSetup scale="41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9" sqref="F19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254</v>
      </c>
      <c r="F1" s="6" t="str">
        <f>+'Commodity OK'!H2</f>
        <v>Data Input Oct 24 billing =Oct invoices = Sep Flow  data= Sep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251</v>
      </c>
      <c r="I3" s="19"/>
      <c r="J3" s="19" t="s">
        <v>252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253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247</v>
      </c>
      <c r="F7" s="85">
        <f>+'Direct Charges'!P21</f>
        <v>463.99</v>
      </c>
      <c r="G7" s="60"/>
      <c r="H7" s="85">
        <f>ROUNDUP(F7,0)</f>
        <v>464</v>
      </c>
      <c r="I7" s="60"/>
      <c r="J7" s="222"/>
      <c r="K7" s="60"/>
    </row>
    <row r="8" spans="1:12" x14ac:dyDescent="0.25">
      <c r="C8" t="s">
        <v>248</v>
      </c>
      <c r="F8" s="85">
        <f>+'Direct Charges'!P22</f>
        <v>2191.62</v>
      </c>
      <c r="G8" s="60"/>
      <c r="H8" s="85"/>
      <c r="I8" s="60"/>
      <c r="J8" s="85">
        <f>ROUNDUP(F8,0)</f>
        <v>2192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249</v>
      </c>
      <c r="F11" s="85">
        <f>+'Direct Charges'!F34</f>
        <v>149.44999999999999</v>
      </c>
      <c r="G11" s="60"/>
      <c r="H11" s="85">
        <f>ROUNDUP(F11,0)</f>
        <v>150</v>
      </c>
      <c r="I11" s="60"/>
      <c r="J11" s="222"/>
      <c r="K11" s="60"/>
    </row>
    <row r="12" spans="1:12" x14ac:dyDescent="0.25">
      <c r="C12" t="s">
        <v>250</v>
      </c>
      <c r="F12" s="85">
        <f>+'Direct Charges'!F35</f>
        <v>207.17</v>
      </c>
      <c r="G12" s="60"/>
      <c r="H12" s="85"/>
      <c r="I12" s="60"/>
      <c r="J12" s="85">
        <f>ROUNDUP(F12,0)</f>
        <v>208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3012.2299999999996</v>
      </c>
      <c r="G14" s="120"/>
      <c r="H14" s="219">
        <f>SUM(H7:H13)</f>
        <v>614</v>
      </c>
      <c r="I14" s="120"/>
      <c r="J14" s="219">
        <f>SUM(J7:J13)</f>
        <v>2400</v>
      </c>
      <c r="K14" s="120"/>
    </row>
    <row r="16" spans="1:12" x14ac:dyDescent="0.25">
      <c r="F16" s="6">
        <f>SUM(H14:K14)</f>
        <v>3014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2025-03-27T21:53:41Z</cp:lastPrinted>
  <dcterms:created xsi:type="dcterms:W3CDTF">2013-02-08T00:44:54Z</dcterms:created>
  <dcterms:modified xsi:type="dcterms:W3CDTF">2025-03-27T23:15:26Z</dcterms:modified>
</cp:coreProperties>
</file>