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66699A52-3A16-4886-B8F5-439078BE1953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Texas'!$A$1:$AB$61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8" l="1"/>
  <c r="E8" i="28"/>
  <c r="C45" i="11"/>
  <c r="F18" i="11"/>
  <c r="I12" i="28"/>
  <c r="E12" i="28"/>
  <c r="H17" i="11"/>
  <c r="F7" i="11"/>
  <c r="D7" i="11"/>
  <c r="F12" i="4" l="1"/>
  <c r="F11" i="4"/>
  <c r="F7" i="4"/>
  <c r="C25" i="32" l="1"/>
  <c r="J11" i="15" l="1"/>
  <c r="J57" i="6" l="1"/>
  <c r="H26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C27" i="35" s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E29" i="35"/>
  <c r="C29" i="35" l="1"/>
  <c r="G29" i="35" s="1"/>
  <c r="G20" i="35"/>
  <c r="G3" i="35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D26" i="32" l="1"/>
  <c r="D25" i="32"/>
  <c r="I10" i="33"/>
  <c r="J8" i="33"/>
  <c r="J10" i="33" s="1"/>
  <c r="G15" i="32"/>
  <c r="I8" i="32"/>
  <c r="J8" i="32" s="1"/>
  <c r="H8" i="36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9" i="11"/>
  <c r="H30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3" i="11" l="1"/>
  <c r="H35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F21" i="4" l="1"/>
  <c r="F65" i="1" l="1"/>
  <c r="R20" i="4"/>
  <c r="F66" i="1" l="1"/>
  <c r="F68" i="1" s="1"/>
  <c r="L57" i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5" i="11"/>
  <c r="L29" i="4" l="1"/>
  <c r="L28" i="4"/>
  <c r="L27" i="4"/>
  <c r="H36" i="11" l="1"/>
  <c r="H10" i="11" l="1"/>
  <c r="Q18" i="11" l="1"/>
  <c r="M11" i="11" l="1"/>
  <c r="O8" i="11" l="1"/>
  <c r="O9" i="11"/>
  <c r="O7" i="11"/>
  <c r="O6" i="11"/>
  <c r="L10" i="15"/>
  <c r="F37" i="11" l="1"/>
  <c r="F1" i="6" l="1"/>
  <c r="L16" i="4"/>
  <c r="F37" i="6" s="1"/>
  <c r="H34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2" i="11"/>
  <c r="H31" i="11"/>
  <c r="H28" i="11"/>
  <c r="H27" i="11"/>
  <c r="D37" i="11"/>
  <c r="H18" i="11"/>
  <c r="H16" i="11"/>
  <c r="H15" i="11"/>
  <c r="H14" i="11"/>
  <c r="H13" i="11"/>
  <c r="H12" i="11"/>
  <c r="H11" i="11"/>
  <c r="H9" i="11"/>
  <c r="H8" i="11"/>
  <c r="H7" i="11"/>
  <c r="D19" i="11"/>
  <c r="F42" i="11" l="1"/>
  <c r="F43" i="11"/>
  <c r="F56" i="8"/>
  <c r="N16" i="15"/>
  <c r="F54" i="15" s="1"/>
  <c r="F57" i="15" s="1"/>
  <c r="J44" i="11"/>
  <c r="M44" i="11" s="1"/>
  <c r="L11" i="15"/>
  <c r="Q19" i="11" l="1"/>
  <c r="Q20" i="11" s="1"/>
  <c r="F44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7" i="11"/>
  <c r="F19" i="11"/>
  <c r="C46" i="11" s="1"/>
  <c r="P69" i="1" l="1"/>
  <c r="F51" i="15"/>
  <c r="F61" i="15" s="1"/>
  <c r="C47" i="11"/>
  <c r="F46" i="11"/>
  <c r="F47" i="11" s="1"/>
  <c r="H19" i="11"/>
  <c r="H24" i="11"/>
  <c r="H47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2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<sst xmlns="http://schemas.openxmlformats.org/spreadsheetml/2006/main" count="643" uniqueCount="281">
  <si>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</si>
  <si>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</si>
  <si>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</si>
  <si>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</si>
  <si>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</si>
  <si>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</si>
  <si>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</si>
  <si>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</si>
  <si>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</si>
  <si>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</si>
  <si>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</si>
  <si>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</si>
  <si>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</si>
  <si>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</si>
  <si>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</si>
  <si>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</si>
  <si>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</si>
  <si>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</si>
  <si>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</si>
  <si>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</si>
  <si>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</si>
  <si>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</si>
  <si>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</si>
  <si>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</si>
  <si>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</si>
  <si>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</si>
  <si>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</si>
  <si>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</si>
  <si>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</si>
  <si>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</si>
  <si>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</si>
  <si>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</si>
  <si>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</si>
  <si>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</si>
  <si>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</si>
  <si>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</si>
  <si>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</si>
  <si>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</si>
  <si>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</si>
  <si>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</si>
  <si>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</si>
  <si>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</si>
  <si>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</si>
  <si>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</si>
  <si>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</si>
  <si>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</si>
  <si>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</si>
  <si>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</si>
  <si>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</si>
  <si>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</si>
  <si>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</si>
  <si>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</si>
  <si>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</si>
  <si>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</si>
  <si>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</si>
  <si>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</si>
  <si>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</si>
  <si>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</si>
  <si>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</si>
  <si>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</si>
  <si>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</si>
  <si>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</si>
  <si>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</si>
  <si>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</si>
  <si>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</si>
  <si>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</si>
  <si>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</si>
  <si>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</si>
  <si>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</si>
  <si>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</si>
  <si>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</si>
  <si>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</si>
  <si>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</si>
  <si>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</si>
  <si>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</si>
  <si>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</si>
  <si>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</si>
  <si>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</si>
  <si>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</si>
  <si>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</si>
  <si>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</si>
  <si>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</si>
  <si>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</si>
  <si>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</si>
  <si>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</si>
  <si>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</si>
  <si>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</si>
  <si>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</si>
  <si>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</si>
  <si>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</si>
  <si>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</si>
  <si>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</si>
  <si>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</si>
  <si>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</si>
  <si>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</si>
  <si>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</si>
  <si>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</si>
  <si>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</si>
  <si>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</si>
  <si>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</si>
  <si>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</si>
  <si>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</si>
  <si>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</si>
  <si>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</si>
  <si>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</si>
  <si>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</si>
  <si>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</si>
  <si>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</si>
  <si>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</si>
  <si>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</si>
  <si>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</si>
  <si>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</si>
  <si>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</si>
  <si>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</si>
  <si>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</si>
  <si>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</si>
  <si>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</si>
  <si>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</si>
  <si>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</si>
  <si>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</si>
  <si>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</si>
  <si>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</si>
  <si>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</si>
  <si>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</si>
  <si>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</si>
  <si>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</si>
  <si>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</si>
  <si>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</si>
  <si>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</si>
  <si>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</si>
  <si>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</si>
  <si>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</si>
  <si>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</si>
  <si>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</si>
  <si>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</si>
  <si>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</si>
  <si>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</si>
  <si>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</si>
  <si>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</si>
  <si>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</si>
  <si>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</si>
  <si>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</si>
  <si>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</si>
  <si>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</si>
  <si>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</si>
  <si>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</si>
  <si>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</si>
  <si>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</si>
  <si>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</si>
  <si>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</si>
  <si>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</si>
  <si>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</si>
  <si>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</si>
  <si>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</si>
  <si>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</si>
  <si>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</si>
  <si>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</si>
  <si>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</si>
  <si>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</si>
  <si>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</si>
  <si>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</si>
  <si>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</si>
  <si>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</si>
  <si>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</si>
  <si>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</si>
  <si>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</si>
  <si>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</si>
  <si>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</si>
  <si>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</si>
  <si>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</si>
  <si>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</si>
  <si>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</si>
  <si>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</si>
  <si>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</si>
  <si>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</si>
  <si>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</si>
  <si>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</si>
  <si>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</si>
  <si>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</si>
  <si>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</si>
  <si>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</si>
  <si>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</si>
  <si>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</si>
  <si>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</si>
  <si>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</si>
  <si>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</si>
  <si>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</si>
  <si>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</si>
  <si>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</si>
  <si>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</si>
  <si>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</si>
  <si>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</si>
  <si>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</si>
  <si>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</si>
  <si>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</si>
  <si>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</si>
  <si>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</si>
  <si>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</si>
  <si>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</si>
  <si>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</si>
  <si>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</si>
  <si>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</si>
  <si>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</si>
  <si>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</si>
  <si>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</si>
  <si>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</si>
  <si>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</si>
  <si>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</si>
  <si>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</si>
  <si>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</si>
  <si>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</si>
  <si>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</si>
  <si>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</si>
  <si>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</si>
  <si>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</si>
  <si>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</si>
  <si>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</si>
  <si>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</si>
  <si>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</si>
  <si>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</si>
  <si>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</si>
  <si>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</si>
  <si>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</si>
  <si>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</si>
  <si>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</si>
  <si>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</si>
  <si>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</si>
  <si>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</si>
  <si>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</si>
  <si>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</si>
  <si>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</si>
  <si>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</si>
  <si>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</si>
  <si>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</si>
  <si>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</si>
  <si>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</si>
  <si>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</si>
  <si>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</si>
  <si>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</si>
  <si>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</si>
  <si>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</si>
  <si>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</si>
  <si>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</si>
  <si>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</si>
  <si>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</si>
  <si>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</si>
  <si>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</si>
  <si>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</si>
  <si>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</si>
  <si>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</si>
  <si>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</si>
  <si>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</si>
  <si>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</si>
  <si>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</si>
  <si>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</si>
  <si>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</si>
  <si>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</si>
  <si>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</si>
  <si>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</si>
  <si>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</si>
  <si>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</si>
  <si>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</si>
  <si>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</si>
  <si>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same Cima volume, cannot count twice, DO NOT LOAD VOLUME</t>
  </si>
  <si>
    <t>654K Updated as of 12/31/23</t>
  </si>
  <si>
    <t>2024</t>
  </si>
  <si>
    <t>204</t>
  </si>
  <si>
    <t>Monthly Avg Cust Count - 2023</t>
  </si>
  <si>
    <t>Skye OK, LLC</t>
  </si>
  <si>
    <t>Per 6/30/24</t>
  </si>
  <si>
    <t>data input as of 06/30/24</t>
  </si>
  <si>
    <t>Values set from Q2 2024 numbers for Q3 &amp; Q4 in 2024</t>
  </si>
  <si>
    <t>2409 file =</t>
  </si>
  <si>
    <r>
      <t xml:space="preserve">Data Input Sep 24 billing =Sep invoices = Aug </t>
    </r>
    <r>
      <rPr>
        <b/>
        <u val="singleAccounting"/>
        <sz val="11"/>
        <color theme="1"/>
        <rFont val="Calibri"/>
        <family val="2"/>
        <scheme val="minor"/>
      </rPr>
      <t>Flow  data= Aug Sales Volume</t>
    </r>
  </si>
  <si>
    <t>Aug.24 Usage</t>
  </si>
  <si>
    <t>BB 2409</t>
  </si>
  <si>
    <t>Prior Month = Aug Usage</t>
  </si>
  <si>
    <t>ONG</t>
  </si>
  <si>
    <t xml:space="preserve">   </t>
  </si>
  <si>
    <t>Petrol Delta (Trans &amp; Supply) DTH</t>
  </si>
  <si>
    <t>Jellico - Petrol 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</si>
</sst>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26</xdr:col>
      <xdr:colOff>134140</xdr:colOff>
      <xdr:row>41</xdr:row>
      <xdr:rowOff>134459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00245F2-741D-25E8-8C54-2F40A63F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5667" y="0"/>
          <a:ext cx="5658640" cy="7944959"/>
        </a:xfrm>
        <a:prstGeom prst="rect">
          <a:avLst/>
        </a:prstGeom>
      </xdr:spPr>
    </xdr:pic>
    <xdr:clientData/>
  </xdr:twoCellAnchor>
  <xdr:twoCellAnchor editAs="oneCell">
    <xdr:from>
      <xdr:col>17</xdr:col>
      <xdr:colOff>21167</xdr:colOff>
      <xdr:row>41</xdr:row>
      <xdr:rowOff>84667</xdr:rowOff>
    </xdr:from>
    <xdr:to>
      <xdr:col>25</xdr:col>
      <xdr:colOff>607193</xdr:colOff>
      <xdr:row>76</xdr:row>
      <xdr:rowOff>47492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4DA5370-3546-C080-9155-3B21E0FEF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6834" y="7895167"/>
          <a:ext cx="5496692" cy="66303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76</xdr:row>
      <xdr:rowOff>0</xdr:rowOff>
    </xdr:from>
    <xdr:to>
      <xdr:col>26</xdr:col>
      <xdr:colOff>67455</xdr:colOff>
      <xdr:row>110</xdr:row>
      <xdr:rowOff>124746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E4475B-44B4-2EA0-D877-53E42B84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55667" y="14478000"/>
          <a:ext cx="5591955" cy="6601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24826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18</xdr:col>
      <xdr:colOff>58787</xdr:colOff>
      <xdr:row>79</xdr:row>
      <xdr:rowOff>86508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4D7CF4-9519-F569-57A8-8FCCB6A1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601200"/>
          <a:ext cx="11726912" cy="5611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</xdr:row>
      <xdr:rowOff>0</xdr:rowOff>
    </xdr:from>
    <xdr:to>
      <xdr:col>24</xdr:col>
      <xdr:colOff>144562</xdr:colOff>
      <xdr:row>61</xdr:row>
      <xdr:rowOff>95609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88D832-3B28-42CF-D317-45511689A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201150"/>
          <a:ext cx="12088912" cy="25721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26</xdr:col>
      <xdr:colOff>154035</xdr:colOff>
      <xdr:row>30</xdr:row>
      <xdr:rowOff>57318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B9DCE2-9564-AF0B-5774-79645411E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610100"/>
          <a:ext cx="11717385" cy="1200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407843</xdr:colOff>
      <xdr:row>18</xdr:row>
      <xdr:rowOff>133794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B27EB5-3D53-E45C-4900-FF56A840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94156" y="381000"/>
          <a:ext cx="4658375" cy="318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189596</xdr:colOff>
      <xdr:row>45</xdr:row>
      <xdr:rowOff>162320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8F42B7-F281-7202-E423-1348CEFF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941219"/>
          <a:ext cx="10583752" cy="2829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90" zoomScaleNormal="90" zoomScalePageLayoutView="64" workbookViewId="0">
      <pane xSplit="4" ySplit="4" topLeftCell="E50" activePane="bottomRight" state="frozen"/>
      <selection pane="topRight" activeCell="E1" sqref="E1"/>
      <selection pane="bottomLeft" activeCell="A5" sqref="A5"/>
      <selection pane="bottomRight" activeCell="AF54" sqref="AF54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Sep 24 billing =Sep invoices = Aug Flow  data= Aug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246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11920.51</v>
      </c>
      <c r="G7" s="56"/>
      <c r="H7" s="79">
        <f>F7</f>
        <v>11920.51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7490.48</v>
      </c>
      <c r="G8" s="56"/>
      <c r="H8" s="79"/>
      <c r="I8" s="8"/>
      <c r="J8" s="79">
        <f>F8</f>
        <v>7490.48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836.15</v>
      </c>
      <c r="G9" s="56"/>
      <c r="H9" s="79"/>
      <c r="I9" s="8"/>
      <c r="J9" s="79"/>
      <c r="K9" s="8"/>
      <c r="L9" s="79"/>
      <c r="M9" s="8"/>
      <c r="N9" s="79">
        <f>F9</f>
        <v>836.15</v>
      </c>
      <c r="P9" s="79"/>
    </row>
    <row r="10" spans="1:16" x14ac:dyDescent="0.25">
      <c r="C10" t="s">
        <v>3</v>
      </c>
      <c r="F10" s="112">
        <v>86648.19</v>
      </c>
      <c r="G10" s="56"/>
      <c r="H10" s="79"/>
      <c r="I10" s="8"/>
      <c r="J10" s="79"/>
      <c r="K10" s="8"/>
      <c r="L10" s="79">
        <f>F10</f>
        <v>86648.19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1684.52</v>
      </c>
      <c r="G13" s="56"/>
      <c r="H13" s="79">
        <f>F13</f>
        <v>1684.52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397.97</v>
      </c>
      <c r="G14" s="56"/>
      <c r="H14" s="79"/>
      <c r="I14" s="8"/>
      <c r="J14" s="79">
        <f>F14</f>
        <v>397.97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456.44</v>
      </c>
      <c r="G15" s="56"/>
      <c r="H15" s="79"/>
      <c r="I15" s="8"/>
      <c r="J15" s="79"/>
      <c r="K15" s="8"/>
      <c r="L15" s="79"/>
      <c r="M15" s="8"/>
      <c r="N15" s="79">
        <f>F15</f>
        <v>456.44</v>
      </c>
      <c r="P15" s="79"/>
    </row>
    <row r="16" spans="1:16" x14ac:dyDescent="0.25">
      <c r="C16" t="s">
        <v>7</v>
      </c>
      <c r="F16" s="112">
        <v>16660.46</v>
      </c>
      <c r="G16" s="56"/>
      <c r="H16" s="79"/>
      <c r="I16" s="8"/>
      <c r="J16" s="79"/>
      <c r="K16" s="8"/>
      <c r="L16" s="79">
        <f>F16</f>
        <v>16660.46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8104.87</v>
      </c>
      <c r="G18" s="56"/>
      <c r="H18" s="79"/>
      <c r="I18" s="8"/>
      <c r="J18" s="79"/>
      <c r="K18" s="8"/>
      <c r="L18" s="79">
        <f>F18</f>
        <v>8104.87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253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247</v>
      </c>
      <c r="F21" s="112">
        <v>463.72</v>
      </c>
      <c r="G21" s="56"/>
      <c r="H21" s="79"/>
      <c r="I21" s="8"/>
      <c r="J21" s="79"/>
      <c r="K21" s="8"/>
      <c r="L21" s="79"/>
      <c r="M21" s="8"/>
      <c r="N21" s="79"/>
      <c r="P21" s="79">
        <f>+F21</f>
        <v>463.72</v>
      </c>
    </row>
    <row r="22" spans="2:16" x14ac:dyDescent="0.25">
      <c r="C22" t="s">
        <v>248</v>
      </c>
      <c r="F22" s="112">
        <v>1810.66</v>
      </c>
      <c r="G22" s="56"/>
      <c r="H22" s="79"/>
      <c r="I22" s="8"/>
      <c r="J22" s="79"/>
      <c r="K22" s="8"/>
      <c r="L22" s="79"/>
      <c r="M22" s="8"/>
      <c r="N22" s="79"/>
      <c r="P22" s="79">
        <f>+F22</f>
        <v>1810.66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467.9</v>
      </c>
      <c r="G25" s="56"/>
      <c r="H25" s="79">
        <f>F25</f>
        <v>467.9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260.45</v>
      </c>
      <c r="G26" s="56"/>
      <c r="H26" s="79"/>
      <c r="I26" s="8"/>
      <c r="J26" s="79">
        <f>F26</f>
        <v>260.45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1634.37</v>
      </c>
      <c r="G28" s="56"/>
      <c r="H28" s="79"/>
      <c r="I28" s="8"/>
      <c r="J28" s="79"/>
      <c r="K28" s="8"/>
      <c r="L28" s="79">
        <f>F28</f>
        <v>1634.37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4238.18</v>
      </c>
      <c r="G31" s="56"/>
      <c r="H31" s="79"/>
      <c r="I31" s="8"/>
      <c r="J31" s="79"/>
      <c r="K31" s="8"/>
      <c r="L31" s="79">
        <f>F31</f>
        <v>4238.18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249</v>
      </c>
      <c r="F34" s="112">
        <v>148.41999999999999</v>
      </c>
      <c r="G34" s="56"/>
      <c r="H34" s="79"/>
      <c r="I34" s="8"/>
      <c r="J34" s="79"/>
      <c r="K34" s="8"/>
      <c r="L34" s="79"/>
      <c r="M34" s="8"/>
      <c r="N34" s="79"/>
      <c r="P34" s="79">
        <f>+F34</f>
        <v>148.41999999999999</v>
      </c>
    </row>
    <row r="35" spans="2:16" x14ac:dyDescent="0.25">
      <c r="C35" t="s">
        <v>250</v>
      </c>
      <c r="F35" s="112">
        <v>50</v>
      </c>
      <c r="G35" s="56"/>
      <c r="H35" s="79"/>
      <c r="I35" s="8"/>
      <c r="J35" s="79"/>
      <c r="K35" s="8"/>
      <c r="L35" s="79"/>
      <c r="M35" s="8"/>
      <c r="N35" s="79"/>
      <c r="P35" s="79">
        <f>+F35</f>
        <v>50</v>
      </c>
    </row>
    <row r="36" spans="2:16" x14ac:dyDescent="0.25">
      <c r="C36" t="s">
        <v>119</v>
      </c>
      <c r="F36" s="112">
        <v>20.79</v>
      </c>
      <c r="G36" s="56"/>
      <c r="H36" s="79">
        <f>F36</f>
        <v>20.79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194.98</v>
      </c>
      <c r="G37" s="56"/>
      <c r="H37" s="79"/>
      <c r="I37" s="8"/>
      <c r="J37" s="79">
        <f>F37</f>
        <v>194.98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2030.42</v>
      </c>
      <c r="G39" s="56"/>
      <c r="H39" s="79"/>
      <c r="I39" s="8"/>
      <c r="J39" s="79"/>
      <c r="K39" s="8"/>
      <c r="L39" s="79">
        <f>F39</f>
        <v>2030.42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5636.5</v>
      </c>
      <c r="G42" s="56"/>
      <c r="H42" s="79">
        <f>F42</f>
        <v>5636.5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244.08</v>
      </c>
      <c r="G43" s="56"/>
      <c r="H43" s="79"/>
      <c r="I43" s="8"/>
      <c r="J43" s="79">
        <f>F43</f>
        <v>244.08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2307.83</v>
      </c>
      <c r="G44" s="56"/>
      <c r="H44" s="79"/>
      <c r="I44" s="8"/>
      <c r="J44" s="79"/>
      <c r="K44" s="8"/>
      <c r="L44" s="79"/>
      <c r="M44" s="8"/>
      <c r="N44" s="79">
        <f>F44</f>
        <v>2307.83</v>
      </c>
      <c r="P44" s="79"/>
    </row>
    <row r="45" spans="2:16" x14ac:dyDescent="0.25">
      <c r="C45" t="s">
        <v>24</v>
      </c>
      <c r="F45" s="112">
        <v>11113.78</v>
      </c>
      <c r="G45" s="56"/>
      <c r="H45" s="79"/>
      <c r="I45" s="8"/>
      <c r="J45" s="79"/>
      <c r="K45" s="8"/>
      <c r="L45" s="79">
        <f>F45</f>
        <v>11113.78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222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223</v>
      </c>
      <c r="F48" s="112">
        <v>51</v>
      </c>
      <c r="G48" s="56"/>
      <c r="H48" s="79">
        <f>F48</f>
        <v>51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224</v>
      </c>
      <c r="F49" s="112">
        <v>0</v>
      </c>
      <c r="G49" s="56"/>
      <c r="H49" s="79"/>
      <c r="I49" s="8"/>
      <c r="J49" s="79">
        <f>F49</f>
        <v>0</v>
      </c>
      <c r="K49" s="8"/>
      <c r="L49" s="79"/>
      <c r="M49" s="8"/>
      <c r="N49" s="79"/>
      <c r="P49" s="79"/>
    </row>
    <row r="50" spans="1:16" x14ac:dyDescent="0.25">
      <c r="C50" t="s">
        <v>225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226</v>
      </c>
      <c r="F51" s="112">
        <v>424</v>
      </c>
      <c r="G51" s="56"/>
      <c r="H51" s="79"/>
      <c r="I51" s="8"/>
      <c r="J51" s="79"/>
      <c r="K51" s="8"/>
      <c r="L51" s="79">
        <f>F51</f>
        <v>424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227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228</v>
      </c>
      <c r="F54" s="112">
        <v>3119.09</v>
      </c>
      <c r="G54" s="56"/>
      <c r="H54" s="79">
        <f>F54</f>
        <v>3119.09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229</v>
      </c>
      <c r="F55" s="112">
        <v>683.65</v>
      </c>
      <c r="G55" s="56"/>
      <c r="H55" s="79"/>
      <c r="I55" s="8"/>
      <c r="J55" s="79">
        <f>F55</f>
        <v>683.65</v>
      </c>
      <c r="K55" s="8"/>
      <c r="L55" s="79"/>
      <c r="M55" s="8"/>
      <c r="N55" s="79"/>
      <c r="P55" s="79"/>
    </row>
    <row r="56" spans="1:16" x14ac:dyDescent="0.25">
      <c r="C56" t="s">
        <v>230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231</v>
      </c>
      <c r="F57" s="112">
        <v>29774.1</v>
      </c>
      <c r="G57" s="56"/>
      <c r="H57" s="79"/>
      <c r="I57" s="8"/>
      <c r="J57" s="79"/>
      <c r="K57" s="8"/>
      <c r="L57" s="79">
        <f>F57</f>
        <v>29774.1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198873.51</v>
      </c>
      <c r="G59" s="57"/>
      <c r="H59" s="113">
        <f>SUM(H7:H57)</f>
        <v>22900.31</v>
      </c>
      <c r="I59" s="23"/>
      <c r="J59" s="113">
        <f>SUM(J7:J57)</f>
        <v>9271.6099999999988</v>
      </c>
      <c r="K59" s="23"/>
      <c r="L59" s="113">
        <f>SUM(L7:L57)</f>
        <v>160628.36999999997</v>
      </c>
      <c r="M59" s="23"/>
      <c r="N59" s="113">
        <f>SUM(N7:N57)</f>
        <v>3600.42</v>
      </c>
      <c r="P59" s="113">
        <f>SUM(P7:P57)</f>
        <v>2472.8000000000002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236</v>
      </c>
      <c r="P62" t="s">
        <v>235</v>
      </c>
    </row>
    <row r="63" spans="1:16" x14ac:dyDescent="0.25">
      <c r="D63" s="16" t="s">
        <v>159</v>
      </c>
      <c r="F63" s="115">
        <v>33833.42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281391.98273999454</v>
      </c>
      <c r="P63" s="60">
        <f>+L59+'Allocation Charges'!L21</f>
        <v>281391.98273999448</v>
      </c>
    </row>
    <row r="64" spans="1:16" x14ac:dyDescent="0.25">
      <c r="B64" s="16"/>
      <c r="D64" t="s">
        <v>155</v>
      </c>
      <c r="F64" s="102">
        <f>+F59</f>
        <v>198873.51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56729</v>
      </c>
      <c r="P64" s="60">
        <f>+H59+'Allocation Charges'!H21</f>
        <v>56722.47267973375</v>
      </c>
    </row>
    <row r="65" spans="4:16" x14ac:dyDescent="0.25">
      <c r="D65" t="s">
        <v>156</v>
      </c>
      <c r="F65" s="102">
        <f>+'Allocation Charges'!F21</f>
        <v>174719.8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25070</v>
      </c>
      <c r="P65" s="60">
        <f>+J59+'Allocation Charges'!J21</f>
        <v>25064.853402499226</v>
      </c>
    </row>
    <row r="66" spans="4:16" x14ac:dyDescent="0.25">
      <c r="D66" t="s">
        <v>50</v>
      </c>
      <c r="F66" s="102">
        <f>SUM(F63:F65)</f>
        <v>407426.73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7947</v>
      </c>
      <c r="P66" s="60">
        <f>+N59+'Allocation Charges'!N21</f>
        <v>7941.2011777725065</v>
      </c>
    </row>
    <row r="67" spans="4:16" x14ac:dyDescent="0.25">
      <c r="D67" s="16" t="s">
        <v>157</v>
      </c>
      <c r="F67" s="115">
        <v>407426.73</v>
      </c>
      <c r="G67" s="8"/>
      <c r="H67" s="6" t="s">
        <v>163</v>
      </c>
      <c r="I67" s="8"/>
      <c r="J67" s="8"/>
      <c r="K67" s="8"/>
      <c r="L67" s="8" t="s">
        <v>246</v>
      </c>
      <c r="M67" s="8"/>
      <c r="N67" s="60">
        <f>+'NC Hydro'!F14</f>
        <v>2472.8000000000002</v>
      </c>
      <c r="P67" s="60">
        <f>+P59</f>
        <v>2472.8000000000002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234</v>
      </c>
      <c r="M68" s="8"/>
      <c r="N68" s="60">
        <f>SUM(N63:N67)</f>
        <v>373610.78273999452</v>
      </c>
      <c r="P68" s="60">
        <f>SUM(P63:P67)</f>
        <v>373593.30999999994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-17.472739994525909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J18" sqref="J18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219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267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267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219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259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259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K24" sqref="K24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271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269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1058403.98</v>
      </c>
      <c r="C8" s="94">
        <f t="shared" ref="C8:C13" si="0">$D$25</f>
        <v>0.8023663641516483</v>
      </c>
      <c r="D8" s="95">
        <v>6.4699999999999994E-2</v>
      </c>
      <c r="E8" s="79">
        <f t="shared" ref="E8:E13" si="1">B8*C8*D8</f>
        <v>54945.035634384323</v>
      </c>
      <c r="F8" s="79">
        <f t="shared" ref="F8:F13" si="2">E8/12</f>
        <v>4578.7529695320272</v>
      </c>
      <c r="G8" s="79">
        <f t="shared" ref="G8:G13" si="3">B8</f>
        <v>1058403.98</v>
      </c>
      <c r="H8" s="13">
        <v>6</v>
      </c>
      <c r="I8" s="79">
        <f t="shared" ref="I8:I13" si="4">G8/H8</f>
        <v>176400.66333333333</v>
      </c>
      <c r="J8" s="79">
        <f t="shared" ref="J8:J13" si="5">I8/12</f>
        <v>14700.055277777778</v>
      </c>
      <c r="K8" s="79">
        <f>ROUNDUP(F8+J8,0)</f>
        <v>19279</v>
      </c>
    </row>
    <row r="9" spans="1:11" x14ac:dyDescent="0.25">
      <c r="A9" t="s">
        <v>32</v>
      </c>
      <c r="B9" s="192">
        <v>306568.88</v>
      </c>
      <c r="C9" s="94">
        <f t="shared" si="0"/>
        <v>0.8023663641516483</v>
      </c>
      <c r="D9" s="95">
        <v>6.4699999999999994E-2</v>
      </c>
      <c r="E9" s="79">
        <f t="shared" si="1"/>
        <v>15914.9420772145</v>
      </c>
      <c r="F9" s="79">
        <f t="shared" si="2"/>
        <v>1326.2451731012084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5585</v>
      </c>
    </row>
    <row r="10" spans="1:11" x14ac:dyDescent="0.25">
      <c r="A10" t="s">
        <v>47</v>
      </c>
      <c r="B10" s="192">
        <v>705882.72</v>
      </c>
      <c r="C10" s="94">
        <f t="shared" si="0"/>
        <v>0.8023663641516483</v>
      </c>
      <c r="D10" s="95">
        <v>6.4699999999999994E-2</v>
      </c>
      <c r="E10" s="79">
        <f t="shared" si="1"/>
        <v>36644.562886182772</v>
      </c>
      <c r="F10" s="79">
        <f t="shared" si="2"/>
        <v>3053.7135738485645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8937</v>
      </c>
    </row>
    <row r="11" spans="1:11" x14ac:dyDescent="0.25">
      <c r="A11" t="s">
        <v>48</v>
      </c>
      <c r="B11" s="192">
        <v>257154.88</v>
      </c>
      <c r="C11" s="94">
        <f t="shared" si="0"/>
        <v>0.8023663641516483</v>
      </c>
      <c r="D11" s="95">
        <v>6.4699999999999994E-2</v>
      </c>
      <c r="E11" s="79">
        <f t="shared" si="1"/>
        <v>13349.707967987635</v>
      </c>
      <c r="F11" s="79">
        <f t="shared" si="2"/>
        <v>1112.4756639989696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5399</v>
      </c>
    </row>
    <row r="12" spans="1:11" x14ac:dyDescent="0.25">
      <c r="A12" t="s">
        <v>41</v>
      </c>
      <c r="B12" s="192">
        <v>205926.43</v>
      </c>
      <c r="C12" s="94">
        <f t="shared" si="0"/>
        <v>0.8023663641516483</v>
      </c>
      <c r="D12" s="95">
        <v>6.4699999999999994E-2</v>
      </c>
      <c r="E12" s="79">
        <f t="shared" si="1"/>
        <v>10690.280127642329</v>
      </c>
      <c r="F12" s="79">
        <f t="shared" si="2"/>
        <v>890.85667730352736</v>
      </c>
      <c r="G12" s="79">
        <f t="shared" si="3"/>
        <v>205926.43</v>
      </c>
      <c r="H12" s="13">
        <v>4</v>
      </c>
      <c r="I12" s="79">
        <f t="shared" si="4"/>
        <v>51481.607499999998</v>
      </c>
      <c r="J12" s="79">
        <f t="shared" si="5"/>
        <v>4290.1339583333329</v>
      </c>
      <c r="K12" s="79">
        <f t="shared" si="6"/>
        <v>5181</v>
      </c>
    </row>
    <row r="13" spans="1:11" x14ac:dyDescent="0.25">
      <c r="A13" t="s">
        <v>31</v>
      </c>
      <c r="B13" s="192">
        <v>1409956.18</v>
      </c>
      <c r="C13" s="94">
        <f t="shared" si="0"/>
        <v>0.8023663641516483</v>
      </c>
      <c r="D13" s="95">
        <v>6.4699999999999994E-2</v>
      </c>
      <c r="E13" s="79">
        <f t="shared" si="1"/>
        <v>73195.201470255619</v>
      </c>
      <c r="F13" s="79">
        <f t="shared" si="2"/>
        <v>6099.6001225213013</v>
      </c>
      <c r="G13" s="79">
        <f t="shared" si="3"/>
        <v>1409956.18</v>
      </c>
      <c r="H13" s="13">
        <v>10</v>
      </c>
      <c r="I13" s="79">
        <f t="shared" si="4"/>
        <v>140995.61799999999</v>
      </c>
      <c r="J13" s="79">
        <f t="shared" si="5"/>
        <v>11749.634833333332</v>
      </c>
      <c r="K13" s="79">
        <f t="shared" si="6"/>
        <v>17850</v>
      </c>
    </row>
    <row r="14" spans="1:11" x14ac:dyDescent="0.25">
      <c r="B14" s="120"/>
    </row>
    <row r="15" spans="1:11" x14ac:dyDescent="0.25">
      <c r="B15" s="121">
        <f>SUM(B8:B13)</f>
        <v>3943893.0700000003</v>
      </c>
      <c r="D15" s="180">
        <f>AVERAGE(D8:D13)</f>
        <v>6.4699999999999994E-2</v>
      </c>
      <c r="E15" s="14">
        <f>SUM(E8:E13)</f>
        <v>204739.73016366718</v>
      </c>
      <c r="F15" s="22">
        <f>SUM(F8:F13)</f>
        <v>17061.6441803056</v>
      </c>
      <c r="G15" s="14">
        <f>SUM(G8:G13)</f>
        <v>3943893.0700000003</v>
      </c>
      <c r="I15" s="14">
        <f>SUM(I8:I13)</f>
        <v>541991.95016666665</v>
      </c>
      <c r="J15" s="22">
        <f>SUM(J8:J13)</f>
        <v>45165.995847222221</v>
      </c>
      <c r="K15" s="22">
        <f>SUM(K8:K13)</f>
        <v>62231</v>
      </c>
    </row>
    <row r="19" spans="1:7" x14ac:dyDescent="0.25">
      <c r="A19" s="16" t="s">
        <v>238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591598+8648539+(1451020*0.5)</f>
        <v>9965647</v>
      </c>
      <c r="D25" s="196">
        <f>C25/C27</f>
        <v>0.8023663641516483</v>
      </c>
      <c r="E25" s="195" t="s">
        <v>270</v>
      </c>
      <c r="F25" s="195"/>
      <c r="G25" s="197"/>
    </row>
    <row r="26" spans="1:7" x14ac:dyDescent="0.25">
      <c r="A26" s="198"/>
      <c r="B26" s="199" t="s">
        <v>176</v>
      </c>
      <c r="C26" s="200">
        <v>2454673</v>
      </c>
      <c r="D26" s="201">
        <f>C26/C27</f>
        <v>0.19763363584835172</v>
      </c>
      <c r="E26" s="195" t="s">
        <v>270</v>
      </c>
      <c r="F26" s="200"/>
      <c r="G26" s="202"/>
    </row>
    <row r="27" spans="1:7" ht="15.75" thickBot="1" x14ac:dyDescent="0.3">
      <c r="A27" s="203"/>
      <c r="B27" s="204"/>
      <c r="C27" s="205">
        <f>C25+C26</f>
        <v>12420320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0.8023663641516483</v>
      </c>
      <c r="D8" s="95">
        <v>6.54E-2</v>
      </c>
      <c r="E8" s="79">
        <f>B8*C8*D8</f>
        <v>67588.216358773105</v>
      </c>
      <c r="F8" s="79">
        <f>E8/12</f>
        <v>5632.3513632310924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8606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67588.216358773105</v>
      </c>
      <c r="F10" s="22">
        <f>SUM(F8:F8)</f>
        <v>5632.3513632310924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8606</v>
      </c>
    </row>
    <row r="12" spans="1:13" x14ac:dyDescent="0.25">
      <c r="H12" s="209" t="s">
        <v>209</v>
      </c>
    </row>
    <row r="13" spans="1:13" x14ac:dyDescent="0.25">
      <c r="I13"/>
      <c r="J13" t="s">
        <v>185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1704</v>
      </c>
      <c r="L14" s="211">
        <f>+K14*12</f>
        <v>20448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801</v>
      </c>
      <c r="L15" s="211">
        <f t="shared" ref="L15:L18" si="1">+K15*12</f>
        <v>9612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5911</v>
      </c>
      <c r="L16" s="211">
        <f t="shared" si="1"/>
        <v>70932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192</v>
      </c>
      <c r="L17" s="211">
        <f t="shared" si="1"/>
        <v>2304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8608</v>
      </c>
      <c r="L18" s="106">
        <f t="shared" si="1"/>
        <v>103296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0.8023663641516483</v>
      </c>
      <c r="J8" s="95">
        <v>6.54E-2</v>
      </c>
      <c r="L8" s="79">
        <f>F8*H8*J8</f>
        <v>34323.812022644088</v>
      </c>
      <c r="N8" s="79">
        <f>L8/12</f>
        <v>2860.3176685536741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5419</v>
      </c>
    </row>
    <row r="10" spans="3:27" x14ac:dyDescent="0.25">
      <c r="F10" s="14">
        <f>SUM(F8:F8)</f>
        <v>654101.36</v>
      </c>
      <c r="L10" s="14">
        <f>SUM(L8:L8)</f>
        <v>34323.812022644088</v>
      </c>
      <c r="N10" s="22">
        <f>SUM(N8:N8)</f>
        <v>2860.3176685536741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5419</v>
      </c>
    </row>
    <row r="13" spans="3:27" x14ac:dyDescent="0.25">
      <c r="C13" t="s">
        <v>60</v>
      </c>
      <c r="F13" s="8" t="s">
        <v>264</v>
      </c>
      <c r="T13" s="24" t="s">
        <v>232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1067</v>
      </c>
      <c r="AA14" s="236">
        <f>+Z14*12</f>
        <v>12804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498</v>
      </c>
      <c r="AA15" s="236">
        <f t="shared" ref="AA15:AA17" si="1">+Z15*12</f>
        <v>5976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3737</v>
      </c>
      <c r="AA16" s="237">
        <f t="shared" si="1"/>
        <v>44844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119</v>
      </c>
      <c r="AA17" s="236">
        <f t="shared" si="1"/>
        <v>1428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5421</v>
      </c>
      <c r="AA18" s="71">
        <f>SUM(AA14:AA17)</f>
        <v>65052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S14" sqref="S14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Sep 24 billing =Sep invoices = Aug Flow  data= Aug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260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9483.89-SUM('Direct Charges'!F25:F28)</f>
        <v>7121.17</v>
      </c>
      <c r="G7" s="8"/>
      <c r="H7" s="79">
        <f>F7*R$4</f>
        <v>1401.4451515675494</v>
      </c>
      <c r="I7" s="8"/>
      <c r="J7" s="79">
        <f>F7*R$5</f>
        <v>654.40417289521952</v>
      </c>
      <c r="K7" s="8"/>
      <c r="L7" s="79">
        <f>F7*R$6</f>
        <v>4909.6173403579178</v>
      </c>
      <c r="M7" s="8"/>
      <c r="N7" s="79">
        <f>F7*R$7</f>
        <v>155.70333517931363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11199.71</v>
      </c>
      <c r="G8" s="8"/>
      <c r="H8" s="79">
        <f t="shared" ref="H8:H19" si="0">F8*R$4</f>
        <v>2204.1011910209413</v>
      </c>
      <c r="I8" s="8"/>
      <c r="J8" s="79">
        <f>F8*R$5</f>
        <v>1029.2040436074856</v>
      </c>
      <c r="K8" s="8"/>
      <c r="L8" s="79">
        <f>F8*R$6</f>
        <v>7721.5247526712565</v>
      </c>
      <c r="M8" s="8"/>
      <c r="N8" s="79">
        <f>F8*R$7</f>
        <v>244.88001270031617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94641.27</v>
      </c>
      <c r="G10" s="8"/>
      <c r="H10" s="79">
        <f>IF(N10=2000,(F10-N10)*(R4/(R8-R7)),(F10*R4))</f>
        <v>18625.38725794994</v>
      </c>
      <c r="I10" s="8"/>
      <c r="J10" s="83">
        <f>IF(N10=2000,(F10-N10)*(R5/(R8-R7)),(F10*R5))</f>
        <v>8697.1160660541955</v>
      </c>
      <c r="K10" s="8"/>
      <c r="L10" s="83">
        <f>IF(N10=2000,(F10-N10)*(R6/(R8-R7)),(F10*R6))</f>
        <v>65249.449220492643</v>
      </c>
      <c r="M10" s="8"/>
      <c r="N10" s="83">
        <f>IF((F10*R$7&lt;2000),(2000),F10*R$7)</f>
        <v>2069.3174555032278</v>
      </c>
      <c r="O10" s="8"/>
      <c r="P10" s="8"/>
      <c r="Q10" s="8"/>
      <c r="U10" s="73"/>
    </row>
    <row r="11" spans="1:21" x14ac:dyDescent="0.25">
      <c r="B11" t="s">
        <v>20</v>
      </c>
      <c r="F11" s="112">
        <f>14001.57-SUM('Direct Charges'!F34:F39)</f>
        <v>11556.96</v>
      </c>
      <c r="G11" s="8"/>
      <c r="H11" s="79">
        <f t="shared" si="0"/>
        <v>2274.4079356145276</v>
      </c>
      <c r="I11" s="8"/>
      <c r="J11" s="79">
        <f>F11*R$5</f>
        <v>1062.0337458568094</v>
      </c>
      <c r="K11" s="8"/>
      <c r="L11" s="79">
        <f>F11*R$6</f>
        <v>7967.8270870970409</v>
      </c>
      <c r="M11" s="8"/>
      <c r="N11" s="79">
        <f>F11*R$7</f>
        <v>252.69123143162153</v>
      </c>
      <c r="O11" s="8"/>
      <c r="U11" s="73"/>
    </row>
    <row r="12" spans="1:21" x14ac:dyDescent="0.25">
      <c r="B12" t="s">
        <v>21</v>
      </c>
      <c r="F12" s="155">
        <f>22100.8-SUM('Direct Charges'!F42:F45)</f>
        <v>2798.6099999999969</v>
      </c>
      <c r="G12" s="8"/>
      <c r="H12" s="79">
        <f t="shared" si="0"/>
        <v>550.76601395956777</v>
      </c>
      <c r="I12" s="8"/>
      <c r="J12" s="79">
        <f>F12*R$5</f>
        <v>257.17993845200834</v>
      </c>
      <c r="K12" s="8"/>
      <c r="L12" s="79">
        <f>F12*R$6</f>
        <v>1929.4728513571586</v>
      </c>
      <c r="M12" s="8"/>
      <c r="N12" s="79">
        <f>F12*R$7</f>
        <v>61.191196231262339</v>
      </c>
      <c r="O12" s="8"/>
    </row>
    <row r="13" spans="1:21" x14ac:dyDescent="0.25">
      <c r="B13" t="s">
        <v>25</v>
      </c>
      <c r="F13" s="112">
        <v>19780.16</v>
      </c>
      <c r="G13" s="8"/>
      <c r="H13" s="79">
        <f t="shared" si="0"/>
        <v>3892.7324202666664</v>
      </c>
      <c r="I13" s="8"/>
      <c r="J13" s="79">
        <f>F13*R$5</f>
        <v>1817.7096241958982</v>
      </c>
      <c r="K13" s="8"/>
      <c r="L13" s="79">
        <f>F13*R$6</f>
        <v>13637.227664983993</v>
      </c>
      <c r="M13" s="8"/>
      <c r="N13" s="79">
        <f>F13*R$7</f>
        <v>432.4902905534417</v>
      </c>
      <c r="O13" s="8"/>
    </row>
    <row r="14" spans="1:21" x14ac:dyDescent="0.25">
      <c r="B14" t="s">
        <v>26</v>
      </c>
      <c r="F14" s="112">
        <v>84.25</v>
      </c>
      <c r="G14" s="8"/>
      <c r="H14" s="79">
        <f>F14*R$4</f>
        <v>16.58038693354688</v>
      </c>
      <c r="I14" s="8"/>
      <c r="J14" s="79">
        <f>F14*R$5</f>
        <v>7.7422040993856687</v>
      </c>
      <c r="K14" s="8"/>
      <c r="L14" s="79">
        <f>F14*R$6</f>
        <v>58.085295102511886</v>
      </c>
      <c r="M14" s="8"/>
      <c r="N14" s="79">
        <f>F14*R$7</f>
        <v>1.8421138645555679</v>
      </c>
      <c r="O14" s="8"/>
    </row>
    <row r="15" spans="1:21" x14ac:dyDescent="0.25">
      <c r="B15" t="s">
        <v>27</v>
      </c>
      <c r="F15" s="112">
        <v>19651.490000000002</v>
      </c>
      <c r="G15" s="8"/>
      <c r="H15" s="79">
        <f>IF(N15=1000,(F15-N15)*(R4/(R8-R7)),(F15*R4))</f>
        <v>3752.6617365103043</v>
      </c>
      <c r="I15" s="8"/>
      <c r="J15" s="83">
        <f>IF(N15=1000,(F15-N15)*(R5/(R8-R7)),(F15*R5))</f>
        <v>1752.3036824450396</v>
      </c>
      <c r="K15" s="8"/>
      <c r="L15" s="83">
        <f>IF(N15=1000,(F15-N15)*(R6/(R8-R7)),(F15*R6))</f>
        <v>13146.524581044658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194</v>
      </c>
      <c r="F16" s="112">
        <v>2276.0100000000002</v>
      </c>
      <c r="G16" s="8"/>
      <c r="H16" s="79">
        <v>0</v>
      </c>
      <c r="I16" s="8"/>
      <c r="J16" s="79">
        <v>0</v>
      </c>
      <c r="K16" s="8"/>
      <c r="L16" s="79">
        <f>+F16</f>
        <v>2276.0100000000002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4960.53</v>
      </c>
      <c r="G18" s="8"/>
      <c r="H18" s="79">
        <f t="shared" si="0"/>
        <v>976.23153466430028</v>
      </c>
      <c r="I18" s="8"/>
      <c r="J18" s="79">
        <f>F18*R$5</f>
        <v>455.85086885609007</v>
      </c>
      <c r="K18" s="8"/>
      <c r="L18" s="79">
        <f>F18*R$6</f>
        <v>3419.9863372684067</v>
      </c>
      <c r="M18" s="8"/>
      <c r="N18" s="79">
        <f>F18*R$7</f>
        <v>108.46125921120274</v>
      </c>
      <c r="O18" s="8"/>
    </row>
    <row r="19" spans="1:19" x14ac:dyDescent="0.25">
      <c r="B19" t="s">
        <v>30</v>
      </c>
      <c r="F19" s="112">
        <v>649.64</v>
      </c>
      <c r="G19" s="8"/>
      <c r="H19" s="79">
        <f t="shared" si="0"/>
        <v>127.84905124640231</v>
      </c>
      <c r="I19" s="8"/>
      <c r="J19" s="79">
        <f>F19*R$5</f>
        <v>59.69905603709087</v>
      </c>
      <c r="K19" s="8"/>
      <c r="L19" s="79">
        <f>F19*R$6</f>
        <v>447.8876096189415</v>
      </c>
      <c r="M19" s="8"/>
      <c r="N19" s="79">
        <f>F19*R$7</f>
        <v>14.20428309756533</v>
      </c>
      <c r="O19" s="8"/>
      <c r="R19" t="s">
        <v>186</v>
      </c>
      <c r="S19" t="s">
        <v>184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34384.829542456071</v>
      </c>
      <c r="S20" s="55">
        <f>+H21-R20</f>
        <v>-562.66686272231891</v>
      </c>
    </row>
    <row r="21" spans="1:19" x14ac:dyDescent="0.25">
      <c r="F21" s="84">
        <f>SUM(F6:F19)</f>
        <v>174719.8</v>
      </c>
      <c r="G21" s="23"/>
      <c r="H21" s="84">
        <f>SUM(H6:H19)</f>
        <v>33822.162679733752</v>
      </c>
      <c r="I21" s="23"/>
      <c r="J21" s="84">
        <f>SUM(J6:J19)</f>
        <v>15793.243402499225</v>
      </c>
      <c r="K21" s="23"/>
      <c r="L21" s="84">
        <f>SUM(L6:L19)</f>
        <v>120763.61273999451</v>
      </c>
      <c r="M21" s="23"/>
      <c r="N21" s="84">
        <f>SUM(N6:N19)</f>
        <v>4340.7811777725065</v>
      </c>
      <c r="O21" s="23"/>
      <c r="P21" s="241" t="s">
        <v>11</v>
      </c>
      <c r="Q21" s="241"/>
      <c r="R21" s="149">
        <f>+F21*R5</f>
        <v>16055.980436840879</v>
      </c>
      <c r="S21" s="55">
        <f>+J21-R21</f>
        <v>-262.73703434165327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120458.76727895378</v>
      </c>
      <c r="S22" s="55">
        <f>+L21-R22</f>
        <v>304.84546104073524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3820.2227417492686</v>
      </c>
      <c r="S23" s="55">
        <f>+N21-R23</f>
        <v>520.55843602323785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174719.8</v>
      </c>
      <c r="S24" s="152">
        <f>SUM(S20:S23)</f>
        <v>9.0949470177292824E-13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19279</v>
      </c>
      <c r="G27" s="6"/>
      <c r="H27" s="79">
        <f t="shared" ref="H27:H29" si="1">F27*R$4</f>
        <v>3794.1042099922884</v>
      </c>
      <c r="I27" s="8"/>
      <c r="J27" s="85">
        <f t="shared" ref="J27:J29" si="2">F27*R$5</f>
        <v>1771.6552264932498</v>
      </c>
      <c r="K27" s="8"/>
      <c r="L27" s="79">
        <f t="shared" ref="L27:L29" si="3">F27*R$6</f>
        <v>13291.70806268637</v>
      </c>
      <c r="M27" s="8"/>
      <c r="N27" s="79">
        <f t="shared" ref="N27:N29" si="4">F27*R$7</f>
        <v>421.53250082809251</v>
      </c>
      <c r="O27" s="8"/>
    </row>
    <row r="28" spans="1:19" x14ac:dyDescent="0.25">
      <c r="B28" t="s">
        <v>32</v>
      </c>
      <c r="F28" s="79">
        <f>'2024 NUC Rent'!K9</f>
        <v>5585</v>
      </c>
      <c r="G28" s="6"/>
      <c r="H28" s="79">
        <f t="shared" si="1"/>
        <v>1099.127133814354</v>
      </c>
      <c r="I28" s="8"/>
      <c r="J28" s="85">
        <f t="shared" si="2"/>
        <v>513.23691270111522</v>
      </c>
      <c r="K28" s="8"/>
      <c r="L28" s="79">
        <f t="shared" si="3"/>
        <v>3850.5207495255654</v>
      </c>
      <c r="M28" s="8"/>
      <c r="N28" s="79">
        <f t="shared" si="4"/>
        <v>122.11520395896554</v>
      </c>
      <c r="O28" s="8"/>
    </row>
    <row r="29" spans="1:19" x14ac:dyDescent="0.25">
      <c r="B29" t="s">
        <v>47</v>
      </c>
      <c r="F29" s="79">
        <f>'2024 NUC Rent'!K10</f>
        <v>8937</v>
      </c>
      <c r="G29" s="6"/>
      <c r="H29" s="79">
        <f t="shared" si="1"/>
        <v>1758.8002139478749</v>
      </c>
      <c r="I29" s="8"/>
      <c r="J29" s="85">
        <f t="shared" si="2"/>
        <v>821.27095591940315</v>
      </c>
      <c r="K29" s="8"/>
      <c r="L29" s="79">
        <f t="shared" si="3"/>
        <v>6161.5226389453856</v>
      </c>
      <c r="M29" s="8"/>
      <c r="N29" s="79">
        <f t="shared" si="4"/>
        <v>195.40619118733662</v>
      </c>
      <c r="O29" s="8"/>
    </row>
    <row r="30" spans="1:19" x14ac:dyDescent="0.25">
      <c r="B30" t="s">
        <v>48</v>
      </c>
      <c r="F30" s="79">
        <f>'2024 NUC Rent'!K11</f>
        <v>5399</v>
      </c>
      <c r="G30" s="6"/>
      <c r="H30" s="79">
        <f>F30*R$4</f>
        <v>1062.5223626613604</v>
      </c>
      <c r="I30" s="8"/>
      <c r="J30" s="85">
        <f>F30*R$5</f>
        <v>496.14433154401451</v>
      </c>
      <c r="K30" s="8"/>
      <c r="L30" s="79">
        <f>F30*R$6</f>
        <v>3722.2849644921266</v>
      </c>
      <c r="M30" s="8"/>
      <c r="N30" s="79">
        <f>F30*R$7</f>
        <v>118.04834130249864</v>
      </c>
      <c r="O30" s="8"/>
    </row>
    <row r="31" spans="1:19" x14ac:dyDescent="0.25">
      <c r="B31" t="s">
        <v>41</v>
      </c>
      <c r="F31" s="79">
        <f>'2024 NUC Rent'!K12</f>
        <v>5181</v>
      </c>
      <c r="G31" s="6"/>
      <c r="H31" s="79">
        <f>F31*R$4</f>
        <v>1019.6199964712924</v>
      </c>
      <c r="I31" s="8"/>
      <c r="J31" s="79">
        <f>F31*R$5</f>
        <v>476.11109126311158</v>
      </c>
      <c r="K31" s="8"/>
      <c r="L31" s="79">
        <f>F31*R$6</f>
        <v>3571.9871089153007</v>
      </c>
      <c r="M31" s="8"/>
      <c r="N31" s="79">
        <f>F31*R$7</f>
        <v>113.28180335029552</v>
      </c>
      <c r="O31" s="8"/>
    </row>
    <row r="32" spans="1:19" x14ac:dyDescent="0.25">
      <c r="B32" t="s">
        <v>31</v>
      </c>
      <c r="F32" s="79">
        <f>'2024 NUC Rent'!K13</f>
        <v>17850</v>
      </c>
      <c r="G32" s="6"/>
      <c r="H32" s="79">
        <f>F32*R$4</f>
        <v>3512.8772316179443</v>
      </c>
      <c r="I32" s="8"/>
      <c r="J32" s="79">
        <f>F32*R$5</f>
        <v>1640.3364174959547</v>
      </c>
      <c r="K32" s="8"/>
      <c r="L32" s="79">
        <f>F32*R$6</f>
        <v>12306.49872498323</v>
      </c>
      <c r="M32" s="8"/>
      <c r="N32" s="79">
        <f>F32*R$7</f>
        <v>390.28762590287107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62231</v>
      </c>
      <c r="G34" s="20"/>
      <c r="H34" s="84">
        <f>SUM(H27:H32)</f>
        <v>12247.051148505114</v>
      </c>
      <c r="I34" s="23"/>
      <c r="J34" s="84">
        <f>SUM(J27:J32)</f>
        <v>5718.7549354168495</v>
      </c>
      <c r="K34" s="23"/>
      <c r="L34" s="84">
        <f>SUM(L27:L32)</f>
        <v>42904.522249547983</v>
      </c>
      <c r="M34" s="23"/>
      <c r="N34" s="84">
        <f>SUM(N27:N32)</f>
        <v>1360.6716665300598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41" activePane="bottomRight" state="frozen"/>
      <selection pane="topRight" activeCell="E1" sqref="E1"/>
      <selection pane="bottomLeft" activeCell="A5" sqref="A5"/>
      <selection pane="bottomRight" activeCell="Q54" sqref="Q54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Sep 24 billing =Sep invoices = Aug Flow  data= Aug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260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86648.19</v>
      </c>
      <c r="G6" s="60"/>
      <c r="H6" s="85">
        <f>ROUNDUP(IF(N6=2500,(F6-L6-N6)*(Q4/(Q8-Q6-Q7)),(F6*R4)),0)</f>
        <v>45585</v>
      </c>
      <c r="I6" s="60"/>
      <c r="J6" s="222">
        <f>ROUNDUP(IF(SUM(H6,L6,N6,F6*R5)&gt;F6,((F6-L6-N6)*(Q5/(Q8-Q6-Q7))),(F6*R5)),0)</f>
        <v>27658</v>
      </c>
      <c r="K6" s="60"/>
      <c r="L6" s="85">
        <f>ROUNDUP(IF((F6*R$6&lt;2500),(2500),F6*R$6),0)</f>
        <v>5487</v>
      </c>
      <c r="M6" s="60"/>
      <c r="N6" s="85">
        <f>ROUNDUP(IF((F6*R$7&lt;2500),(2500),F6*R$7),0)</f>
        <v>7920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16660.46</v>
      </c>
      <c r="G7" s="60"/>
      <c r="H7" s="85">
        <f>ROUNDUP(F7*R$4,0)</f>
        <v>8765</v>
      </c>
      <c r="I7" s="60"/>
      <c r="J7" s="222">
        <f>ROUNDUP(F7*R$5,0)</f>
        <v>5319</v>
      </c>
      <c r="K7" s="60"/>
      <c r="L7" s="85">
        <f>ROUNDUP(F7*R$6,0)</f>
        <v>1055</v>
      </c>
      <c r="M7" s="60"/>
      <c r="N7" s="85">
        <f>ROUNDUP(F7*R$7,0)</f>
        <v>1523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8104.87</v>
      </c>
      <c r="G9" s="60"/>
      <c r="H9" s="85">
        <v>0</v>
      </c>
      <c r="I9" s="60"/>
      <c r="J9" s="222">
        <v>0</v>
      </c>
      <c r="K9" s="60"/>
      <c r="L9" s="85">
        <f>ROUNDUP(F9,0)</f>
        <v>8105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1634.37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4909.6173403579178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6543.9873403579177</v>
      </c>
      <c r="G13" s="60"/>
      <c r="H13" s="85">
        <f>ROUNDUP(F13*R$4,0)</f>
        <v>3443</v>
      </c>
      <c r="I13" s="60"/>
      <c r="J13" s="222">
        <f>ROUNDUP(F13*R$5,0)</f>
        <v>2089</v>
      </c>
      <c r="K13" s="60"/>
      <c r="L13" s="85">
        <f>ROUNDUP(F13*R$6,0)</f>
        <v>415</v>
      </c>
      <c r="M13" s="60"/>
      <c r="N13" s="85">
        <f>ROUNDUP(F13*R$7,0)</f>
        <v>599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4238.18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7721.5247526712565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11959.704752671256</v>
      </c>
      <c r="G17" s="60"/>
      <c r="H17" s="85">
        <f>ROUNDUP(F17*R$4,0)</f>
        <v>6292</v>
      </c>
      <c r="I17" s="60"/>
      <c r="J17" s="222">
        <f>ROUNDUP(F17*R$5,0)</f>
        <v>3818</v>
      </c>
      <c r="K17" s="60"/>
      <c r="L17" s="85">
        <f>ROUNDUP(F17*R$6,0)</f>
        <v>758</v>
      </c>
      <c r="M17" s="60"/>
      <c r="N17" s="85">
        <f>ROUNDUP(F17*R$7,0)</f>
        <v>1094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65249.449220492643</v>
      </c>
      <c r="G19" s="60"/>
      <c r="H19" s="85">
        <f>ROUNDUP(F19*R$4,0)</f>
        <v>34327</v>
      </c>
      <c r="I19" s="60"/>
      <c r="J19" s="222">
        <f>ROUNDUP(F19*R$5,0)</f>
        <v>20828</v>
      </c>
      <c r="K19" s="60"/>
      <c r="L19" s="85">
        <f>ROUNDUP(F19*R$6,0)</f>
        <v>4132</v>
      </c>
      <c r="M19" s="60"/>
      <c r="N19" s="85">
        <f>ROUNDUP(F19*R$7,0)</f>
        <v>5964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2030.42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7967.8270870970409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9998.247087097041</v>
      </c>
      <c r="G23" s="60"/>
      <c r="H23" s="85">
        <f>ROUNDUP(F23*R$4,0)</f>
        <v>5260</v>
      </c>
      <c r="I23" s="60"/>
      <c r="J23" s="222">
        <f>ROUNDUP(F23*R$5,0)</f>
        <v>3192</v>
      </c>
      <c r="K23" s="60"/>
      <c r="L23" s="85">
        <f>ROUNDUP(F23*R$6,0)</f>
        <v>634</v>
      </c>
      <c r="M23" s="60"/>
      <c r="N23" s="85">
        <f>ROUNDUP(F23*R$7,0)</f>
        <v>914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11113.78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1929.4728513571586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13043.25285135716</v>
      </c>
      <c r="G27" s="60"/>
      <c r="H27" s="85">
        <f>ROUNDUP(F27*R$4,0)</f>
        <v>6862</v>
      </c>
      <c r="I27" s="60"/>
      <c r="J27" s="222">
        <f>ROUNDUP(F27*R$5,0)</f>
        <v>4164</v>
      </c>
      <c r="K27" s="60"/>
      <c r="L27" s="85">
        <f>ROUNDUP(F27*R$6,0)</f>
        <v>826</v>
      </c>
      <c r="M27" s="60"/>
      <c r="N27" s="85">
        <f>ROUNDUP(F27*R$7,0)</f>
        <v>1193</v>
      </c>
    </row>
    <row r="28" spans="2:22" x14ac:dyDescent="0.25">
      <c r="B28" t="s">
        <v>25</v>
      </c>
      <c r="F28" s="85">
        <f>'Allocation Charges'!L13</f>
        <v>13637.227664983993</v>
      </c>
      <c r="G28" s="60"/>
      <c r="H28" s="85">
        <f>ROUNDUP(F28*R$4,0)</f>
        <v>7175</v>
      </c>
      <c r="I28" s="60"/>
      <c r="J28" s="222">
        <f>ROUNDUP(F28*R$5,0)</f>
        <v>4354</v>
      </c>
      <c r="K28" s="60"/>
      <c r="L28" s="85">
        <f>ROUNDUP(F28*R$6,0)</f>
        <v>864</v>
      </c>
      <c r="M28" s="60"/>
      <c r="N28" s="85">
        <f>ROUNDUP(F28*R$7,0)</f>
        <v>1247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424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58.085295102511886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482.08529510251191</v>
      </c>
      <c r="G32" s="60"/>
      <c r="H32" s="85">
        <f>ROUNDUP(F32*R$4,0)</f>
        <v>254</v>
      </c>
      <c r="I32" s="60"/>
      <c r="J32" s="222">
        <f>ROUNDUP(F32*R$5,0)</f>
        <v>154</v>
      </c>
      <c r="K32" s="60"/>
      <c r="L32" s="85">
        <f>ROUNDUP(F32*R$6,0)</f>
        <v>31</v>
      </c>
      <c r="M32" s="60"/>
      <c r="N32" s="85">
        <f>ROUNDUP(F32*R$7,0)</f>
        <v>45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29774.1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13146.524581044658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42920.624581044656</v>
      </c>
      <c r="G36" s="60"/>
      <c r="H36" s="85">
        <f>ROUNDUP(F36*R$4,0)</f>
        <v>22580</v>
      </c>
      <c r="I36" s="60"/>
      <c r="J36" s="222">
        <f>ROUNDUP(F36*R$5,0)</f>
        <v>13701</v>
      </c>
      <c r="K36" s="60"/>
      <c r="L36" s="85">
        <f>ROUNDUP(F36*R$6,0)</f>
        <v>2718</v>
      </c>
      <c r="M36" s="60"/>
      <c r="N36" s="85">
        <f>ROUNDUP(F36*R$7,0)</f>
        <v>3923</v>
      </c>
    </row>
    <row r="37" spans="1:17" x14ac:dyDescent="0.25">
      <c r="B37" t="s">
        <v>194</v>
      </c>
      <c r="F37" s="85">
        <f>'Allocation Charges'!L16</f>
        <v>2276.0100000000002</v>
      </c>
      <c r="G37" s="60"/>
      <c r="H37" s="85">
        <f>ROUNDUP(F37*R$4,0)</f>
        <v>1198</v>
      </c>
      <c r="I37" s="60"/>
      <c r="J37" s="222">
        <f>ROUNDUP(F37*R$5,0)</f>
        <v>727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3419.9863372684067</v>
      </c>
      <c r="G39" s="60"/>
      <c r="H39" s="85">
        <f>ROUNDUP(F39*R$4,0)</f>
        <v>1800</v>
      </c>
      <c r="I39" s="60"/>
      <c r="J39" s="222">
        <f>ROUNDUP(F39*R$5,0)</f>
        <v>1092</v>
      </c>
      <c r="K39" s="60"/>
      <c r="L39" s="85">
        <f>ROUNDUP(F39*R$6,0)</f>
        <v>217</v>
      </c>
      <c r="M39" s="60"/>
      <c r="N39" s="85">
        <f>ROUNDUP(F39*R$7,0)</f>
        <v>313</v>
      </c>
    </row>
    <row r="40" spans="1:17" x14ac:dyDescent="0.25">
      <c r="B40" t="s">
        <v>30</v>
      </c>
      <c r="F40" s="85">
        <f>'Allocation Charges'!L19</f>
        <v>447.8876096189415</v>
      </c>
      <c r="G40" s="60"/>
      <c r="H40" s="85">
        <f>ROUNDUP(F40*R$4,0)</f>
        <v>236</v>
      </c>
      <c r="I40" s="60"/>
      <c r="J40" s="222">
        <f>ROUNDUP(F40*R$5,0)</f>
        <v>143</v>
      </c>
      <c r="K40" s="60"/>
      <c r="L40" s="85">
        <f>ROUNDUP(F40*R$6,0)</f>
        <v>29</v>
      </c>
      <c r="M40" s="60"/>
      <c r="N40" s="85">
        <f>ROUNDUP(F40*R$7,0)</f>
        <v>41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281391.98273999454</v>
      </c>
      <c r="G42" s="60"/>
      <c r="H42" s="219">
        <f>SUM(H6:H41)</f>
        <v>143777</v>
      </c>
      <c r="I42" s="60"/>
      <c r="J42" s="219">
        <f>SUM(J6:J41)</f>
        <v>87239</v>
      </c>
      <c r="K42" s="60"/>
      <c r="L42" s="219">
        <f>SUM(L6:L41)</f>
        <v>25416</v>
      </c>
      <c r="M42" s="60"/>
      <c r="N42" s="219">
        <f>SUM(N6:N41)</f>
        <v>24985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13291.70806268637</v>
      </c>
      <c r="G46" s="8"/>
      <c r="H46" s="85">
        <f t="shared" ref="H46:H51" si="0">ROUNDUP(F46*R$4,0)</f>
        <v>6993</v>
      </c>
      <c r="I46" s="8"/>
      <c r="J46" s="222">
        <f t="shared" ref="J46:J51" si="1">ROUNDUP(F46*R$5,0)</f>
        <v>4243</v>
      </c>
      <c r="K46" s="8"/>
      <c r="L46" s="85">
        <f t="shared" ref="L46:L51" si="2">ROUNDUP(F46*R$6,0)</f>
        <v>842</v>
      </c>
      <c r="M46" s="8"/>
      <c r="N46" s="85">
        <f t="shared" ref="N46:N51" si="3">ROUNDUP(F46*R$7,0)</f>
        <v>1215</v>
      </c>
    </row>
    <row r="47" spans="1:17" x14ac:dyDescent="0.25">
      <c r="B47" t="s">
        <v>101</v>
      </c>
      <c r="F47" s="85">
        <f>'Allocation Charges'!L28</f>
        <v>3850.5207495255654</v>
      </c>
      <c r="G47" s="8"/>
      <c r="H47" s="85">
        <f t="shared" si="0"/>
        <v>2026</v>
      </c>
      <c r="I47" s="8"/>
      <c r="J47" s="222">
        <f t="shared" si="1"/>
        <v>1230</v>
      </c>
      <c r="K47" s="8"/>
      <c r="L47" s="85">
        <f t="shared" si="2"/>
        <v>244</v>
      </c>
      <c r="M47" s="8"/>
      <c r="N47" s="85">
        <f t="shared" si="3"/>
        <v>352</v>
      </c>
    </row>
    <row r="48" spans="1:17" x14ac:dyDescent="0.25">
      <c r="B48" t="s">
        <v>102</v>
      </c>
      <c r="F48" s="85">
        <f>'Allocation Charges'!L29</f>
        <v>6161.5226389453856</v>
      </c>
      <c r="G48" s="8"/>
      <c r="H48" s="85">
        <f t="shared" si="0"/>
        <v>3242</v>
      </c>
      <c r="I48" s="8"/>
      <c r="J48" s="222">
        <f t="shared" si="1"/>
        <v>1967</v>
      </c>
      <c r="K48" s="8"/>
      <c r="L48" s="85">
        <f t="shared" si="2"/>
        <v>391</v>
      </c>
      <c r="M48" s="8"/>
      <c r="N48" s="85">
        <f t="shared" si="3"/>
        <v>564</v>
      </c>
    </row>
    <row r="49" spans="1:14" x14ac:dyDescent="0.25">
      <c r="B49" t="s">
        <v>103</v>
      </c>
      <c r="F49" s="85">
        <f>'Allocation Charges'!L30</f>
        <v>3722.2849644921266</v>
      </c>
      <c r="G49" s="8"/>
      <c r="H49" s="85">
        <f t="shared" si="0"/>
        <v>1959</v>
      </c>
      <c r="I49" s="8"/>
      <c r="J49" s="222">
        <f t="shared" si="1"/>
        <v>1189</v>
      </c>
      <c r="K49" s="8"/>
      <c r="L49" s="85">
        <f t="shared" si="2"/>
        <v>236</v>
      </c>
      <c r="M49" s="8"/>
      <c r="N49" s="85">
        <f t="shared" si="3"/>
        <v>341</v>
      </c>
    </row>
    <row r="50" spans="1:14" x14ac:dyDescent="0.25">
      <c r="B50" t="s">
        <v>104</v>
      </c>
      <c r="F50" s="85">
        <f>'Allocation Charges'!L31</f>
        <v>3571.9871089153007</v>
      </c>
      <c r="G50" s="8"/>
      <c r="H50" s="85">
        <f t="shared" si="0"/>
        <v>1880</v>
      </c>
      <c r="I50" s="8"/>
      <c r="J50" s="222">
        <f t="shared" si="1"/>
        <v>1141</v>
      </c>
      <c r="K50" s="8"/>
      <c r="L50" s="85">
        <f t="shared" si="2"/>
        <v>227</v>
      </c>
      <c r="M50" s="8"/>
      <c r="N50" s="85">
        <f t="shared" si="3"/>
        <v>327</v>
      </c>
    </row>
    <row r="51" spans="1:14" x14ac:dyDescent="0.25">
      <c r="B51" t="s">
        <v>105</v>
      </c>
      <c r="F51" s="85">
        <f>'Allocation Charges'!L32</f>
        <v>12306.49872498323</v>
      </c>
      <c r="G51" s="8"/>
      <c r="H51" s="85">
        <f t="shared" si="0"/>
        <v>6475</v>
      </c>
      <c r="I51" s="8"/>
      <c r="J51" s="222">
        <f t="shared" si="1"/>
        <v>3929</v>
      </c>
      <c r="K51" s="8"/>
      <c r="L51" s="85">
        <f t="shared" si="2"/>
        <v>780</v>
      </c>
      <c r="M51" s="8"/>
      <c r="N51" s="85">
        <f t="shared" si="3"/>
        <v>1125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42904.522249547983</v>
      </c>
      <c r="G53" s="8"/>
      <c r="H53" s="219">
        <f>SUM(H46:H51)</f>
        <v>22575</v>
      </c>
      <c r="I53" s="8"/>
      <c r="J53" s="220">
        <f>SUM(J46:J51)</f>
        <v>13699</v>
      </c>
      <c r="K53" s="8"/>
      <c r="L53" s="219">
        <f>SUM(L46:L51)</f>
        <v>2720</v>
      </c>
      <c r="M53" s="8"/>
      <c r="N53" s="219">
        <f>SUM(N46:N51)</f>
        <v>3924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14530</v>
      </c>
      <c r="G57" s="8"/>
      <c r="H57" s="85">
        <v>0</v>
      </c>
      <c r="I57" s="8"/>
      <c r="J57" s="222">
        <f>ROUNDUP('Commodity OK'!F25+'Commodity OK'!F26+'Commodity OK'!F27,0)</f>
        <v>14530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80985</v>
      </c>
      <c r="G58" s="120"/>
      <c r="H58" s="85">
        <f>ROUNDUP('Commodity OK'!Q6-H59,0)</f>
        <v>28817</v>
      </c>
      <c r="I58" s="120"/>
      <c r="J58" s="222">
        <f>ROUNDUP('Commodity OK'!Q8-J59-J57,0)</f>
        <v>11529</v>
      </c>
      <c r="K58" s="120"/>
      <c r="L58" s="222">
        <f>ROUNDUP('Commodity OK'!Q7-L59,0)</f>
        <v>13200</v>
      </c>
      <c r="M58" s="120"/>
      <c r="N58" s="222">
        <f>ROUNDUP('Commodity OK'!Q9-N59-N60,0)</f>
        <v>27439</v>
      </c>
    </row>
    <row r="59" spans="1:14" x14ac:dyDescent="0.25">
      <c r="A59" s="16"/>
      <c r="B59" t="s">
        <v>108</v>
      </c>
      <c r="F59" s="85">
        <f>SUM(H59:N59)</f>
        <v>5607</v>
      </c>
      <c r="G59" s="120"/>
      <c r="H59" s="85">
        <f>ROUNDUP(('Commodity OK'!F44-'Commodity OK'!F41)*'Commodity OK'!O6,0)</f>
        <v>1691</v>
      </c>
      <c r="I59" s="120"/>
      <c r="J59" s="222">
        <f>ROUNDUP(('Commodity OK'!F44-'Commodity OK'!F41)*'Commodity OK'!O8,0)</f>
        <v>1529</v>
      </c>
      <c r="K59" s="120"/>
      <c r="L59" s="222">
        <f>ROUNDUP(('Commodity OK'!F44-'Commodity OK'!F41)*'Commodity OK'!O7,0)</f>
        <v>775</v>
      </c>
      <c r="M59" s="120"/>
      <c r="N59" s="222">
        <f>ROUNDUP(('Commodity OK'!F44-'Commodity OK'!F41)*'Commodity OK'!O9,0)</f>
        <v>1612</v>
      </c>
    </row>
    <row r="60" spans="1:14" x14ac:dyDescent="0.25">
      <c r="A60" s="16"/>
      <c r="B60" t="s">
        <v>113</v>
      </c>
      <c r="F60" s="85">
        <f>SUM(H60:N60)</f>
        <v>40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OK'!F41,0)</f>
        <v>40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101162</v>
      </c>
      <c r="G62" s="221"/>
      <c r="H62" s="219">
        <f>SUM(H57:H60)</f>
        <v>30508</v>
      </c>
      <c r="I62" s="221"/>
      <c r="J62" s="219">
        <f>SUM(J57:J60)</f>
        <v>27588</v>
      </c>
      <c r="K62" s="221"/>
      <c r="L62" s="219">
        <f>SUM(L57:L60)</f>
        <v>13975</v>
      </c>
      <c r="M62" s="221"/>
      <c r="N62" s="220">
        <f>SUM(N57:N60)</f>
        <v>29091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425458.50498954253</v>
      </c>
      <c r="G66" s="120"/>
      <c r="H66" s="219">
        <f>H53+H42+H62</f>
        <v>196860</v>
      </c>
      <c r="I66" s="120"/>
      <c r="J66" s="220">
        <f>J53+J42+J62</f>
        <v>128526</v>
      </c>
      <c r="K66" s="120"/>
      <c r="L66" s="220">
        <f>L53+L42+L62</f>
        <v>42111</v>
      </c>
      <c r="M66" s="120"/>
      <c r="N66" s="220">
        <f>N53+N42+N62</f>
        <v>58000</v>
      </c>
    </row>
    <row r="68" spans="4:14" x14ac:dyDescent="0.25">
      <c r="F68" s="6">
        <f>SUM(H66:N66)</f>
        <v>425497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topLeftCell="A47" zoomScaleNormal="100" workbookViewId="0">
      <selection activeCell="V68" sqref="V68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272</v>
      </c>
      <c r="G2" s="97"/>
      <c r="H2" s="97" t="s">
        <v>273</v>
      </c>
      <c r="I2" s="99"/>
      <c r="J2" s="54"/>
    </row>
    <row r="3" spans="2:21" x14ac:dyDescent="0.25">
      <c r="M3" s="101" t="s">
        <v>275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274</v>
      </c>
      <c r="N4" s="19"/>
      <c r="O4" s="19" t="s">
        <v>78</v>
      </c>
      <c r="P4" s="19"/>
      <c r="Q4" s="19" t="s">
        <v>79</v>
      </c>
      <c r="R4" s="19"/>
      <c r="S4" s="176" t="s">
        <v>276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262</v>
      </c>
      <c r="D6" s="88">
        <v>128</v>
      </c>
      <c r="E6" s="27"/>
      <c r="F6" s="214">
        <v>339.18</v>
      </c>
      <c r="H6" s="6">
        <f t="shared" ref="H6:H17" si="0">F6/D6</f>
        <v>2.6498437500000001</v>
      </c>
      <c r="K6" t="s">
        <v>33</v>
      </c>
      <c r="M6" s="132">
        <v>99506</v>
      </c>
      <c r="O6" s="25">
        <f>+M6/$M$11</f>
        <v>0.3015753711123369</v>
      </c>
      <c r="Q6" s="6">
        <f>O6*F46</f>
        <v>30507.307242403487</v>
      </c>
      <c r="S6" s="132">
        <v>88754</v>
      </c>
      <c r="U6" s="110" t="s">
        <v>152</v>
      </c>
    </row>
    <row r="7" spans="2:21" x14ac:dyDescent="0.25">
      <c r="C7" s="127" t="s">
        <v>141</v>
      </c>
      <c r="D7" s="88">
        <f>2880+227</f>
        <v>3107</v>
      </c>
      <c r="E7" s="27"/>
      <c r="F7" s="214">
        <f>1561.04+1650</f>
        <v>3211.04</v>
      </c>
      <c r="H7" s="6">
        <f t="shared" si="0"/>
        <v>1.0334856775024139</v>
      </c>
      <c r="K7" t="s">
        <v>81</v>
      </c>
      <c r="M7" s="132">
        <v>45582</v>
      </c>
      <c r="O7" s="25">
        <f t="shared" ref="O7:O9" si="1">+M7/$M$11</f>
        <v>0.1381465295162356</v>
      </c>
      <c r="Q7" s="6">
        <f>O7*F46</f>
        <v>13974.876678021785</v>
      </c>
      <c r="S7" s="132">
        <v>26038</v>
      </c>
    </row>
    <row r="8" spans="2:21" x14ac:dyDescent="0.25">
      <c r="C8" s="127" t="s">
        <v>164</v>
      </c>
      <c r="D8" s="88"/>
      <c r="E8" s="27"/>
      <c r="F8" s="214"/>
      <c r="H8" s="6" t="e">
        <f t="shared" si="0"/>
        <v>#DIV/0!</v>
      </c>
      <c r="K8" t="s">
        <v>82</v>
      </c>
      <c r="M8" s="132">
        <v>89982</v>
      </c>
      <c r="O8" s="25">
        <f t="shared" si="1"/>
        <v>0.27271074149729962</v>
      </c>
      <c r="Q8" s="6">
        <f>O8*F46</f>
        <v>27587.366794825946</v>
      </c>
      <c r="S8" s="132">
        <v>75026</v>
      </c>
    </row>
    <row r="9" spans="2:21" x14ac:dyDescent="0.25">
      <c r="C9" s="127" t="s">
        <v>63</v>
      </c>
      <c r="D9" s="88">
        <v>6165</v>
      </c>
      <c r="E9" s="27"/>
      <c r="F9" s="214">
        <v>20719.060000000001</v>
      </c>
      <c r="H9" s="6">
        <f t="shared" si="0"/>
        <v>3.360755879967559</v>
      </c>
      <c r="K9" t="s">
        <v>109</v>
      </c>
      <c r="M9" s="132">
        <v>94884</v>
      </c>
      <c r="O9" s="25">
        <f t="shared" si="1"/>
        <v>0.2875673578741279</v>
      </c>
      <c r="Q9" s="6">
        <f>O9*F46</f>
        <v>29090.259284748783</v>
      </c>
      <c r="S9" s="132">
        <v>81844</v>
      </c>
    </row>
    <row r="10" spans="2:21" x14ac:dyDescent="0.25">
      <c r="C10" s="127" t="s">
        <v>64</v>
      </c>
      <c r="D10" s="88">
        <v>237</v>
      </c>
      <c r="E10" s="27"/>
      <c r="F10" s="214">
        <v>3022.32</v>
      </c>
      <c r="H10" s="6">
        <f t="shared" si="0"/>
        <v>12.752405063291141</v>
      </c>
    </row>
    <row r="11" spans="2:21" x14ac:dyDescent="0.25">
      <c r="C11" s="127" t="s">
        <v>65</v>
      </c>
      <c r="D11" s="88">
        <v>54</v>
      </c>
      <c r="E11" s="27"/>
      <c r="F11" s="214">
        <v>563.12</v>
      </c>
      <c r="H11" s="6">
        <f t="shared" si="0"/>
        <v>10.428148148148148</v>
      </c>
      <c r="M11" s="28">
        <f>SUM(M6:M10)</f>
        <v>329954</v>
      </c>
      <c r="N11" s="32"/>
      <c r="O11" s="33">
        <f>SUM(O6:O9)</f>
        <v>1</v>
      </c>
      <c r="P11" s="32"/>
      <c r="Q11" s="30">
        <f>SUM(Q6:Q9)</f>
        <v>101159.81</v>
      </c>
      <c r="R11" s="32"/>
      <c r="S11" s="28">
        <f>SUM(S6:S10)</f>
        <v>271662</v>
      </c>
    </row>
    <row r="12" spans="2:21" x14ac:dyDescent="0.25">
      <c r="C12" s="127" t="s">
        <v>66</v>
      </c>
      <c r="D12" s="88">
        <v>25</v>
      </c>
      <c r="E12" s="27"/>
      <c r="F12" s="214">
        <v>-178.32</v>
      </c>
      <c r="H12" s="6">
        <f t="shared" si="0"/>
        <v>-7.1327999999999996</v>
      </c>
      <c r="K12" s="217"/>
    </row>
    <row r="13" spans="2:21" x14ac:dyDescent="0.25">
      <c r="C13" s="127" t="s">
        <v>67</v>
      </c>
      <c r="D13" s="88">
        <v>15</v>
      </c>
      <c r="E13" s="27"/>
      <c r="F13" s="214">
        <v>155.77000000000001</v>
      </c>
      <c r="H13" s="6">
        <f t="shared" si="0"/>
        <v>10.384666666666668</v>
      </c>
      <c r="M13" t="s">
        <v>196</v>
      </c>
      <c r="Q13" s="6"/>
    </row>
    <row r="14" spans="2:21" x14ac:dyDescent="0.25">
      <c r="C14" s="127" t="s">
        <v>68</v>
      </c>
      <c r="D14" s="88">
        <v>1575</v>
      </c>
      <c r="E14" s="27"/>
      <c r="F14" s="214">
        <v>2256.04</v>
      </c>
      <c r="H14" s="6">
        <f t="shared" si="0"/>
        <v>1.4324063492063492</v>
      </c>
      <c r="O14" t="s">
        <v>205</v>
      </c>
    </row>
    <row r="15" spans="2:21" x14ac:dyDescent="0.25">
      <c r="C15" s="127" t="s">
        <v>69</v>
      </c>
      <c r="D15" s="88">
        <v>913</v>
      </c>
      <c r="E15" s="27"/>
      <c r="F15" s="214">
        <v>781.8</v>
      </c>
      <c r="H15" s="6">
        <f t="shared" si="0"/>
        <v>0.85629791894852136</v>
      </c>
      <c r="O15" s="7" t="s">
        <v>201</v>
      </c>
      <c r="Q15" s="134">
        <v>87212.41</v>
      </c>
      <c r="S15" t="s">
        <v>212</v>
      </c>
    </row>
    <row r="16" spans="2:21" x14ac:dyDescent="0.25">
      <c r="C16" s="127" t="s">
        <v>70</v>
      </c>
      <c r="D16" s="88">
        <v>586</v>
      </c>
      <c r="E16" s="27"/>
      <c r="F16" s="214">
        <v>1062.17</v>
      </c>
      <c r="H16" s="6">
        <f t="shared" si="0"/>
        <v>1.8125767918088738</v>
      </c>
      <c r="O16" s="7" t="s">
        <v>203</v>
      </c>
      <c r="Q16" s="102">
        <v>6249.26</v>
      </c>
      <c r="S16" t="s">
        <v>212</v>
      </c>
    </row>
    <row r="17" spans="3:24" x14ac:dyDescent="0.25">
      <c r="C17" s="127" t="s">
        <v>277</v>
      </c>
      <c r="D17" s="88">
        <v>132</v>
      </c>
      <c r="E17" s="27"/>
      <c r="F17" s="214">
        <v>684.28</v>
      </c>
      <c r="H17" s="6">
        <f t="shared" si="0"/>
        <v>5.1839393939393936</v>
      </c>
      <c r="J17" s="6"/>
      <c r="O17" s="7" t="s">
        <v>204</v>
      </c>
      <c r="Q17" s="102">
        <v>2554.1999999999998</v>
      </c>
      <c r="S17" t="s">
        <v>212</v>
      </c>
    </row>
    <row r="18" spans="3:24" ht="15.75" thickBot="1" x14ac:dyDescent="0.3">
      <c r="C18" s="127" t="s">
        <v>175</v>
      </c>
      <c r="D18" s="88">
        <v>85</v>
      </c>
      <c r="E18" s="27"/>
      <c r="F18" s="214">
        <f>494.7-5.49</f>
        <v>489.21</v>
      </c>
      <c r="H18" s="6">
        <f>F18/D18</f>
        <v>5.7554117647058822</v>
      </c>
      <c r="I18" s="20"/>
      <c r="J18" s="6"/>
      <c r="M18" s="6"/>
      <c r="O18" s="6" t="s">
        <v>145</v>
      </c>
      <c r="Q18" s="104">
        <f>SUM(Q15:Q17)</f>
        <v>96015.87</v>
      </c>
      <c r="S18" t="s">
        <v>213</v>
      </c>
    </row>
    <row r="19" spans="3:24" ht="15.75" thickTop="1" x14ac:dyDescent="0.25">
      <c r="C19" s="16" t="s">
        <v>162</v>
      </c>
      <c r="D19" s="28">
        <f>SUM(D6:D18)</f>
        <v>13022</v>
      </c>
      <c r="E19" s="31"/>
      <c r="F19" s="30">
        <f>SUM(F6:F18)</f>
        <v>33105.67</v>
      </c>
      <c r="G19" s="20"/>
      <c r="H19" s="6">
        <f>F19/D19</f>
        <v>2.5422876670250343</v>
      </c>
      <c r="K19" s="6"/>
      <c r="M19" s="6"/>
      <c r="O19" s="6" t="s">
        <v>202</v>
      </c>
      <c r="Q19" s="6">
        <f>+F43</f>
        <v>2604.4</v>
      </c>
      <c r="S19" t="s">
        <v>213</v>
      </c>
      <c r="W19" s="6"/>
    </row>
    <row r="20" spans="3:24" x14ac:dyDescent="0.25">
      <c r="O20" s="6" t="s">
        <v>50</v>
      </c>
      <c r="Q20" s="173">
        <f>+Q18+Q19</f>
        <v>98620.26999999999</v>
      </c>
      <c r="S20" t="s">
        <v>213</v>
      </c>
    </row>
    <row r="21" spans="3:24" x14ac:dyDescent="0.25">
      <c r="I21" s="29"/>
      <c r="Q21" s="6">
        <f>+Q20-Q11</f>
        <v>-2539.5400000000081</v>
      </c>
      <c r="S21" t="s">
        <v>213</v>
      </c>
    </row>
    <row r="22" spans="3:24" x14ac:dyDescent="0.25">
      <c r="C22" s="16" t="s">
        <v>76</v>
      </c>
      <c r="D22" s="26" t="s">
        <v>74</v>
      </c>
      <c r="E22" s="26"/>
      <c r="F22" s="29" t="s">
        <v>72</v>
      </c>
      <c r="G22" s="29"/>
      <c r="H22" s="29" t="s">
        <v>73</v>
      </c>
      <c r="Q22" s="6"/>
      <c r="X22" s="6"/>
    </row>
    <row r="23" spans="3:24" x14ac:dyDescent="0.25">
      <c r="Q23" s="6"/>
    </row>
    <row r="24" spans="3:24" x14ac:dyDescent="0.25">
      <c r="C24" s="127" t="s">
        <v>206</v>
      </c>
      <c r="D24" s="88">
        <v>128</v>
      </c>
      <c r="F24" s="214">
        <v>0</v>
      </c>
      <c r="H24" s="6">
        <f t="shared" ref="H24:H27" si="2">F24/D24</f>
        <v>0</v>
      </c>
      <c r="J24" t="s">
        <v>139</v>
      </c>
      <c r="Q24" s="6"/>
    </row>
    <row r="25" spans="3:24" x14ac:dyDescent="0.25">
      <c r="C25" t="s">
        <v>160</v>
      </c>
      <c r="D25" s="88"/>
      <c r="F25" s="63"/>
      <c r="H25" t="e">
        <f>F25/D25</f>
        <v>#DIV/0!</v>
      </c>
      <c r="Q25" s="6"/>
    </row>
    <row r="26" spans="3:24" x14ac:dyDescent="0.25">
      <c r="C26" t="s">
        <v>268</v>
      </c>
      <c r="D26" s="88">
        <v>2706</v>
      </c>
      <c r="F26" s="63">
        <v>14530</v>
      </c>
      <c r="H26" s="6">
        <f t="shared" si="2"/>
        <v>5.3695491500369545</v>
      </c>
      <c r="J26" t="s">
        <v>138</v>
      </c>
      <c r="S26" s="6"/>
    </row>
    <row r="27" spans="3:24" x14ac:dyDescent="0.25">
      <c r="C27" t="s">
        <v>237</v>
      </c>
      <c r="D27" s="88"/>
      <c r="F27" s="63"/>
      <c r="H27" s="6" t="e">
        <f t="shared" si="2"/>
        <v>#DIV/0!</v>
      </c>
      <c r="S27" s="6"/>
    </row>
    <row r="28" spans="3:24" x14ac:dyDescent="0.25">
      <c r="C28" s="127" t="s">
        <v>258</v>
      </c>
      <c r="D28" s="88">
        <v>5919</v>
      </c>
      <c r="F28" s="214">
        <v>12806.94</v>
      </c>
      <c r="H28" s="6">
        <f>F30/D30</f>
        <v>2.24250208855472</v>
      </c>
      <c r="S28" s="6"/>
    </row>
    <row r="29" spans="3:24" x14ac:dyDescent="0.25">
      <c r="C29" s="127" t="s">
        <v>256</v>
      </c>
      <c r="D29" s="88">
        <v>1285</v>
      </c>
      <c r="F29" s="214">
        <v>2783.36</v>
      </c>
      <c r="H29" s="6">
        <f>F29/D29</f>
        <v>2.1660389105058369</v>
      </c>
      <c r="S29" s="6"/>
    </row>
    <row r="30" spans="3:24" x14ac:dyDescent="0.25">
      <c r="C30" s="127" t="s">
        <v>257</v>
      </c>
      <c r="D30" s="88">
        <v>2394</v>
      </c>
      <c r="F30" s="214">
        <v>5368.55</v>
      </c>
      <c r="H30" s="6">
        <f>F31/D31</f>
        <v>2.2147105966162064</v>
      </c>
      <c r="O30" s="6"/>
      <c r="Q30" s="6"/>
    </row>
    <row r="31" spans="3:24" x14ac:dyDescent="0.25">
      <c r="C31" s="127" t="s">
        <v>174</v>
      </c>
      <c r="D31" s="88">
        <v>1123</v>
      </c>
      <c r="F31" s="214">
        <v>2487.12</v>
      </c>
      <c r="H31" s="6">
        <f>F28/D28</f>
        <v>2.1636999493157627</v>
      </c>
    </row>
    <row r="32" spans="3:24" x14ac:dyDescent="0.25">
      <c r="C32" s="127" t="s">
        <v>261</v>
      </c>
      <c r="D32" s="88"/>
      <c r="F32" s="214"/>
      <c r="H32" s="6" t="e">
        <f>F32/D32</f>
        <v>#DIV/0!</v>
      </c>
    </row>
    <row r="33" spans="3:22" x14ac:dyDescent="0.25">
      <c r="C33" s="127" t="s">
        <v>245</v>
      </c>
      <c r="D33" s="88"/>
      <c r="F33" s="214"/>
      <c r="H33" s="6" t="e">
        <f>F33/D33</f>
        <v>#DIV/0!</v>
      </c>
    </row>
    <row r="34" spans="3:22" x14ac:dyDescent="0.25">
      <c r="C34" s="127" t="s">
        <v>110</v>
      </c>
      <c r="D34" s="88">
        <v>4160</v>
      </c>
      <c r="F34" s="214">
        <v>18262.400000000001</v>
      </c>
      <c r="H34" s="6">
        <f t="shared" ref="H34:H36" si="3">F34/D34</f>
        <v>4.3900000000000006</v>
      </c>
    </row>
    <row r="35" spans="3:22" x14ac:dyDescent="0.25">
      <c r="C35" s="127" t="s">
        <v>244</v>
      </c>
      <c r="D35" s="88"/>
      <c r="F35" s="214"/>
      <c r="H35" s="6" t="e">
        <f t="shared" si="3"/>
        <v>#DIV/0!</v>
      </c>
      <c r="J35" s="6"/>
    </row>
    <row r="36" spans="3:22" x14ac:dyDescent="0.25">
      <c r="C36" t="s">
        <v>189</v>
      </c>
      <c r="D36" s="88"/>
      <c r="F36" s="214">
        <v>6170.87</v>
      </c>
      <c r="H36" s="6" t="e">
        <f t="shared" si="3"/>
        <v>#DIV/0!</v>
      </c>
      <c r="J36" s="6"/>
      <c r="K36" s="74" t="s">
        <v>131</v>
      </c>
      <c r="O36" s="55"/>
      <c r="Q36" s="55"/>
    </row>
    <row r="37" spans="3:22" x14ac:dyDescent="0.25">
      <c r="D37" s="28">
        <f>SUM(D24:D36)</f>
        <v>17715</v>
      </c>
      <c r="E37" s="16"/>
      <c r="F37" s="89">
        <f>SUM(F24:F36)</f>
        <v>62409.240000000013</v>
      </c>
      <c r="H37" s="6">
        <f>F37/D37</f>
        <v>3.5229602032176128</v>
      </c>
      <c r="K37" s="74" t="s">
        <v>132</v>
      </c>
    </row>
    <row r="38" spans="3:22" x14ac:dyDescent="0.25">
      <c r="K38" s="74" t="s">
        <v>133</v>
      </c>
    </row>
    <row r="39" spans="3:22" x14ac:dyDescent="0.25">
      <c r="J39" t="s">
        <v>233</v>
      </c>
      <c r="K39" s="74" t="s">
        <v>136</v>
      </c>
    </row>
    <row r="40" spans="3:22" x14ac:dyDescent="0.25">
      <c r="C40" t="s">
        <v>134</v>
      </c>
      <c r="F40" s="214">
        <v>657</v>
      </c>
      <c r="Q40" s="6"/>
      <c r="S40" s="6"/>
    </row>
    <row r="41" spans="3:22" ht="15.75" thickBot="1" x14ac:dyDescent="0.3">
      <c r="C41" t="s">
        <v>111</v>
      </c>
      <c r="F41" s="214">
        <v>39.54</v>
      </c>
      <c r="J41" s="76" t="s">
        <v>191</v>
      </c>
      <c r="K41" s="74"/>
      <c r="S41" s="54"/>
    </row>
    <row r="42" spans="3:22" ht="15.75" thickBot="1" x14ac:dyDescent="0.3">
      <c r="C42" t="s">
        <v>75</v>
      </c>
      <c r="F42" s="109">
        <f>+D19*0.18</f>
        <v>2343.96</v>
      </c>
      <c r="J42" s="76" t="s">
        <v>193</v>
      </c>
    </row>
    <row r="43" spans="3:22" x14ac:dyDescent="0.25">
      <c r="C43" t="s">
        <v>135</v>
      </c>
      <c r="F43" s="6">
        <f>D19*0.2</f>
        <v>2604.4</v>
      </c>
      <c r="J43" s="162" t="s">
        <v>162</v>
      </c>
      <c r="K43" s="165" t="s">
        <v>192</v>
      </c>
      <c r="L43" s="163"/>
      <c r="M43" s="164" t="s">
        <v>50</v>
      </c>
    </row>
    <row r="44" spans="3:22" ht="15.75" thickBot="1" x14ac:dyDescent="0.3">
      <c r="F44" s="30">
        <f>SUM(F40:F43)</f>
        <v>5644.9</v>
      </c>
      <c r="J44" s="160">
        <f>+D19</f>
        <v>13022</v>
      </c>
      <c r="K44" s="147">
        <v>0.18</v>
      </c>
      <c r="L44" s="147"/>
      <c r="M44" s="161">
        <f>+J44*K44</f>
        <v>2343.96</v>
      </c>
      <c r="S44" s="54"/>
      <c r="T44" s="54"/>
      <c r="U44" s="54"/>
      <c r="V44" s="169"/>
    </row>
    <row r="45" spans="3:22" x14ac:dyDescent="0.25">
      <c r="C45" s="102">
        <f>90040.58+6170.87</f>
        <v>96211.45</v>
      </c>
      <c r="D45" s="117" t="s">
        <v>214</v>
      </c>
    </row>
    <row r="46" spans="3:22" x14ac:dyDescent="0.25">
      <c r="C46" s="6">
        <f>+F19+F37+F40+F41</f>
        <v>96211.45</v>
      </c>
      <c r="D46" s="15" t="s">
        <v>39</v>
      </c>
      <c r="E46" s="16"/>
      <c r="F46" s="173">
        <f>F19+F37+F44</f>
        <v>101159.81</v>
      </c>
    </row>
    <row r="47" spans="3:22" x14ac:dyDescent="0.25">
      <c r="C47" s="6">
        <f>+C46-C45</f>
        <v>0</v>
      </c>
      <c r="F47" s="99">
        <f>F46-F43-F42</f>
        <v>96211.45</v>
      </c>
      <c r="H47" s="177">
        <f>F47-F36</f>
        <v>90040.58</v>
      </c>
      <c r="I47" s="177"/>
      <c r="J47" s="178" t="s">
        <v>207</v>
      </c>
    </row>
    <row r="48" spans="3:22" x14ac:dyDescent="0.25">
      <c r="F48"/>
      <c r="G48"/>
    </row>
    <row r="49" spans="4:7" x14ac:dyDescent="0.25">
      <c r="D49" s="168"/>
      <c r="E49" s="54"/>
      <c r="F49" s="54"/>
      <c r="G49" s="169">
        <v>44280</v>
      </c>
    </row>
    <row r="50" spans="4:7" x14ac:dyDescent="0.25">
      <c r="F50"/>
      <c r="G50"/>
    </row>
    <row r="51" spans="4:7" x14ac:dyDescent="0.25">
      <c r="F51"/>
      <c r="G51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27" zoomScaleNormal="100" workbookViewId="0">
      <selection activeCell="L40" sqref="L40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242</v>
      </c>
      <c r="F1" s="6" t="str">
        <f>+'Commodity OK'!H2</f>
        <v>Data Input Sep 24 billing =Sep invoices = Aug Flow  data= Aug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7491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398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260.45</v>
      </c>
      <c r="G11" s="6"/>
      <c r="J11" s="1"/>
    </row>
    <row r="12" spans="1:16" x14ac:dyDescent="0.25">
      <c r="C12" t="s">
        <v>38</v>
      </c>
      <c r="F12" s="6">
        <f>'Allocation Charges'!J7</f>
        <v>654.40417289521952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915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1030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8698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194.98</v>
      </c>
      <c r="G19" s="6"/>
    </row>
    <row r="20" spans="2:7" x14ac:dyDescent="0.25">
      <c r="C20" t="s">
        <v>38</v>
      </c>
      <c r="F20" s="6">
        <f>'Allocation Charges'!J11</f>
        <v>1062.0337458568094</v>
      </c>
      <c r="G20" s="6"/>
    </row>
    <row r="21" spans="2:7" x14ac:dyDescent="0.25">
      <c r="D21" s="7" t="s">
        <v>39</v>
      </c>
      <c r="E21" s="36"/>
      <c r="F21" s="224">
        <f>ROUNDUP(F20+F19,0)</f>
        <v>1258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244.08</v>
      </c>
      <c r="G23" s="6"/>
    </row>
    <row r="24" spans="2:7" x14ac:dyDescent="0.25">
      <c r="C24" t="s">
        <v>38</v>
      </c>
      <c r="F24" s="6">
        <f>'Allocation Charges'!J12</f>
        <v>257.17993845200834</v>
      </c>
      <c r="G24" s="6"/>
    </row>
    <row r="25" spans="2:7" x14ac:dyDescent="0.25">
      <c r="D25" s="7" t="s">
        <v>39</v>
      </c>
      <c r="E25" s="36"/>
      <c r="F25" s="224">
        <f>ROUNDUP(F24+F23,0)</f>
        <v>502</v>
      </c>
      <c r="G25" s="6"/>
    </row>
    <row r="26" spans="2:7" x14ac:dyDescent="0.25">
      <c r="B26" t="s">
        <v>25</v>
      </c>
      <c r="F26" s="85">
        <f>ROUNDUP('Allocation Charges'!J13,0)</f>
        <v>1818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0</v>
      </c>
      <c r="G28" s="6"/>
    </row>
    <row r="29" spans="2:7" x14ac:dyDescent="0.25">
      <c r="C29" t="s">
        <v>38</v>
      </c>
      <c r="F29" s="6">
        <f>'Allocation Charges'!J14</f>
        <v>7.7422040993856687</v>
      </c>
      <c r="G29" s="6"/>
    </row>
    <row r="30" spans="2:7" x14ac:dyDescent="0.25">
      <c r="D30" s="7" t="s">
        <v>39</v>
      </c>
      <c r="E30" s="36"/>
      <c r="F30" s="224">
        <f>ROUNDUP(F29+F28,0)</f>
        <v>8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683.65</v>
      </c>
      <c r="G32" s="6"/>
    </row>
    <row r="33" spans="1:7" x14ac:dyDescent="0.25">
      <c r="C33" t="s">
        <v>38</v>
      </c>
      <c r="F33" s="6">
        <f>'Allocation Charges'!J15</f>
        <v>1752.3036824450396</v>
      </c>
      <c r="G33" s="6"/>
    </row>
    <row r="34" spans="1:7" x14ac:dyDescent="0.25">
      <c r="D34" s="7" t="s">
        <v>39</v>
      </c>
      <c r="E34" s="36"/>
      <c r="F34" s="224">
        <f>ROUNDUP(F33+F32,0)</f>
        <v>2436</v>
      </c>
      <c r="G34" s="6"/>
    </row>
    <row r="35" spans="1:7" x14ac:dyDescent="0.25">
      <c r="B35" t="s">
        <v>194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456</v>
      </c>
      <c r="G37" s="6"/>
    </row>
    <row r="38" spans="1:7" x14ac:dyDescent="0.25">
      <c r="B38" t="s">
        <v>30</v>
      </c>
      <c r="F38" s="85">
        <f>ROUNDUP('Allocation Charges'!J19,0)</f>
        <v>60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25070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266</v>
      </c>
      <c r="G43" s="6"/>
    </row>
    <row r="44" spans="1:7" x14ac:dyDescent="0.25">
      <c r="B44" t="s">
        <v>46</v>
      </c>
      <c r="F44" s="85">
        <f>ROUNDUP('Allocation Charges'!J27,0)</f>
        <v>1772</v>
      </c>
      <c r="G44" s="6"/>
    </row>
    <row r="45" spans="1:7" x14ac:dyDescent="0.25">
      <c r="B45" t="s">
        <v>32</v>
      </c>
      <c r="F45" s="85">
        <f>ROUNDUP('Allocation Charges'!J28,0)</f>
        <v>514</v>
      </c>
      <c r="G45" s="6"/>
    </row>
    <row r="46" spans="1:7" x14ac:dyDescent="0.25">
      <c r="B46" t="s">
        <v>47</v>
      </c>
      <c r="F46" s="85">
        <f>ROUNDUP('Allocation Charges'!J29,0)</f>
        <v>822</v>
      </c>
      <c r="G46" s="6"/>
    </row>
    <row r="47" spans="1:7" x14ac:dyDescent="0.25">
      <c r="B47" t="s">
        <v>48</v>
      </c>
      <c r="F47" s="85">
        <f>ROUNDUP('Allocation Charges'!J30,0)</f>
        <v>497</v>
      </c>
      <c r="G47" s="6"/>
    </row>
    <row r="48" spans="1:7" x14ac:dyDescent="0.25">
      <c r="B48" t="s">
        <v>41</v>
      </c>
      <c r="F48" s="85">
        <f>ROUNDUP('Allocation Charges'!J31,0)</f>
        <v>477</v>
      </c>
      <c r="G48" s="6"/>
    </row>
    <row r="49" spans="1:8" x14ac:dyDescent="0.25">
      <c r="B49" t="s">
        <v>31</v>
      </c>
      <c r="F49" s="85">
        <f>ROUNDUP('Allocation Charges'!J32,0)</f>
        <v>1641</v>
      </c>
      <c r="G49" s="6"/>
    </row>
    <row r="50" spans="1:8" x14ac:dyDescent="0.25">
      <c r="F50" s="6"/>
    </row>
    <row r="51" spans="1:8" x14ac:dyDescent="0.25">
      <c r="F51" s="219">
        <f>SUM(F44:F49)</f>
        <v>5723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239</v>
      </c>
      <c r="F53" s="6">
        <f>ROUNDUP('Commodity TN KY'!I20,0)</f>
        <v>1537</v>
      </c>
      <c r="H53" s="106">
        <f>'Commodity TN KY'!E15*'Commodity TN KY'!G20</f>
        <v>510.13480546792846</v>
      </c>
    </row>
    <row r="54" spans="1:8" x14ac:dyDescent="0.25">
      <c r="A54" s="16"/>
      <c r="B54" t="s">
        <v>280</v>
      </c>
      <c r="F54" s="6">
        <f>ROUNDUP('Commodity TN KY'!I27,0)</f>
        <v>1337</v>
      </c>
      <c r="H54" s="106">
        <f>+'Commodity TN KY'!E27</f>
        <v>310</v>
      </c>
    </row>
    <row r="55" spans="1:8" x14ac:dyDescent="0.25">
      <c r="A55" s="16"/>
      <c r="B55" t="s">
        <v>240</v>
      </c>
      <c r="F55" s="6">
        <f>ROUNDUP('Commodity TN KY'!I28,0)</f>
        <v>452</v>
      </c>
      <c r="H55" s="106">
        <f>+'Commodity TN KY'!E28</f>
        <v>336</v>
      </c>
    </row>
    <row r="56" spans="1:8" x14ac:dyDescent="0.25">
      <c r="F56" s="218">
        <f>SUM(F53:F55)</f>
        <v>3326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34119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topLeftCell="A4" zoomScaleNormal="100" workbookViewId="0">
      <selection activeCell="M27" sqref="M27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243</v>
      </c>
      <c r="F1" s="6" t="str">
        <f>+'Commodity OK'!H2</f>
        <v>Data Input Sep 24 billing =Sep invoices = Aug Flow  data= Aug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11921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1685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467.9</v>
      </c>
      <c r="G11" s="6"/>
      <c r="J11" s="1"/>
    </row>
    <row r="12" spans="1:11" x14ac:dyDescent="0.25">
      <c r="C12" t="s">
        <v>38</v>
      </c>
      <c r="F12" s="60">
        <f>'Allocation Charges'!H7</f>
        <v>1401.4451515675494</v>
      </c>
      <c r="G12" s="6"/>
      <c r="J12" s="1"/>
    </row>
    <row r="13" spans="1:11" x14ac:dyDescent="0.25">
      <c r="D13" s="7" t="s">
        <v>39</v>
      </c>
      <c r="F13" s="86">
        <f>ROUNDUP(F11+F12,0)</f>
        <v>1870</v>
      </c>
      <c r="G13" s="6"/>
      <c r="J13" s="1"/>
    </row>
    <row r="14" spans="1:11" x14ac:dyDescent="0.25">
      <c r="B14" t="s">
        <v>15</v>
      </c>
      <c r="F14" s="83">
        <f>ROUNDUP('Allocation Charges'!H8,0)</f>
        <v>2205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18626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20.79</v>
      </c>
      <c r="G18" s="6"/>
    </row>
    <row r="19" spans="2:7" x14ac:dyDescent="0.25">
      <c r="C19" t="s">
        <v>38</v>
      </c>
      <c r="F19" s="60">
        <f>'Allocation Charges'!H11</f>
        <v>2274.4079356145276</v>
      </c>
      <c r="G19" s="6"/>
    </row>
    <row r="20" spans="2:7" x14ac:dyDescent="0.25">
      <c r="D20" s="7" t="s">
        <v>39</v>
      </c>
      <c r="F20" s="86">
        <f>ROUNDUP(F18+F19,0)</f>
        <v>2296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5636.5</v>
      </c>
      <c r="G22" s="6"/>
    </row>
    <row r="23" spans="2:7" x14ac:dyDescent="0.25">
      <c r="C23" t="s">
        <v>38</v>
      </c>
      <c r="F23" s="60">
        <f>'Allocation Charges'!H12</f>
        <v>550.76601395956777</v>
      </c>
      <c r="G23" s="6"/>
    </row>
    <row r="24" spans="2:7" x14ac:dyDescent="0.25">
      <c r="D24" s="7" t="s">
        <v>39</v>
      </c>
      <c r="F24" s="86">
        <f>ROUNDUP(F22+F23,0)</f>
        <v>6188</v>
      </c>
      <c r="G24" s="6"/>
    </row>
    <row r="25" spans="2:7" x14ac:dyDescent="0.25">
      <c r="B25" t="s">
        <v>25</v>
      </c>
      <c r="F25" s="83">
        <f>ROUNDUP('Allocation Charges'!H13,0)</f>
        <v>3893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51</v>
      </c>
      <c r="G27" s="6"/>
    </row>
    <row r="28" spans="2:7" x14ac:dyDescent="0.25">
      <c r="C28" t="s">
        <v>38</v>
      </c>
      <c r="F28" s="60">
        <f>'Allocation Charges'!H14</f>
        <v>16.58038693354688</v>
      </c>
      <c r="G28" s="6"/>
    </row>
    <row r="29" spans="2:7" x14ac:dyDescent="0.25">
      <c r="D29" s="7" t="s">
        <v>39</v>
      </c>
      <c r="F29" s="86">
        <f>ROUNDUP(F27+F28,0)</f>
        <v>68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3119.09</v>
      </c>
      <c r="G31" s="6"/>
    </row>
    <row r="32" spans="2:7" x14ac:dyDescent="0.25">
      <c r="C32" t="s">
        <v>38</v>
      </c>
      <c r="F32" s="60">
        <f>'Allocation Charges'!H15</f>
        <v>3752.6617365103043</v>
      </c>
      <c r="G32" s="6"/>
    </row>
    <row r="33" spans="1:10" x14ac:dyDescent="0.25">
      <c r="D33" s="7" t="s">
        <v>39</v>
      </c>
      <c r="F33" s="86">
        <f>ROUNDUP(F31+F32,0)</f>
        <v>6872</v>
      </c>
      <c r="G33" s="6"/>
    </row>
    <row r="34" spans="1:10" x14ac:dyDescent="0.25">
      <c r="B34" t="s">
        <v>194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977</v>
      </c>
      <c r="G36" s="6"/>
    </row>
    <row r="37" spans="1:10" x14ac:dyDescent="0.25">
      <c r="B37" t="s">
        <v>30</v>
      </c>
      <c r="F37" s="83">
        <f>ROUNDUP('Allocation Charges'!H19,0)</f>
        <v>128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56729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265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3795</v>
      </c>
      <c r="G44" s="6"/>
    </row>
    <row r="45" spans="1:10" x14ac:dyDescent="0.25">
      <c r="B45" t="s">
        <v>32</v>
      </c>
      <c r="F45" s="79">
        <f>ROUNDUP('Allocation Charges'!H28,0)</f>
        <v>1100</v>
      </c>
      <c r="G45" s="6"/>
    </row>
    <row r="46" spans="1:10" x14ac:dyDescent="0.25">
      <c r="B46" t="s">
        <v>47</v>
      </c>
      <c r="F46" s="79">
        <f>ROUNDUP('Allocation Charges'!H29,0)</f>
        <v>1759</v>
      </c>
      <c r="G46" s="6"/>
    </row>
    <row r="47" spans="1:10" x14ac:dyDescent="0.25">
      <c r="B47" t="s">
        <v>48</v>
      </c>
      <c r="F47" s="79">
        <f>ROUNDUP('Allocation Charges'!H30,0)</f>
        <v>1063</v>
      </c>
      <c r="G47" s="6"/>
      <c r="J47" s="8"/>
    </row>
    <row r="48" spans="1:10" x14ac:dyDescent="0.25">
      <c r="B48" t="s">
        <v>41</v>
      </c>
      <c r="F48" s="79">
        <f>ROUNDUP('Allocation Charges'!H31,0)</f>
        <v>1020</v>
      </c>
      <c r="G48" s="6"/>
      <c r="J48" s="8"/>
    </row>
    <row r="49" spans="1:10" x14ac:dyDescent="0.25">
      <c r="B49" t="s">
        <v>31</v>
      </c>
      <c r="F49" s="79">
        <f>ROUNDUP('Allocation Charges'!H32,0)</f>
        <v>3513</v>
      </c>
      <c r="J49" s="8"/>
    </row>
    <row r="50" spans="1:10" x14ac:dyDescent="0.25">
      <c r="F50" s="8"/>
    </row>
    <row r="51" spans="1:10" x14ac:dyDescent="0.25">
      <c r="F51" s="84">
        <f>SUM(F43:F49)</f>
        <v>12250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52432</v>
      </c>
      <c r="H53" s="114">
        <f>'Commodity TN KY'!E15*'Commodity TN KY'!G19</f>
        <v>17404.865194532071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121411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topLeftCell="A16" zoomScaleNormal="100" workbookViewId="0">
      <selection activeCell="C27" sqref="C27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2409 file =</v>
      </c>
      <c r="J1" s="99"/>
      <c r="K1" s="100" t="str">
        <f>+'Commodity OK'!H2</f>
        <v>Data Input Sep 24 billing =Sep invoices = Aug Flow  data= Aug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190</v>
      </c>
      <c r="D6" s="48"/>
      <c r="E6" s="90" t="s">
        <v>211</v>
      </c>
      <c r="F6" s="48"/>
      <c r="G6" s="156"/>
      <c r="H6" s="49"/>
      <c r="I6" s="174"/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2315</v>
      </c>
      <c r="F7" s="51"/>
      <c r="G7" s="49">
        <f t="shared" ref="G7:G14" si="0">I7/E7</f>
        <v>0.94836717062634979</v>
      </c>
      <c r="H7" s="49"/>
      <c r="I7" s="174">
        <v>2195.4699999999998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348+2315</f>
        <v>2663</v>
      </c>
      <c r="F8" s="48"/>
      <c r="G8" s="49">
        <f>I8/E8</f>
        <v>4.4407960946301168</v>
      </c>
      <c r="H8" s="49"/>
      <c r="I8" s="174">
        <f>1454.64+10371.2</f>
        <v>11825.84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188</v>
      </c>
      <c r="D9" s="48"/>
      <c r="E9" s="90">
        <v>8610</v>
      </c>
      <c r="F9" s="48"/>
      <c r="G9" s="49">
        <f t="shared" si="0"/>
        <v>2.7171997677119628</v>
      </c>
      <c r="H9" s="49"/>
      <c r="I9" s="174">
        <v>23395.09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200</v>
      </c>
      <c r="D10" s="48"/>
      <c r="E10" s="90" t="s">
        <v>138</v>
      </c>
      <c r="F10" s="48"/>
      <c r="G10" s="49" t="e">
        <f t="shared" si="0"/>
        <v>#VALUE!</v>
      </c>
      <c r="H10" s="49"/>
      <c r="I10" s="174"/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241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215</v>
      </c>
      <c r="D12" s="48"/>
      <c r="E12" s="90">
        <f>122+254</f>
        <v>376</v>
      </c>
      <c r="F12" s="48"/>
      <c r="G12" s="49">
        <f>I12/E12</f>
        <v>5.3505851063829795</v>
      </c>
      <c r="H12" s="49"/>
      <c r="I12" s="174">
        <f>550.39+1461.43</f>
        <v>2011.8200000000002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183</v>
      </c>
      <c r="D13" s="48"/>
      <c r="E13" s="90">
        <v>3951</v>
      </c>
      <c r="F13" s="48"/>
      <c r="G13" s="49">
        <f>I13/E13</f>
        <v>3.68</v>
      </c>
      <c r="H13" s="49"/>
      <c r="I13" s="174">
        <v>14539.68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217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17915</v>
      </c>
      <c r="F15" s="48"/>
      <c r="G15" s="42">
        <f>I15/(E8+E13)</f>
        <v>8.159646205019655</v>
      </c>
      <c r="H15" s="49"/>
      <c r="I15" s="175">
        <f>SUM(I6:I14)</f>
        <v>53967.9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v>23098</v>
      </c>
      <c r="F19" s="48"/>
      <c r="G19" s="45">
        <f>E19/E22</f>
        <v>0.97152471083070457</v>
      </c>
      <c r="H19" s="48"/>
      <c r="I19" s="167">
        <f>I15*G19</f>
        <v>52431.148441640384</v>
      </c>
      <c r="J19" s="48"/>
      <c r="K19" s="92">
        <v>62727</v>
      </c>
      <c r="L19" s="48"/>
      <c r="P19" t="s">
        <v>195</v>
      </c>
    </row>
    <row r="20" spans="1:25" x14ac:dyDescent="0.25">
      <c r="A20" s="48"/>
      <c r="B20" s="48"/>
      <c r="C20" s="41" t="s">
        <v>89</v>
      </c>
      <c r="D20" s="41"/>
      <c r="E20" s="92">
        <v>677</v>
      </c>
      <c r="F20" s="41"/>
      <c r="G20" s="45">
        <f>E20/E22</f>
        <v>2.8475289169295478E-2</v>
      </c>
      <c r="H20" s="41"/>
      <c r="I20" s="166">
        <f>I15*G20</f>
        <v>1536.7515583596214</v>
      </c>
      <c r="J20" s="41"/>
      <c r="K20" s="92">
        <v>602</v>
      </c>
      <c r="L20" s="48"/>
      <c r="P20" t="s">
        <v>208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23775</v>
      </c>
      <c r="F22" s="48"/>
      <c r="G22" s="45">
        <f>SUM(G19:G20)</f>
        <v>1</v>
      </c>
      <c r="H22" s="48"/>
      <c r="I22" s="154">
        <f>SUM(I19:I20)</f>
        <v>53967.900000000009</v>
      </c>
      <c r="J22" s="48"/>
      <c r="K22" s="38">
        <f>SUM(K19:K20)</f>
        <v>63329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187</v>
      </c>
      <c r="V26" s="67"/>
    </row>
    <row r="27" spans="1:25" x14ac:dyDescent="0.25">
      <c r="A27" s="48"/>
      <c r="B27" s="48"/>
      <c r="C27" s="48" t="s">
        <v>279</v>
      </c>
      <c r="D27" s="48"/>
      <c r="E27" s="93">
        <v>310</v>
      </c>
      <c r="F27" s="51"/>
      <c r="G27" s="49">
        <f>I27/E27</f>
        <v>4.3099999999999996</v>
      </c>
      <c r="H27" s="48"/>
      <c r="I27" s="157">
        <v>1336.1</v>
      </c>
      <c r="J27" s="48"/>
      <c r="K27" s="48"/>
      <c r="L27" s="48"/>
      <c r="P27" s="8">
        <f>I35+I20</f>
        <v>3323.941558359621</v>
      </c>
      <c r="V27" s="27"/>
    </row>
    <row r="28" spans="1:25" x14ac:dyDescent="0.25">
      <c r="A28" s="48"/>
      <c r="B28" s="48"/>
      <c r="C28" s="48" t="s">
        <v>182</v>
      </c>
      <c r="D28" s="48"/>
      <c r="E28" s="90">
        <v>336</v>
      </c>
      <c r="F28" s="48"/>
      <c r="G28" s="49">
        <f>I28/E28</f>
        <v>1.3425297619047618</v>
      </c>
      <c r="H28" s="49"/>
      <c r="I28" s="158">
        <v>451.09</v>
      </c>
      <c r="J28" s="48"/>
      <c r="K28" s="48"/>
      <c r="L28" s="48"/>
      <c r="P28" s="134">
        <f>+E20+E33</f>
        <v>5275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1787.1899999999998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v>4598</v>
      </c>
      <c r="F33" s="48"/>
      <c r="G33" s="45">
        <f>E33/E35</f>
        <v>1</v>
      </c>
      <c r="H33" s="48"/>
      <c r="I33" s="49">
        <f>+I27+I28</f>
        <v>1787.1899999999998</v>
      </c>
      <c r="J33" s="48"/>
      <c r="K33" s="238">
        <v>3276</v>
      </c>
      <c r="L33" s="48"/>
      <c r="P33" t="s">
        <v>208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4598</v>
      </c>
      <c r="F35" s="48"/>
      <c r="G35" s="45">
        <f>G33</f>
        <v>1</v>
      </c>
      <c r="H35" s="48"/>
      <c r="I35" s="154">
        <f>I33</f>
        <v>1787.1899999999998</v>
      </c>
      <c r="J35" s="48"/>
      <c r="K35" s="38">
        <f>K33</f>
        <v>3276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52431.148441640384</v>
      </c>
      <c r="J38" s="184"/>
    </row>
    <row r="39" spans="1:25" x14ac:dyDescent="0.25">
      <c r="G39" s="185" t="s">
        <v>168</v>
      </c>
      <c r="I39" s="233">
        <f>+I20+I29</f>
        <v>3323.941558359621</v>
      </c>
      <c r="J39" s="186"/>
      <c r="P39" s="6"/>
    </row>
    <row r="40" spans="1:25" ht="15.75" thickBot="1" x14ac:dyDescent="0.3">
      <c r="G40" s="185"/>
      <c r="I40" s="105">
        <f>SUM(I38:I39)</f>
        <v>55755.090000000004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216</v>
      </c>
      <c r="I42" s="55"/>
      <c r="J42" s="186"/>
    </row>
    <row r="43" spans="1:25" x14ac:dyDescent="0.25">
      <c r="D43" s="16"/>
      <c r="E43" s="20"/>
      <c r="G43" s="185" t="s">
        <v>198</v>
      </c>
      <c r="I43" s="187">
        <v>13613.03</v>
      </c>
      <c r="J43" s="186"/>
    </row>
    <row r="44" spans="1:25" x14ac:dyDescent="0.25">
      <c r="G44" s="185" t="s">
        <v>199</v>
      </c>
      <c r="I44" s="187">
        <v>42142.06</v>
      </c>
      <c r="J44" s="186"/>
    </row>
    <row r="45" spans="1:25" x14ac:dyDescent="0.25">
      <c r="G45" s="185" t="s">
        <v>197</v>
      </c>
      <c r="I45" s="187">
        <f>+I43+I44</f>
        <v>55755.09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210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zoomScaleNormal="100" workbookViewId="0">
      <selection activeCell="T16" sqref="T16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2409 file =</v>
      </c>
      <c r="M2" s="54"/>
      <c r="N2" s="97" t="str">
        <f>+'Commodity OK'!H2</f>
        <v>Data Input Sep 24 billing =Sep invoices = Aug Flow  data= Aug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837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457</v>
      </c>
      <c r="I7" s="68" t="s">
        <v>151</v>
      </c>
      <c r="J7" s="90">
        <v>11</v>
      </c>
      <c r="L7" s="49">
        <f t="shared" si="0"/>
        <v>-1.6227272727272728</v>
      </c>
      <c r="N7" s="91">
        <v>-17.850000000000001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730</v>
      </c>
      <c r="L8" s="49">
        <f t="shared" si="0"/>
        <v>4.1500000000000004</v>
      </c>
      <c r="N8" s="91">
        <v>3029.5</v>
      </c>
      <c r="P8" s="48"/>
    </row>
    <row r="9" spans="1:21" x14ac:dyDescent="0.25">
      <c r="B9" t="s">
        <v>14</v>
      </c>
      <c r="F9" s="226">
        <v>0</v>
      </c>
      <c r="I9" s="68" t="s">
        <v>255</v>
      </c>
      <c r="J9" s="90">
        <v>17150</v>
      </c>
      <c r="L9" s="49">
        <f>N9/J9</f>
        <v>2.8940524781341108</v>
      </c>
      <c r="N9" s="91">
        <v>49633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17150</v>
      </c>
      <c r="L10" s="49">
        <f>N10/J10</f>
        <v>0.24</v>
      </c>
      <c r="N10" s="91">
        <v>4116</v>
      </c>
      <c r="P10" s="171" t="s">
        <v>263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SUM(J6:J10)</f>
        <v>35041</v>
      </c>
      <c r="L11" s="72">
        <f t="shared" si="0"/>
        <v>1.6198353357495505</v>
      </c>
      <c r="N11" s="213">
        <f>SUM(N6:N10)</f>
        <v>56760.65</v>
      </c>
      <c r="P11" s="48"/>
    </row>
    <row r="12" spans="1:21" x14ac:dyDescent="0.25">
      <c r="C12" t="s">
        <v>38</v>
      </c>
      <c r="F12" s="226">
        <f>'Allocation Charges'!N7</f>
        <v>155.70333517931363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156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245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371780</v>
      </c>
      <c r="K16" s="6"/>
      <c r="L16" s="45">
        <v>1</v>
      </c>
      <c r="M16" s="6"/>
      <c r="N16" s="49">
        <f>L16*N11</f>
        <v>56760.65</v>
      </c>
      <c r="O16" s="6"/>
      <c r="P16" s="92">
        <v>55362</v>
      </c>
      <c r="T16" t="s">
        <v>278</v>
      </c>
    </row>
    <row r="17" spans="2:18" x14ac:dyDescent="0.25">
      <c r="B17" t="s">
        <v>19</v>
      </c>
      <c r="F17" s="226">
        <f>ROUNDUP('Allocation Charges'!N10,0)</f>
        <v>2070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371780</v>
      </c>
      <c r="N18" s="71">
        <f>N16</f>
        <v>56760.65</v>
      </c>
      <c r="P18" s="70">
        <f>P16</f>
        <v>55362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252.69123143162153</v>
      </c>
      <c r="G20" s="6"/>
      <c r="I20" t="s">
        <v>75</v>
      </c>
      <c r="L20" s="109">
        <f>+J10*0.18</f>
        <v>3087</v>
      </c>
      <c r="M20" s="6"/>
      <c r="O20" s="6"/>
      <c r="P20" s="76" t="s">
        <v>191</v>
      </c>
      <c r="Q20" s="74"/>
    </row>
    <row r="21" spans="2:18" ht="15.75" thickBot="1" x14ac:dyDescent="0.3">
      <c r="D21" s="7" t="s">
        <v>39</v>
      </c>
      <c r="F21" s="227">
        <f>ROUNDUP(F19+F20,0)</f>
        <v>253</v>
      </c>
      <c r="G21" s="6"/>
      <c r="I21" t="s">
        <v>135</v>
      </c>
      <c r="L21" s="6">
        <f>J10*0.2</f>
        <v>3430</v>
      </c>
      <c r="M21" s="6"/>
      <c r="O21" s="6"/>
      <c r="P21" s="76" t="s">
        <v>193</v>
      </c>
    </row>
    <row r="22" spans="2:18" x14ac:dyDescent="0.25">
      <c r="B22" t="s">
        <v>21</v>
      </c>
      <c r="F22" s="102"/>
      <c r="G22" s="6"/>
      <c r="L22" s="30">
        <f>SUM(L18:L21)</f>
        <v>6517</v>
      </c>
      <c r="M22" s="6"/>
      <c r="O22" s="6"/>
      <c r="P22" s="162" t="s">
        <v>162</v>
      </c>
      <c r="Q22" s="165" t="s">
        <v>192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2307.83</v>
      </c>
      <c r="G23" s="6"/>
      <c r="K23" s="6"/>
      <c r="M23" s="6"/>
      <c r="O23" s="6"/>
      <c r="P23" s="160">
        <f>+J10</f>
        <v>17150</v>
      </c>
      <c r="Q23" s="147">
        <v>0.18</v>
      </c>
      <c r="R23" s="161">
        <f>+P23*Q23</f>
        <v>3087</v>
      </c>
    </row>
    <row r="24" spans="2:18" x14ac:dyDescent="0.25">
      <c r="C24" t="s">
        <v>38</v>
      </c>
      <c r="F24" s="134">
        <f>'Allocation Charges'!N12</f>
        <v>61.191196231262339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2370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433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1.8421138645555679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2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194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109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15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7947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265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422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123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196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119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114</v>
      </c>
      <c r="G48" s="6"/>
      <c r="I48" s="60"/>
    </row>
    <row r="49" spans="1:9" x14ac:dyDescent="0.25">
      <c r="B49" t="s">
        <v>31</v>
      </c>
      <c r="F49" s="226">
        <f>ROUNDUP('Allocation Charges'!N32,0)</f>
        <v>391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1365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56761</v>
      </c>
    </row>
    <row r="55" spans="1:9" x14ac:dyDescent="0.25">
      <c r="A55" s="16"/>
      <c r="B55" t="s">
        <v>108</v>
      </c>
      <c r="F55" s="240">
        <f>ROUNDUP(L22,0)</f>
        <v>6517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63278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72590</v>
      </c>
    </row>
  </sheetData>
  <pageMargins left="0.25" right="0.25" top="0.5" bottom="0.75" header="0" footer="0.3"/>
  <pageSetup scale="41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1" sqref="H21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254</v>
      </c>
      <c r="F1" s="6" t="str">
        <f>+'Commodity OK'!H2</f>
        <v>Data Input Sep 24 billing =Sep invoices = Aug Flow  data= Aug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251</v>
      </c>
      <c r="I3" s="19"/>
      <c r="J3" s="19" t="s">
        <v>252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253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247</v>
      </c>
      <c r="F7" s="85">
        <f>+'Direct Charges'!P21</f>
        <v>463.72</v>
      </c>
      <c r="G7" s="60"/>
      <c r="H7" s="85">
        <f>ROUNDUP(F7,0)</f>
        <v>464</v>
      </c>
      <c r="I7" s="60"/>
      <c r="J7" s="222"/>
      <c r="K7" s="60"/>
    </row>
    <row r="8" spans="1:12" x14ac:dyDescent="0.25">
      <c r="C8" t="s">
        <v>248</v>
      </c>
      <c r="F8" s="85">
        <f>+'Direct Charges'!P22</f>
        <v>1810.66</v>
      </c>
      <c r="G8" s="60"/>
      <c r="H8" s="85"/>
      <c r="I8" s="60"/>
      <c r="J8" s="85">
        <f>ROUNDUP(F8,0)</f>
        <v>1811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249</v>
      </c>
      <c r="F11" s="85">
        <f>+'Direct Charges'!F34</f>
        <v>148.41999999999999</v>
      </c>
      <c r="G11" s="60"/>
      <c r="H11" s="85">
        <f>ROUNDUP(F11,0)</f>
        <v>149</v>
      </c>
      <c r="I11" s="60"/>
      <c r="J11" s="222"/>
      <c r="K11" s="60"/>
    </row>
    <row r="12" spans="1:12" x14ac:dyDescent="0.25">
      <c r="C12" t="s">
        <v>250</v>
      </c>
      <c r="F12" s="85">
        <f>+'Direct Charges'!F35</f>
        <v>50</v>
      </c>
      <c r="G12" s="60"/>
      <c r="H12" s="85"/>
      <c r="I12" s="60"/>
      <c r="J12" s="85">
        <f>ROUNDUP(F12,0)</f>
        <v>50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2472.8000000000002</v>
      </c>
      <c r="G14" s="120"/>
      <c r="H14" s="219">
        <f>SUM(H7:H13)</f>
        <v>613</v>
      </c>
      <c r="I14" s="120"/>
      <c r="J14" s="219">
        <f>SUM(J7:J13)</f>
        <v>1861</v>
      </c>
      <c r="K14" s="120"/>
    </row>
    <row r="16" spans="1:12" x14ac:dyDescent="0.25">
      <c r="F16" s="6">
        <f>SUM(H14:K14)</f>
        <v>2474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2024-12-11T23:52:25Z</cp:lastPrinted>
  <dcterms:created xsi:type="dcterms:W3CDTF">2013-02-08T00:44:54Z</dcterms:created>
  <dcterms:modified xsi:type="dcterms:W3CDTF">2024-12-17T21:50:42Z</dcterms:modified>
</cp:coreProperties>
</file>